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ThisWorkbook" defaultThemeVersion="124226"/>
  <mc:AlternateContent xmlns:mc="http://schemas.openxmlformats.org/markup-compatibility/2006">
    <mc:Choice Requires="x15">
      <x15ac:absPath xmlns:x15ac="http://schemas.microsoft.com/office/spreadsheetml/2010/11/ac" url="C:\Users\Admin\Downloads\"/>
    </mc:Choice>
  </mc:AlternateContent>
  <xr:revisionPtr revIDLastSave="0" documentId="8_{89FA0073-CEAA-41BF-A346-451350330A95}" xr6:coauthVersionLast="36" xr6:coauthVersionMax="36" xr10:uidLastSave="{00000000-0000-0000-0000-000000000000}"/>
  <bookViews>
    <workbookView xWindow="360" yWindow="240" windowWidth="11340" windowHeight="6525" tabRatio="902" firstSheet="1" activeTab="7" xr2:uid="{00000000-000D-0000-FFFF-FFFF00000000}"/>
  </bookViews>
  <sheets>
    <sheet name="foxz" sheetId="195" state="veryHidden" r:id="rId1"/>
    <sheet name="B48" sheetId="167" r:id="rId2"/>
    <sheet name="B49" sheetId="169" r:id="rId3"/>
    <sheet name="B50" sheetId="168" r:id="rId4"/>
    <sheet name="B51" sheetId="170" r:id="rId5"/>
    <sheet name="B52" sheetId="171" r:id="rId6"/>
    <sheet name="Biểu 53-H+X" sheetId="172" r:id="rId7"/>
    <sheet name="B54" sheetId="193" r:id="rId8"/>
    <sheet name="B54-chi tiết" sheetId="194" state="hidden" r:id="rId9"/>
    <sheet name="B55" sheetId="174" r:id="rId10"/>
    <sheet name="B56" sheetId="175" r:id="rId11"/>
    <sheet name="B57" sheetId="176" r:id="rId12"/>
    <sheet name="Biểu 58-xã" sheetId="187" r:id="rId13"/>
    <sheet name="Biểu 59-xã" sheetId="189" r:id="rId14"/>
    <sheet name="Biểu 60-xã" sheetId="177" r:id="rId15"/>
    <sheet name="Biểu 61- H+X" sheetId="183" r:id="rId16"/>
    <sheet name="Bieu 62-KH" sheetId="188" r:id="rId17"/>
    <sheet name="Biểu 63-quỹ" sheetId="178" r:id="rId18"/>
    <sheet name="B64-thu DV" sheetId="180" r:id="rId19"/>
  </sheets>
  <externalReferences>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14" hidden="1">'Biểu 60-xã'!$D$1:$D$30</definedName>
    <definedName name="ADP">#REF!</definedName>
    <definedName name="AKHAC">#REF!</definedName>
    <definedName name="ALTINH">#REF!</definedName>
    <definedName name="ANN">#REF!</definedName>
    <definedName name="ANQD">#REF!</definedName>
    <definedName name="ANQQH">'[1]Dt 2001'!#REF!</definedName>
    <definedName name="ANSNN">'[1]Dt 2001'!#REF!</definedName>
    <definedName name="ANSNNxnk">'[1]Dt 2001'!#REF!</definedName>
    <definedName name="Anguon">'[1]Dt 2001'!#REF!</definedName>
    <definedName name="APC">'[1]Dt 2001'!#REF!</definedName>
    <definedName name="ATW">#REF!</definedName>
    <definedName name="Can_doi">#REF!</definedName>
    <definedName name="DNNN">#REF!</definedName>
    <definedName name="Khac">#REF!</definedName>
    <definedName name="Khong_can_doi">#REF!</definedName>
    <definedName name="NQD">#REF!</definedName>
    <definedName name="NQQH">'[1]Dt 2001'!#REF!</definedName>
    <definedName name="NSNN">'[1]Dt 2001'!#REF!</definedName>
    <definedName name="PC">'[1]Dt 2001'!#REF!</definedName>
    <definedName name="_xlnm.Print_Area" localSheetId="2">'B49'!$A$1:$E$39</definedName>
    <definedName name="_xlnm.Print_Area" localSheetId="11">'B57'!$A$1:$K$67</definedName>
    <definedName name="_xlnm.Print_Area" localSheetId="16">'Bieu 62-KH'!$A$1:$AO$117</definedName>
    <definedName name="_xlnm.Print_Area" localSheetId="6">'Biểu 53-H+X'!$A$1:$K$165</definedName>
    <definedName name="_xlnm.Print_Area" localSheetId="13">'Biểu 59-xã'!$A$1:$Z$34</definedName>
    <definedName name="_xlnm.Print_Area" localSheetId="14">'Biểu 60-xã'!$A$1:$H$30</definedName>
    <definedName name="_xlnm.Print_Area">#REF!</definedName>
    <definedName name="PRINT_AREA_MI">#REF!</definedName>
    <definedName name="_xlnm.Print_Titles" localSheetId="3">'B50'!$5:$6</definedName>
    <definedName name="_xlnm.Print_Titles" localSheetId="4">'B51'!$5:$7</definedName>
    <definedName name="_xlnm.Print_Titles" localSheetId="5">'B52'!$5:$7</definedName>
    <definedName name="_xlnm.Print_Titles" localSheetId="9">'B55'!$6:$10</definedName>
    <definedName name="_xlnm.Print_Titles" localSheetId="10">'B56'!$5:$9</definedName>
    <definedName name="_xlnm.Print_Titles" localSheetId="11">'B57'!$6:$8</definedName>
    <definedName name="_xlnm.Print_Titles" localSheetId="16">'Bieu 62-KH'!$5:$9</definedName>
    <definedName name="_xlnm.Print_Titles" localSheetId="6">'Biểu 53-H+X'!$5:$8</definedName>
    <definedName name="_xlnm.Print_Titles" localSheetId="15">'Biểu 61- H+X'!$5:$9</definedName>
    <definedName name="Phan_cap">#REF!</definedName>
    <definedName name="Phi_le_phi">#REF!</definedName>
    <definedName name="TW">#REF!</definedName>
  </definedNames>
  <calcPr calcId="191029"/>
</workbook>
</file>

<file path=xl/calcChain.xml><?xml version="1.0" encoding="utf-8"?>
<calcChain xmlns="http://schemas.openxmlformats.org/spreadsheetml/2006/main">
  <c r="K65" i="172" l="1"/>
  <c r="J65" i="172"/>
  <c r="K69" i="172"/>
  <c r="J69" i="172"/>
  <c r="J73" i="172"/>
  <c r="J76" i="172"/>
  <c r="K85" i="172"/>
  <c r="J85" i="172"/>
  <c r="K93" i="172"/>
  <c r="J93" i="172"/>
  <c r="J100" i="172"/>
  <c r="J115" i="172"/>
  <c r="K123" i="172"/>
  <c r="J123" i="172"/>
  <c r="K125" i="172"/>
  <c r="J125" i="172"/>
  <c r="J127" i="172"/>
  <c r="I127" i="172"/>
  <c r="K165" i="172"/>
  <c r="J165" i="172"/>
  <c r="K164" i="172"/>
  <c r="J164" i="172"/>
  <c r="K163" i="172"/>
  <c r="J163" i="172"/>
  <c r="K162" i="172"/>
  <c r="J162" i="172"/>
  <c r="K161" i="172"/>
  <c r="J161" i="172"/>
  <c r="K160" i="172"/>
  <c r="J160" i="172"/>
  <c r="J159" i="172"/>
  <c r="K158" i="172"/>
  <c r="K156" i="172"/>
  <c r="J156" i="172"/>
  <c r="K155" i="172"/>
  <c r="J155" i="172"/>
  <c r="I155" i="172"/>
  <c r="I145" i="172"/>
  <c r="J145" i="172"/>
  <c r="K145" i="172"/>
  <c r="I146" i="172"/>
  <c r="J146" i="172"/>
  <c r="K146" i="172"/>
  <c r="I147" i="172"/>
  <c r="J147" i="172"/>
  <c r="K147" i="172"/>
  <c r="I148" i="172"/>
  <c r="J148" i="172"/>
  <c r="K148" i="172"/>
  <c r="I149" i="172"/>
  <c r="J149" i="172"/>
  <c r="K149" i="172"/>
  <c r="I150" i="172"/>
  <c r="J150" i="172"/>
  <c r="K150" i="172"/>
  <c r="I142" i="172"/>
  <c r="J142" i="172"/>
  <c r="K142" i="172"/>
  <c r="I143" i="172"/>
  <c r="J143" i="172"/>
  <c r="K143" i="172"/>
  <c r="I144" i="172"/>
  <c r="J144" i="172"/>
  <c r="K144" i="172"/>
  <c r="I130" i="172"/>
  <c r="J130" i="172"/>
  <c r="K130" i="172"/>
  <c r="I131" i="172"/>
  <c r="J131" i="172"/>
  <c r="K131" i="172"/>
  <c r="I132" i="172"/>
  <c r="J132" i="172"/>
  <c r="K132" i="172"/>
  <c r="I133" i="172"/>
  <c r="J133" i="172"/>
  <c r="K133" i="172"/>
  <c r="I134" i="172"/>
  <c r="J134" i="172"/>
  <c r="K134" i="172"/>
  <c r="I135" i="172"/>
  <c r="J135" i="172"/>
  <c r="K135" i="172"/>
  <c r="I136" i="172"/>
  <c r="J136" i="172"/>
  <c r="K136" i="172"/>
  <c r="I137" i="172"/>
  <c r="J137" i="172"/>
  <c r="K137" i="172"/>
  <c r="I138" i="172"/>
  <c r="J138" i="172"/>
  <c r="K138" i="172"/>
  <c r="I139" i="172"/>
  <c r="J139" i="172"/>
  <c r="K139" i="172"/>
  <c r="I140" i="172"/>
  <c r="J140" i="172"/>
  <c r="K140" i="172"/>
  <c r="I141" i="172"/>
  <c r="J141" i="172"/>
  <c r="K141" i="172"/>
  <c r="J129" i="172"/>
  <c r="I129" i="172"/>
  <c r="K129" i="172"/>
  <c r="K128" i="172"/>
  <c r="K127" i="172"/>
  <c r="K121" i="172"/>
  <c r="K120" i="172"/>
  <c r="K118" i="172"/>
  <c r="K117" i="172"/>
  <c r="K114" i="172"/>
  <c r="K113" i="172"/>
  <c r="K112" i="172"/>
  <c r="K111" i="172"/>
  <c r="K108" i="172"/>
  <c r="K107" i="172"/>
  <c r="K105" i="172"/>
  <c r="K104" i="172"/>
  <c r="K103" i="172"/>
  <c r="K100" i="172"/>
  <c r="K98" i="172"/>
  <c r="K97" i="172"/>
  <c r="K96" i="172"/>
  <c r="K94" i="172"/>
  <c r="K86" i="172"/>
  <c r="K82" i="172"/>
  <c r="K80" i="172"/>
  <c r="K79" i="172"/>
  <c r="K73" i="172"/>
  <c r="K68" i="172"/>
  <c r="K66" i="172"/>
  <c r="K61" i="172"/>
  <c r="K34" i="172"/>
  <c r="K33" i="172"/>
  <c r="K30" i="172"/>
  <c r="K27" i="172"/>
  <c r="K24" i="172"/>
  <c r="K23" i="172"/>
  <c r="K21" i="172"/>
  <c r="J24" i="172"/>
  <c r="J23" i="172"/>
  <c r="J18" i="172"/>
  <c r="K18" i="172"/>
  <c r="K14" i="172"/>
  <c r="X34" i="187" l="1"/>
  <c r="Q34" i="187" s="1"/>
  <c r="N34" i="187"/>
  <c r="K34" i="187"/>
  <c r="C34" i="187" s="1"/>
  <c r="X33" i="187"/>
  <c r="Q33" i="187" s="1"/>
  <c r="N33" i="187"/>
  <c r="K33" i="187"/>
  <c r="X32" i="187"/>
  <c r="Q32" i="187" s="1"/>
  <c r="N32" i="187"/>
  <c r="K32" i="187"/>
  <c r="X31" i="187"/>
  <c r="Q31" i="187" s="1"/>
  <c r="N31" i="187"/>
  <c r="C31" i="187" s="1"/>
  <c r="K31" i="187"/>
  <c r="X30" i="187"/>
  <c r="Q30" i="187" s="1"/>
  <c r="N30" i="187"/>
  <c r="K30" i="187"/>
  <c r="X29" i="187"/>
  <c r="Q29" i="187" s="1"/>
  <c r="N29" i="187"/>
  <c r="K29" i="187"/>
  <c r="X28" i="187"/>
  <c r="Q28" i="187"/>
  <c r="N28" i="187"/>
  <c r="K28" i="187"/>
  <c r="X27" i="187"/>
  <c r="Q27" i="187" s="1"/>
  <c r="N27" i="187"/>
  <c r="K27" i="187"/>
  <c r="X26" i="187"/>
  <c r="Q26" i="187" s="1"/>
  <c r="N26" i="187"/>
  <c r="K26" i="187"/>
  <c r="X25" i="187"/>
  <c r="Q25" i="187" s="1"/>
  <c r="N25" i="187"/>
  <c r="K25" i="187"/>
  <c r="X24" i="187"/>
  <c r="Q24" i="187"/>
  <c r="N24" i="187"/>
  <c r="K24" i="187"/>
  <c r="X23" i="187"/>
  <c r="Q23" i="187" s="1"/>
  <c r="N23" i="187"/>
  <c r="C23" i="187" s="1"/>
  <c r="K23" i="187"/>
  <c r="X22" i="187"/>
  <c r="Q22" i="187" s="1"/>
  <c r="N22" i="187"/>
  <c r="K22" i="187"/>
  <c r="X21" i="187"/>
  <c r="Q21" i="187" s="1"/>
  <c r="N21" i="187"/>
  <c r="K21" i="187"/>
  <c r="X20" i="187"/>
  <c r="Q20" i="187"/>
  <c r="N20" i="187"/>
  <c r="K20" i="187"/>
  <c r="C20" i="187" s="1"/>
  <c r="X19" i="187"/>
  <c r="Q19" i="187" s="1"/>
  <c r="N19" i="187"/>
  <c r="C19" i="187" s="1"/>
  <c r="K19" i="187"/>
  <c r="X18" i="187"/>
  <c r="Q18" i="187" s="1"/>
  <c r="N18" i="187"/>
  <c r="K18" i="187"/>
  <c r="X17" i="187"/>
  <c r="Q17" i="187" s="1"/>
  <c r="N17" i="187"/>
  <c r="K17" i="187"/>
  <c r="X16" i="187"/>
  <c r="Q16" i="187" s="1"/>
  <c r="N16" i="187"/>
  <c r="K16" i="187"/>
  <c r="AE15" i="187"/>
  <c r="AD15" i="187"/>
  <c r="AC15" i="187"/>
  <c r="AB15" i="187"/>
  <c r="AA15" i="187"/>
  <c r="Z15" i="187"/>
  <c r="Y15" i="187"/>
  <c r="W15" i="187"/>
  <c r="V15" i="187"/>
  <c r="U15" i="187"/>
  <c r="T15" i="187"/>
  <c r="S15" i="187"/>
  <c r="R15" i="187"/>
  <c r="P15" i="187"/>
  <c r="O15" i="187"/>
  <c r="M15" i="187"/>
  <c r="L15" i="187"/>
  <c r="J15" i="187"/>
  <c r="I15" i="187"/>
  <c r="H15" i="187"/>
  <c r="G15" i="187"/>
  <c r="F15" i="187"/>
  <c r="E15" i="187"/>
  <c r="D15" i="187"/>
  <c r="C27" i="187" l="1"/>
  <c r="C18" i="187"/>
  <c r="C28" i="187"/>
  <c r="C25" i="187"/>
  <c r="C26" i="187"/>
  <c r="C16" i="187"/>
  <c r="C30" i="187"/>
  <c r="N15" i="187"/>
  <c r="C32" i="187"/>
  <c r="C33" i="187"/>
  <c r="C21" i="187"/>
  <c r="K15" i="187"/>
  <c r="C22" i="187"/>
  <c r="C24" i="187"/>
  <c r="C29" i="187"/>
  <c r="Q15" i="187"/>
  <c r="X15" i="187"/>
  <c r="C17" i="187"/>
  <c r="C15" i="187" l="1"/>
  <c r="A3" i="171"/>
  <c r="A3" i="168"/>
  <c r="A4" i="169"/>
  <c r="AF23" i="187" l="1"/>
  <c r="AH23" i="187"/>
  <c r="AI23" i="187"/>
  <c r="AJ23" i="187"/>
  <c r="AF24" i="187"/>
  <c r="AH24" i="187"/>
  <c r="AI24" i="187"/>
  <c r="AJ24" i="187"/>
  <c r="AF25" i="187"/>
  <c r="AH25" i="187"/>
  <c r="AI25" i="187"/>
  <c r="AJ25" i="187"/>
  <c r="AF26" i="187"/>
  <c r="AH26" i="187"/>
  <c r="AI26" i="187"/>
  <c r="AF27" i="187"/>
  <c r="AH27" i="187"/>
  <c r="AI27" i="187"/>
  <c r="AJ27" i="187"/>
  <c r="AF28" i="187"/>
  <c r="AH28" i="187"/>
  <c r="AI28" i="187"/>
  <c r="AJ28" i="187"/>
  <c r="AF29" i="187"/>
  <c r="AH29" i="187"/>
  <c r="AI29" i="187"/>
  <c r="AJ29" i="187"/>
  <c r="AF30" i="187"/>
  <c r="AH30" i="187"/>
  <c r="AI30" i="187"/>
  <c r="AJ30" i="187"/>
  <c r="AF31" i="187"/>
  <c r="AH31" i="187"/>
  <c r="AI31" i="187"/>
  <c r="AJ31" i="187"/>
  <c r="AF32" i="187"/>
  <c r="AH32" i="187"/>
  <c r="AI32" i="187"/>
  <c r="AJ32" i="187"/>
  <c r="AF33" i="187"/>
  <c r="AH33" i="187"/>
  <c r="AI33" i="187"/>
  <c r="AJ33" i="187"/>
  <c r="AF34" i="187"/>
  <c r="AH34" i="187"/>
  <c r="AI34" i="187"/>
  <c r="AJ34" i="187"/>
  <c r="AF16" i="187"/>
  <c r="AH16" i="187"/>
  <c r="AI16" i="187"/>
  <c r="AJ16" i="187"/>
  <c r="AF17" i="187"/>
  <c r="AH17" i="187"/>
  <c r="AI17" i="187"/>
  <c r="AJ17" i="187"/>
  <c r="AF18" i="187"/>
  <c r="AH18" i="187"/>
  <c r="AI18" i="187"/>
  <c r="AJ18" i="187"/>
  <c r="AF19" i="187"/>
  <c r="AH19" i="187"/>
  <c r="AI19" i="187"/>
  <c r="AJ19" i="187"/>
  <c r="AF20" i="187"/>
  <c r="AH20" i="187"/>
  <c r="AI20" i="187"/>
  <c r="AF21" i="187"/>
  <c r="AG21" i="187"/>
  <c r="AH21" i="187"/>
  <c r="AF22" i="187"/>
  <c r="AH22" i="187"/>
  <c r="AI22" i="187"/>
  <c r="AJ22" i="187"/>
  <c r="AJ15" i="187"/>
  <c r="AI15" i="187"/>
  <c r="AH15" i="187"/>
  <c r="AG15" i="187"/>
  <c r="AF15" i="187"/>
  <c r="Y15" i="189"/>
  <c r="Z15" i="189"/>
  <c r="Y16" i="189"/>
  <c r="Z16" i="189"/>
  <c r="Y17" i="189"/>
  <c r="Z17" i="189"/>
  <c r="Y18" i="189"/>
  <c r="Z18" i="189"/>
  <c r="Z19" i="189"/>
  <c r="Y21" i="189"/>
  <c r="Z21" i="189"/>
  <c r="Y22" i="189"/>
  <c r="Z22" i="189"/>
  <c r="Y23" i="189"/>
  <c r="Z23" i="189"/>
  <c r="Y24" i="189"/>
  <c r="Z24" i="189"/>
  <c r="Z25" i="189"/>
  <c r="Y26" i="189"/>
  <c r="Z26" i="189"/>
  <c r="Y27" i="189"/>
  <c r="Z27" i="189"/>
  <c r="Y28" i="189"/>
  <c r="Z28" i="189"/>
  <c r="Y29" i="189"/>
  <c r="Z29" i="189"/>
  <c r="Y30" i="189"/>
  <c r="Z30" i="189"/>
  <c r="Y31" i="189"/>
  <c r="Z31" i="189"/>
  <c r="Y32" i="189"/>
  <c r="Z32" i="189"/>
  <c r="Y33" i="189"/>
  <c r="Z33" i="189"/>
  <c r="T14" i="189"/>
  <c r="T33" i="189"/>
  <c r="O33" i="189"/>
  <c r="M33" i="189" s="1"/>
  <c r="K33" i="189" s="1"/>
  <c r="G33" i="189"/>
  <c r="E33" i="189" s="1"/>
  <c r="C33" i="189" s="1"/>
  <c r="T32" i="189"/>
  <c r="O32" i="189"/>
  <c r="M32" i="189" s="1"/>
  <c r="K32" i="189" s="1"/>
  <c r="G32" i="189"/>
  <c r="E32" i="189" s="1"/>
  <c r="C32" i="189" s="1"/>
  <c r="T31" i="189"/>
  <c r="O31" i="189"/>
  <c r="M31" i="189" s="1"/>
  <c r="K31" i="189" s="1"/>
  <c r="G31" i="189"/>
  <c r="E31" i="189" s="1"/>
  <c r="C31" i="189" s="1"/>
  <c r="T30" i="189"/>
  <c r="O30" i="189"/>
  <c r="M30" i="189" s="1"/>
  <c r="K30" i="189" s="1"/>
  <c r="G30" i="189"/>
  <c r="E30" i="189" s="1"/>
  <c r="C30" i="189" s="1"/>
  <c r="T29" i="189"/>
  <c r="O29" i="189"/>
  <c r="M29" i="189" s="1"/>
  <c r="K29" i="189" s="1"/>
  <c r="G29" i="189"/>
  <c r="E29" i="189" s="1"/>
  <c r="C29" i="189" s="1"/>
  <c r="T28" i="189"/>
  <c r="O28" i="189"/>
  <c r="M28" i="189" s="1"/>
  <c r="K28" i="189" s="1"/>
  <c r="G28" i="189"/>
  <c r="E28" i="189" s="1"/>
  <c r="C28" i="189" s="1"/>
  <c r="T27" i="189"/>
  <c r="O27" i="189"/>
  <c r="M27" i="189" s="1"/>
  <c r="K27" i="189" s="1"/>
  <c r="G27" i="189"/>
  <c r="E27" i="189" s="1"/>
  <c r="C27" i="189" s="1"/>
  <c r="T26" i="189"/>
  <c r="O26" i="189"/>
  <c r="M26" i="189" s="1"/>
  <c r="K26" i="189" s="1"/>
  <c r="G26" i="189"/>
  <c r="E26" i="189" s="1"/>
  <c r="C26" i="189" s="1"/>
  <c r="T25" i="189"/>
  <c r="O25" i="189"/>
  <c r="M25" i="189" s="1"/>
  <c r="K25" i="189" s="1"/>
  <c r="G25" i="189"/>
  <c r="E25" i="189" s="1"/>
  <c r="C25" i="189" s="1"/>
  <c r="T24" i="189"/>
  <c r="O24" i="189"/>
  <c r="M24" i="189" s="1"/>
  <c r="K24" i="189" s="1"/>
  <c r="G24" i="189"/>
  <c r="E24" i="189" s="1"/>
  <c r="C24" i="189" s="1"/>
  <c r="T23" i="189"/>
  <c r="O23" i="189"/>
  <c r="M23" i="189" s="1"/>
  <c r="K23" i="189" s="1"/>
  <c r="G23" i="189"/>
  <c r="E23" i="189" s="1"/>
  <c r="C23" i="189" s="1"/>
  <c r="T22" i="189"/>
  <c r="O22" i="189"/>
  <c r="M22" i="189" s="1"/>
  <c r="K22" i="189" s="1"/>
  <c r="G22" i="189"/>
  <c r="E22" i="189" s="1"/>
  <c r="C22" i="189" s="1"/>
  <c r="T21" i="189"/>
  <c r="O21" i="189"/>
  <c r="M21" i="189" s="1"/>
  <c r="K21" i="189" s="1"/>
  <c r="G21" i="189"/>
  <c r="E21" i="189" s="1"/>
  <c r="C21" i="189" s="1"/>
  <c r="T20" i="189"/>
  <c r="O20" i="189"/>
  <c r="M20" i="189" s="1"/>
  <c r="K20" i="189" s="1"/>
  <c r="G20" i="189"/>
  <c r="E20" i="189" s="1"/>
  <c r="C20" i="189" s="1"/>
  <c r="T19" i="189"/>
  <c r="O19" i="189"/>
  <c r="M19" i="189" s="1"/>
  <c r="K19" i="189" s="1"/>
  <c r="G19" i="189"/>
  <c r="E19" i="189" s="1"/>
  <c r="C19" i="189" s="1"/>
  <c r="T18" i="189"/>
  <c r="O18" i="189"/>
  <c r="M18" i="189" s="1"/>
  <c r="K18" i="189" s="1"/>
  <c r="G18" i="189"/>
  <c r="E18" i="189" s="1"/>
  <c r="C18" i="189" s="1"/>
  <c r="T17" i="189"/>
  <c r="O17" i="189"/>
  <c r="M17" i="189" s="1"/>
  <c r="K17" i="189" s="1"/>
  <c r="G17" i="189"/>
  <c r="E17" i="189" s="1"/>
  <c r="C17" i="189" s="1"/>
  <c r="T16" i="189"/>
  <c r="O16" i="189"/>
  <c r="M16" i="189" s="1"/>
  <c r="K16" i="189" s="1"/>
  <c r="G16" i="189"/>
  <c r="E16" i="189" s="1"/>
  <c r="C16" i="189" s="1"/>
  <c r="T15" i="189"/>
  <c r="O15" i="189"/>
  <c r="M15" i="189" s="1"/>
  <c r="G15" i="189"/>
  <c r="E15" i="189" s="1"/>
  <c r="R14" i="189"/>
  <c r="Z14" i="189" s="1"/>
  <c r="Q14" i="189"/>
  <c r="Y14" i="189" s="1"/>
  <c r="P14" i="189"/>
  <c r="N14" i="189"/>
  <c r="L14" i="189"/>
  <c r="J14" i="189"/>
  <c r="I14" i="189"/>
  <c r="H14" i="189"/>
  <c r="F14" i="189"/>
  <c r="D14" i="189"/>
  <c r="O13" i="189"/>
  <c r="P13" i="189" s="1"/>
  <c r="Q13" i="189" s="1"/>
  <c r="R13" i="189" s="1"/>
  <c r="G13" i="189"/>
  <c r="H13" i="189" s="1"/>
  <c r="I13" i="189" s="1"/>
  <c r="J13" i="189" s="1"/>
  <c r="K13" i="189" s="1"/>
  <c r="L13" i="189" s="1"/>
  <c r="D13" i="189"/>
  <c r="AA47" i="183"/>
  <c r="W47" i="183" s="1"/>
  <c r="X47" i="183"/>
  <c r="T47" i="183"/>
  <c r="P47" i="183" s="1"/>
  <c r="Q47" i="183"/>
  <c r="M47" i="183"/>
  <c r="J47" i="183"/>
  <c r="I47" i="183" s="1"/>
  <c r="C47" i="183"/>
  <c r="AA46" i="183"/>
  <c r="X46" i="183"/>
  <c r="T46" i="183"/>
  <c r="Q46" i="183"/>
  <c r="M46" i="183"/>
  <c r="I46" i="183" s="1"/>
  <c r="J46" i="183"/>
  <c r="C46" i="183"/>
  <c r="AA45" i="183"/>
  <c r="X45" i="183"/>
  <c r="T45" i="183"/>
  <c r="Q45" i="183"/>
  <c r="M45" i="183"/>
  <c r="J45" i="183"/>
  <c r="I45" i="183"/>
  <c r="C45" i="183"/>
  <c r="AA44" i="183"/>
  <c r="W44" i="183" s="1"/>
  <c r="X44" i="183"/>
  <c r="T44" i="183"/>
  <c r="Q44" i="183"/>
  <c r="P44" i="183" s="1"/>
  <c r="M44" i="183"/>
  <c r="J44" i="183"/>
  <c r="I44" i="183"/>
  <c r="C44" i="183"/>
  <c r="AA43" i="183"/>
  <c r="X43" i="183"/>
  <c r="T43" i="183"/>
  <c r="Q43" i="183"/>
  <c r="M43" i="183"/>
  <c r="I43" i="183" s="1"/>
  <c r="J43" i="183"/>
  <c r="C43" i="183"/>
  <c r="AA42" i="183"/>
  <c r="X42" i="183"/>
  <c r="T42" i="183"/>
  <c r="Q42" i="183"/>
  <c r="M42" i="183"/>
  <c r="J42" i="183"/>
  <c r="I42" i="183"/>
  <c r="C42" i="183"/>
  <c r="AA41" i="183"/>
  <c r="W41" i="183" s="1"/>
  <c r="X41" i="183"/>
  <c r="T41" i="183"/>
  <c r="Q41" i="183"/>
  <c r="P41" i="183" s="1"/>
  <c r="M41" i="183"/>
  <c r="J41" i="183"/>
  <c r="I41" i="183"/>
  <c r="C41" i="183"/>
  <c r="AA40" i="183"/>
  <c r="X40" i="183"/>
  <c r="T40" i="183"/>
  <c r="Q40" i="183"/>
  <c r="M40" i="183"/>
  <c r="I40" i="183" s="1"/>
  <c r="J40" i="183"/>
  <c r="C40" i="183"/>
  <c r="AA39" i="183"/>
  <c r="X39" i="183"/>
  <c r="T39" i="183"/>
  <c r="Q39" i="183"/>
  <c r="M39" i="183"/>
  <c r="J39" i="183"/>
  <c r="I39" i="183"/>
  <c r="C39" i="183"/>
  <c r="AA38" i="183"/>
  <c r="W38" i="183" s="1"/>
  <c r="X38" i="183"/>
  <c r="T38" i="183"/>
  <c r="Q38" i="183"/>
  <c r="P38" i="183" s="1"/>
  <c r="M38" i="183"/>
  <c r="J38" i="183"/>
  <c r="I38" i="183"/>
  <c r="C38" i="183"/>
  <c r="AA37" i="183"/>
  <c r="X37" i="183"/>
  <c r="T37" i="183"/>
  <c r="Q37" i="183"/>
  <c r="M37" i="183"/>
  <c r="J37" i="183"/>
  <c r="C37" i="183"/>
  <c r="AA36" i="183"/>
  <c r="X36" i="183"/>
  <c r="T36" i="183"/>
  <c r="Q36" i="183"/>
  <c r="M36" i="183"/>
  <c r="J36" i="183"/>
  <c r="I36" i="183"/>
  <c r="C36" i="183"/>
  <c r="AA35" i="183"/>
  <c r="W35" i="183" s="1"/>
  <c r="X35" i="183"/>
  <c r="T35" i="183"/>
  <c r="Q35" i="183"/>
  <c r="P35" i="183" s="1"/>
  <c r="M35" i="183"/>
  <c r="J35" i="183"/>
  <c r="I35" i="183"/>
  <c r="C35" i="183"/>
  <c r="AA34" i="183"/>
  <c r="X34" i="183"/>
  <c r="T34" i="183"/>
  <c r="Q34" i="183"/>
  <c r="M34" i="183"/>
  <c r="I34" i="183" s="1"/>
  <c r="J34" i="183"/>
  <c r="C34" i="183"/>
  <c r="AA33" i="183"/>
  <c r="X33" i="183"/>
  <c r="T33" i="183"/>
  <c r="Q33" i="183"/>
  <c r="M33" i="183"/>
  <c r="J33" i="183"/>
  <c r="I33" i="183"/>
  <c r="C33" i="183"/>
  <c r="AA32" i="183"/>
  <c r="W32" i="183" s="1"/>
  <c r="X32" i="183"/>
  <c r="T32" i="183"/>
  <c r="Q32" i="183"/>
  <c r="P32" i="183" s="1"/>
  <c r="M32" i="183"/>
  <c r="J32" i="183"/>
  <c r="I32" i="183"/>
  <c r="C32" i="183"/>
  <c r="AA31" i="183"/>
  <c r="X31" i="183"/>
  <c r="T31" i="183"/>
  <c r="Q31" i="183"/>
  <c r="M31" i="183"/>
  <c r="J31" i="183"/>
  <c r="C31" i="183"/>
  <c r="AA30" i="183"/>
  <c r="X30" i="183"/>
  <c r="T30" i="183"/>
  <c r="Q30" i="183"/>
  <c r="M30" i="183"/>
  <c r="J30" i="183"/>
  <c r="I30" i="183" s="1"/>
  <c r="C30" i="183"/>
  <c r="AA29" i="183"/>
  <c r="X29" i="183"/>
  <c r="X28" i="183" s="1"/>
  <c r="T29" i="183"/>
  <c r="Q29" i="183"/>
  <c r="P29" i="183" s="1"/>
  <c r="M29" i="183"/>
  <c r="J29" i="183"/>
  <c r="C29" i="183"/>
  <c r="AC28" i="183"/>
  <c r="AB28" i="183"/>
  <c r="Z28" i="183"/>
  <c r="Y28" i="183"/>
  <c r="V28" i="183"/>
  <c r="U28" i="183"/>
  <c r="S28" i="183"/>
  <c r="R28" i="183"/>
  <c r="O28" i="183"/>
  <c r="N28" i="183"/>
  <c r="L28" i="183"/>
  <c r="K28" i="183"/>
  <c r="E28" i="183"/>
  <c r="D28" i="183"/>
  <c r="H31" i="183" l="1"/>
  <c r="F31" i="183" s="1"/>
  <c r="H37" i="183"/>
  <c r="F37" i="183" s="1"/>
  <c r="W29" i="183"/>
  <c r="P31" i="183"/>
  <c r="P34" i="183"/>
  <c r="P37" i="183"/>
  <c r="P40" i="183"/>
  <c r="P43" i="183"/>
  <c r="P46" i="183"/>
  <c r="AA28" i="183"/>
  <c r="W31" i="183"/>
  <c r="W34" i="183"/>
  <c r="H36" i="183"/>
  <c r="F36" i="183" s="1"/>
  <c r="W37" i="183"/>
  <c r="H39" i="183"/>
  <c r="F39" i="183" s="1"/>
  <c r="W40" i="183"/>
  <c r="H42" i="183"/>
  <c r="F42" i="183" s="1"/>
  <c r="W43" i="183"/>
  <c r="H45" i="183"/>
  <c r="F45" i="183" s="1"/>
  <c r="W46" i="183"/>
  <c r="U15" i="189"/>
  <c r="S19" i="189"/>
  <c r="S23" i="189"/>
  <c r="S27" i="189"/>
  <c r="S31" i="189"/>
  <c r="U27" i="189"/>
  <c r="W16" i="189"/>
  <c r="H30" i="183"/>
  <c r="F30" i="183" s="1"/>
  <c r="H33" i="183"/>
  <c r="F33" i="183" s="1"/>
  <c r="P30" i="183"/>
  <c r="P28" i="183" s="1"/>
  <c r="P33" i="183"/>
  <c r="P36" i="183"/>
  <c r="P39" i="183"/>
  <c r="P42" i="183"/>
  <c r="P45" i="183"/>
  <c r="W19" i="189"/>
  <c r="W15" i="189"/>
  <c r="H47" i="183"/>
  <c r="F47" i="183" s="1"/>
  <c r="U31" i="189"/>
  <c r="U19" i="189"/>
  <c r="I29" i="183"/>
  <c r="W30" i="183"/>
  <c r="H32" i="183"/>
  <c r="F32" i="183" s="1"/>
  <c r="W33" i="183"/>
  <c r="H35" i="183"/>
  <c r="F35" i="183" s="1"/>
  <c r="W36" i="183"/>
  <c r="H38" i="183"/>
  <c r="F38" i="183" s="1"/>
  <c r="W39" i="183"/>
  <c r="H41" i="183"/>
  <c r="F41" i="183" s="1"/>
  <c r="W42" i="183"/>
  <c r="H44" i="183"/>
  <c r="F44" i="183" s="1"/>
  <c r="W45" i="183"/>
  <c r="C28" i="183"/>
  <c r="I31" i="183"/>
  <c r="I37" i="183"/>
  <c r="W18" i="189"/>
  <c r="H29" i="183"/>
  <c r="T28" i="183"/>
  <c r="H34" i="183"/>
  <c r="F34" i="183" s="1"/>
  <c r="H40" i="183"/>
  <c r="F40" i="183" s="1"/>
  <c r="H43" i="183"/>
  <c r="F43" i="183" s="1"/>
  <c r="H46" i="183"/>
  <c r="F46" i="183" s="1"/>
  <c r="W23" i="189"/>
  <c r="O14" i="189"/>
  <c r="W25" i="189"/>
  <c r="W24" i="189"/>
  <c r="W22" i="189"/>
  <c r="W21" i="189"/>
  <c r="U18" i="189"/>
  <c r="U17" i="189"/>
  <c r="U16" i="189"/>
  <c r="W17" i="189"/>
  <c r="W33" i="189"/>
  <c r="W32" i="189"/>
  <c r="W31" i="189"/>
  <c r="W30" i="189"/>
  <c r="W29" i="189"/>
  <c r="W28" i="189"/>
  <c r="W27" i="189"/>
  <c r="W26" i="189"/>
  <c r="U25" i="189"/>
  <c r="U24" i="189"/>
  <c r="U23" i="189"/>
  <c r="U22" i="189"/>
  <c r="U21" i="189"/>
  <c r="U33" i="189"/>
  <c r="U32" i="189"/>
  <c r="U30" i="189"/>
  <c r="U29" i="189"/>
  <c r="U28" i="189"/>
  <c r="U26" i="189"/>
  <c r="K15" i="189"/>
  <c r="M14" i="189"/>
  <c r="U14" i="189" s="1"/>
  <c r="S18" i="189"/>
  <c r="S22" i="189"/>
  <c r="S26" i="189"/>
  <c r="S30" i="189"/>
  <c r="S17" i="189"/>
  <c r="S21" i="189"/>
  <c r="S25" i="189"/>
  <c r="S29" i="189"/>
  <c r="S33" i="189"/>
  <c r="C15" i="189"/>
  <c r="C14" i="189" s="1"/>
  <c r="E14" i="189"/>
  <c r="S16" i="189"/>
  <c r="S20" i="189"/>
  <c r="S24" i="189"/>
  <c r="S28" i="189"/>
  <c r="S32" i="189"/>
  <c r="G14" i="189"/>
  <c r="G29" i="183"/>
  <c r="M28" i="183"/>
  <c r="Q28" i="183"/>
  <c r="J28" i="183"/>
  <c r="H28" i="183" l="1"/>
  <c r="W14" i="189"/>
  <c r="I28" i="183"/>
  <c r="W28" i="183"/>
  <c r="K14" i="189"/>
  <c r="S14" i="189" s="1"/>
  <c r="S15" i="189"/>
  <c r="F29" i="183"/>
  <c r="F28" i="183" s="1"/>
  <c r="G28" i="183"/>
  <c r="D30" i="177" l="1"/>
  <c r="C30" i="177" s="1"/>
  <c r="D29" i="177"/>
  <c r="C29" i="177" s="1"/>
  <c r="D28" i="177"/>
  <c r="C28" i="177" s="1"/>
  <c r="D27" i="177"/>
  <c r="C27" i="177" s="1"/>
  <c r="D26" i="177"/>
  <c r="C26" i="177" s="1"/>
  <c r="D25" i="177"/>
  <c r="C25" i="177" s="1"/>
  <c r="D24" i="177"/>
  <c r="C24" i="177" s="1"/>
  <c r="D23" i="177"/>
  <c r="C23" i="177" s="1"/>
  <c r="D22" i="177"/>
  <c r="C22" i="177"/>
  <c r="D21" i="177"/>
  <c r="C21" i="177" s="1"/>
  <c r="D20" i="177"/>
  <c r="C20" i="177" s="1"/>
  <c r="D19" i="177"/>
  <c r="C19" i="177" s="1"/>
  <c r="D18" i="177"/>
  <c r="C18" i="177" s="1"/>
  <c r="D17" i="177"/>
  <c r="C17" i="177" s="1"/>
  <c r="D16" i="177"/>
  <c r="C16" i="177" s="1"/>
  <c r="D15" i="177"/>
  <c r="C15" i="177" s="1"/>
  <c r="D14" i="177"/>
  <c r="C14" i="177" s="1"/>
  <c r="D13" i="177"/>
  <c r="C13" i="177" s="1"/>
  <c r="D12" i="177"/>
  <c r="C12" i="177" s="1"/>
  <c r="H11" i="177"/>
  <c r="G11" i="177"/>
  <c r="F11" i="177"/>
  <c r="E11" i="177"/>
  <c r="D10" i="177"/>
  <c r="E10" i="177" s="1"/>
  <c r="F10" i="177" s="1"/>
  <c r="D11" i="177" l="1"/>
  <c r="C11" i="177"/>
  <c r="K11" i="178" l="1"/>
  <c r="K13" i="178"/>
  <c r="K14" i="178"/>
  <c r="K15" i="178"/>
  <c r="K16" i="178"/>
  <c r="K10" i="178"/>
  <c r="G13" i="178"/>
  <c r="G14" i="178"/>
  <c r="G15" i="178"/>
  <c r="G16" i="178"/>
  <c r="G17" i="178"/>
  <c r="G10" i="178"/>
  <c r="G11" i="178"/>
  <c r="D10" i="180" l="1"/>
  <c r="L14" i="178"/>
  <c r="L13" i="178"/>
  <c r="C9" i="178"/>
  <c r="L10" i="178"/>
  <c r="C32" i="171" l="1"/>
  <c r="C23" i="171"/>
  <c r="C28" i="171"/>
  <c r="F28" i="171" s="1"/>
  <c r="C27" i="171"/>
  <c r="C34" i="171"/>
  <c r="C16" i="171"/>
  <c r="C17" i="171"/>
  <c r="E29" i="167"/>
  <c r="D28" i="167"/>
  <c r="C28" i="167"/>
  <c r="D27" i="167"/>
  <c r="E27" i="167" s="1"/>
  <c r="C27" i="167"/>
  <c r="D26" i="167"/>
  <c r="F26" i="167" s="1"/>
  <c r="C26" i="167"/>
  <c r="A26" i="167"/>
  <c r="D25" i="167"/>
  <c r="C25" i="167"/>
  <c r="C24" i="167" s="1"/>
  <c r="D23" i="167"/>
  <c r="F23" i="167" s="1"/>
  <c r="C23" i="167"/>
  <c r="D22" i="167"/>
  <c r="C22" i="167"/>
  <c r="C20" i="167" s="1"/>
  <c r="C19" i="167" s="1"/>
  <c r="A22" i="167"/>
  <c r="D21" i="167"/>
  <c r="C21" i="167"/>
  <c r="D18" i="167"/>
  <c r="E18" i="167" s="1"/>
  <c r="D17" i="167"/>
  <c r="E17" i="167" s="1"/>
  <c r="D16" i="167"/>
  <c r="E16" i="167" s="1"/>
  <c r="D15" i="167"/>
  <c r="D13" i="167" s="1"/>
  <c r="C15" i="167"/>
  <c r="C13" i="167" s="1"/>
  <c r="F13" i="167" s="1"/>
  <c r="A15" i="167"/>
  <c r="D14" i="167"/>
  <c r="C14" i="167"/>
  <c r="F14" i="167" s="1"/>
  <c r="F12" i="167"/>
  <c r="E12" i="167"/>
  <c r="D11" i="167"/>
  <c r="D10" i="167" s="1"/>
  <c r="C11" i="167"/>
  <c r="C10" i="167" s="1"/>
  <c r="D8" i="167"/>
  <c r="D36" i="169"/>
  <c r="E32" i="169"/>
  <c r="E31" i="169"/>
  <c r="D30" i="169"/>
  <c r="D28" i="169" s="1"/>
  <c r="C30" i="169"/>
  <c r="C28" i="169" s="1"/>
  <c r="C36" i="169" s="1"/>
  <c r="C35" i="169" s="1"/>
  <c r="A30" i="169"/>
  <c r="E29" i="169"/>
  <c r="E22" i="169"/>
  <c r="C22" i="169"/>
  <c r="D21" i="169"/>
  <c r="E21" i="169" s="1"/>
  <c r="C21" i="169"/>
  <c r="C19" i="169" s="1"/>
  <c r="A21" i="169"/>
  <c r="D20" i="169"/>
  <c r="D19" i="169" s="1"/>
  <c r="E15" i="169"/>
  <c r="E14" i="169"/>
  <c r="D13" i="169"/>
  <c r="E13" i="169" s="1"/>
  <c r="C13" i="169"/>
  <c r="A13" i="169"/>
  <c r="C12" i="169"/>
  <c r="E12" i="169" s="1"/>
  <c r="D9" i="169"/>
  <c r="F61" i="168"/>
  <c r="F60" i="168"/>
  <c r="F58" i="168"/>
  <c r="H57" i="168"/>
  <c r="G57" i="168"/>
  <c r="D57" i="168"/>
  <c r="F56" i="168"/>
  <c r="E56" i="168"/>
  <c r="D56" i="168"/>
  <c r="C56" i="168"/>
  <c r="C54" i="168" s="1"/>
  <c r="G55" i="168"/>
  <c r="D55" i="168"/>
  <c r="H55" i="168" s="1"/>
  <c r="E54" i="168"/>
  <c r="E53" i="168" s="1"/>
  <c r="D54" i="168"/>
  <c r="D53" i="168" s="1"/>
  <c r="G52" i="168"/>
  <c r="F52" i="168"/>
  <c r="H52" i="168" s="1"/>
  <c r="D52" i="168"/>
  <c r="F51" i="168"/>
  <c r="F50" i="168"/>
  <c r="G48" i="168"/>
  <c r="F48" i="168"/>
  <c r="D48" i="168"/>
  <c r="D43" i="168" s="1"/>
  <c r="H47" i="168"/>
  <c r="G47" i="168"/>
  <c r="H46" i="168"/>
  <c r="G46" i="168"/>
  <c r="H45" i="168"/>
  <c r="G45" i="168"/>
  <c r="G44" i="168"/>
  <c r="E43" i="168"/>
  <c r="G43" i="168" s="1"/>
  <c r="C43" i="168"/>
  <c r="G42" i="168"/>
  <c r="F42" i="168"/>
  <c r="D42" i="168"/>
  <c r="G41" i="168"/>
  <c r="D41" i="168"/>
  <c r="H41" i="168" s="1"/>
  <c r="G40" i="168"/>
  <c r="D40" i="168"/>
  <c r="H40" i="168" s="1"/>
  <c r="G39" i="168"/>
  <c r="D39" i="168"/>
  <c r="H39" i="168" s="1"/>
  <c r="H38" i="168"/>
  <c r="G38" i="168"/>
  <c r="D38" i="168"/>
  <c r="G37" i="168"/>
  <c r="F37" i="168"/>
  <c r="D37" i="168"/>
  <c r="G36" i="168"/>
  <c r="F36" i="168"/>
  <c r="D36" i="168"/>
  <c r="G35" i="168"/>
  <c r="F35" i="168"/>
  <c r="H35" i="168" s="1"/>
  <c r="D35" i="168"/>
  <c r="F34" i="168"/>
  <c r="F31" i="168" s="1"/>
  <c r="H31" i="168" s="1"/>
  <c r="F33" i="168"/>
  <c r="D33" i="168"/>
  <c r="E31" i="168"/>
  <c r="G31" i="168" s="1"/>
  <c r="D31" i="168"/>
  <c r="C31" i="168"/>
  <c r="G30" i="168"/>
  <c r="F30" i="168"/>
  <c r="H30" i="168" s="1"/>
  <c r="D30" i="168"/>
  <c r="E29" i="168"/>
  <c r="G29" i="168" s="1"/>
  <c r="D29" i="168"/>
  <c r="D27" i="168" s="1"/>
  <c r="G28" i="168"/>
  <c r="C27" i="168"/>
  <c r="G27" i="168" s="1"/>
  <c r="E26" i="168"/>
  <c r="C26" i="168"/>
  <c r="G25" i="168"/>
  <c r="F25" i="168"/>
  <c r="H25" i="168" s="1"/>
  <c r="D25" i="168"/>
  <c r="G24" i="168"/>
  <c r="F24" i="168"/>
  <c r="D24" i="168"/>
  <c r="G23" i="168"/>
  <c r="F23" i="168"/>
  <c r="H23" i="168" s="1"/>
  <c r="D23" i="168"/>
  <c r="G22" i="168"/>
  <c r="F22" i="168"/>
  <c r="D22" i="168"/>
  <c r="G21" i="168"/>
  <c r="F21" i="168"/>
  <c r="H21" i="168" s="1"/>
  <c r="D21" i="168"/>
  <c r="F20" i="168"/>
  <c r="G19" i="168"/>
  <c r="F19" i="168"/>
  <c r="H19" i="168" s="1"/>
  <c r="D19" i="168"/>
  <c r="E18" i="168"/>
  <c r="C18" i="168"/>
  <c r="F17" i="168"/>
  <c r="F16" i="168"/>
  <c r="F15" i="168"/>
  <c r="F14" i="168" s="1"/>
  <c r="E14" i="168"/>
  <c r="E10" i="168" s="1"/>
  <c r="D14" i="168"/>
  <c r="C14" i="168"/>
  <c r="F13" i="168"/>
  <c r="F11" i="168" s="1"/>
  <c r="D13" i="168"/>
  <c r="D11" i="168" s="1"/>
  <c r="E11" i="168"/>
  <c r="C11" i="168"/>
  <c r="D7" i="168"/>
  <c r="E7" i="168" s="1"/>
  <c r="F7" i="168" s="1"/>
  <c r="E39" i="171"/>
  <c r="D38" i="171"/>
  <c r="E38" i="171" s="1"/>
  <c r="F37" i="171"/>
  <c r="E37" i="171"/>
  <c r="E36" i="171"/>
  <c r="F35" i="171"/>
  <c r="D35" i="171"/>
  <c r="E35" i="171" s="1"/>
  <c r="E34" i="171"/>
  <c r="D34" i="171"/>
  <c r="F34" i="171" s="1"/>
  <c r="D33" i="171"/>
  <c r="F33" i="171" s="1"/>
  <c r="D32" i="171"/>
  <c r="E32" i="171" s="1"/>
  <c r="F31" i="171"/>
  <c r="D31" i="171"/>
  <c r="E31" i="171" s="1"/>
  <c r="E30" i="171"/>
  <c r="D30" i="171"/>
  <c r="F30" i="171" s="1"/>
  <c r="D29" i="171"/>
  <c r="F29" i="171" s="1"/>
  <c r="D28" i="171"/>
  <c r="F27" i="171"/>
  <c r="D27" i="171"/>
  <c r="E27" i="171" s="1"/>
  <c r="D26" i="171"/>
  <c r="F26" i="171" s="1"/>
  <c r="D25" i="171"/>
  <c r="F25" i="171" s="1"/>
  <c r="E24" i="171"/>
  <c r="D24" i="171"/>
  <c r="F24" i="171" s="1"/>
  <c r="F23" i="171"/>
  <c r="D23" i="171"/>
  <c r="E23" i="171" s="1"/>
  <c r="D20" i="171"/>
  <c r="E20" i="171" s="1"/>
  <c r="D19" i="171"/>
  <c r="E19" i="171" s="1"/>
  <c r="D18" i="171"/>
  <c r="D17" i="171"/>
  <c r="F17" i="171" s="1"/>
  <c r="D16" i="171"/>
  <c r="F16" i="171" s="1"/>
  <c r="C15" i="171"/>
  <c r="C14" i="171" s="1"/>
  <c r="F12" i="171"/>
  <c r="E12" i="171"/>
  <c r="F11" i="171"/>
  <c r="E11" i="171"/>
  <c r="D10" i="171"/>
  <c r="C10" i="171"/>
  <c r="D8" i="171"/>
  <c r="E13" i="167" l="1"/>
  <c r="H56" i="168"/>
  <c r="C10" i="168"/>
  <c r="C9" i="168" s="1"/>
  <c r="F32" i="171"/>
  <c r="H22" i="168"/>
  <c r="H48" i="168"/>
  <c r="F54" i="168"/>
  <c r="F53" i="168" s="1"/>
  <c r="E15" i="167"/>
  <c r="H37" i="168"/>
  <c r="E28" i="167"/>
  <c r="F15" i="167"/>
  <c r="H42" i="168"/>
  <c r="F22" i="167"/>
  <c r="C22" i="171"/>
  <c r="C13" i="171" s="1"/>
  <c r="C9" i="171" s="1"/>
  <c r="E9" i="171" s="1"/>
  <c r="D22" i="171"/>
  <c r="G18" i="168"/>
  <c r="D24" i="167"/>
  <c r="F24" i="167" s="1"/>
  <c r="E26" i="171"/>
  <c r="E28" i="171"/>
  <c r="F18" i="168"/>
  <c r="H18" i="168" s="1"/>
  <c r="D26" i="168"/>
  <c r="D11" i="169"/>
  <c r="D26" i="169" s="1"/>
  <c r="D15" i="171"/>
  <c r="D14" i="171" s="1"/>
  <c r="D13" i="171" s="1"/>
  <c r="D9" i="171" s="1"/>
  <c r="F9" i="171" s="1"/>
  <c r="E25" i="167"/>
  <c r="E16" i="171"/>
  <c r="H24" i="168"/>
  <c r="D20" i="167"/>
  <c r="F20" i="167" s="1"/>
  <c r="F10" i="171"/>
  <c r="E17" i="171"/>
  <c r="D18" i="168"/>
  <c r="H36" i="168"/>
  <c r="E14" i="167"/>
  <c r="F21" i="167"/>
  <c r="F10" i="167"/>
  <c r="E10" i="167"/>
  <c r="E9" i="167" s="1"/>
  <c r="D9" i="167"/>
  <c r="F9" i="167" s="1"/>
  <c r="F11" i="167"/>
  <c r="E11" i="167"/>
  <c r="D19" i="167"/>
  <c r="F19" i="167" s="1"/>
  <c r="E20" i="167"/>
  <c r="E21" i="167"/>
  <c r="C9" i="167"/>
  <c r="E22" i="167"/>
  <c r="E23" i="167"/>
  <c r="E26" i="167"/>
  <c r="E19" i="169"/>
  <c r="E28" i="169"/>
  <c r="E36" i="169"/>
  <c r="E20" i="169"/>
  <c r="E30" i="169"/>
  <c r="D35" i="169"/>
  <c r="E35" i="169" s="1"/>
  <c r="C11" i="169"/>
  <c r="G53" i="168"/>
  <c r="G54" i="168"/>
  <c r="C53" i="168"/>
  <c r="C8" i="168" s="1"/>
  <c r="C63" i="168" s="1"/>
  <c r="G10" i="168"/>
  <c r="H53" i="168"/>
  <c r="G26" i="168"/>
  <c r="H54" i="168"/>
  <c r="G56" i="168"/>
  <c r="F43" i="168"/>
  <c r="H43" i="168" s="1"/>
  <c r="E9" i="168"/>
  <c r="F29" i="168"/>
  <c r="E10" i="171"/>
  <c r="E18" i="171"/>
  <c r="E22" i="171"/>
  <c r="E25" i="171"/>
  <c r="E29" i="171"/>
  <c r="E33" i="171"/>
  <c r="G39" i="169" l="1"/>
  <c r="E11" i="169"/>
  <c r="D39" i="169"/>
  <c r="F14" i="171"/>
  <c r="D10" i="168"/>
  <c r="D9" i="168" s="1"/>
  <c r="D8" i="168" s="1"/>
  <c r="D63" i="168" s="1"/>
  <c r="F15" i="171"/>
  <c r="E15" i="171"/>
  <c r="E14" i="171" s="1"/>
  <c r="F22" i="171"/>
  <c r="E13" i="171"/>
  <c r="E24" i="167"/>
  <c r="F13" i="171"/>
  <c r="H28" i="167"/>
  <c r="E19" i="167"/>
  <c r="H29" i="168"/>
  <c r="F27" i="168"/>
  <c r="G9" i="168"/>
  <c r="E8" i="168"/>
  <c r="F26" i="168" l="1"/>
  <c r="H27" i="168"/>
  <c r="E63" i="168"/>
  <c r="G8" i="168"/>
  <c r="H26" i="168" l="1"/>
  <c r="F10" i="168"/>
  <c r="H10" i="168" l="1"/>
  <c r="F9" i="168"/>
  <c r="H9" i="168" l="1"/>
  <c r="F8" i="168"/>
  <c r="F63" i="168" l="1"/>
  <c r="H8" i="168"/>
  <c r="E43" i="170" l="1"/>
  <c r="E44" i="170"/>
  <c r="E45" i="170"/>
  <c r="E46" i="170"/>
  <c r="E47" i="170"/>
  <c r="E48" i="170"/>
  <c r="E49" i="170"/>
  <c r="E50" i="170"/>
  <c r="E51" i="170"/>
  <c r="E52" i="170"/>
  <c r="E53" i="170"/>
  <c r="E54" i="170"/>
  <c r="E55" i="170"/>
  <c r="E56" i="170"/>
  <c r="E57" i="170"/>
  <c r="E58" i="170"/>
  <c r="E59" i="170"/>
  <c r="E60" i="170"/>
  <c r="E61" i="170"/>
  <c r="E62" i="170"/>
  <c r="E63" i="170"/>
  <c r="E64" i="170"/>
  <c r="E65" i="170"/>
  <c r="E66" i="170"/>
  <c r="E67" i="170"/>
  <c r="E68" i="170"/>
  <c r="E69" i="170"/>
  <c r="E70" i="170"/>
  <c r="E71" i="170"/>
  <c r="E76" i="170"/>
  <c r="E80" i="170"/>
  <c r="E81" i="170"/>
  <c r="E83" i="170"/>
  <c r="E84" i="170"/>
  <c r="E86" i="170"/>
  <c r="E88" i="170"/>
  <c r="E89" i="170"/>
  <c r="E91" i="170"/>
  <c r="E92" i="170"/>
  <c r="E93" i="170"/>
  <c r="E95" i="170"/>
  <c r="E97" i="170"/>
  <c r="E98" i="170"/>
  <c r="E99" i="170"/>
  <c r="E100" i="170"/>
  <c r="E102" i="170"/>
  <c r="E103" i="170"/>
  <c r="E105" i="170"/>
  <c r="E106" i="170"/>
  <c r="E107" i="170"/>
  <c r="E108" i="170"/>
  <c r="E110" i="170"/>
  <c r="E111" i="170"/>
  <c r="E113" i="170"/>
  <c r="E114" i="170"/>
  <c r="E115" i="170"/>
  <c r="E120" i="170"/>
  <c r="E121" i="170"/>
  <c r="E122" i="170"/>
  <c r="E124" i="170"/>
  <c r="E125" i="170"/>
  <c r="E128" i="170"/>
  <c r="E129" i="170"/>
  <c r="E130" i="170"/>
  <c r="E131" i="170"/>
  <c r="E132" i="170"/>
  <c r="E134" i="170"/>
  <c r="E135" i="170"/>
  <c r="E137" i="170"/>
  <c r="E138" i="170"/>
  <c r="E144" i="170"/>
  <c r="E145" i="170"/>
  <c r="E146" i="170"/>
  <c r="E147" i="170"/>
  <c r="E148" i="170"/>
  <c r="E149" i="170"/>
  <c r="E150" i="170"/>
  <c r="E151" i="170"/>
  <c r="E152" i="170"/>
  <c r="E153" i="170"/>
  <c r="E154" i="170"/>
  <c r="E155" i="170"/>
  <c r="E156" i="170"/>
  <c r="E157" i="170"/>
  <c r="E158" i="170"/>
  <c r="E159" i="170"/>
  <c r="E160" i="170"/>
  <c r="E161" i="170"/>
  <c r="E162" i="170"/>
  <c r="E163" i="170"/>
  <c r="E164" i="170"/>
  <c r="E165" i="170"/>
  <c r="E166" i="170"/>
  <c r="E167" i="170"/>
  <c r="E169" i="170"/>
  <c r="E172" i="170"/>
  <c r="E175" i="170"/>
  <c r="E176" i="170"/>
  <c r="E177" i="170"/>
  <c r="E178" i="170"/>
  <c r="E179" i="170"/>
  <c r="E180" i="170"/>
  <c r="E14" i="170"/>
  <c r="E16" i="170"/>
  <c r="E17" i="170"/>
  <c r="E19" i="170"/>
  <c r="E21" i="170"/>
  <c r="E22" i="170"/>
  <c r="H13" i="172"/>
  <c r="G13" i="172"/>
  <c r="E20" i="172"/>
  <c r="C20" i="172" s="1"/>
  <c r="D20" i="172"/>
  <c r="H20" i="172"/>
  <c r="G20" i="172"/>
  <c r="F20" i="172" s="1"/>
  <c r="F22" i="172"/>
  <c r="F21" i="172"/>
  <c r="AO6" i="188"/>
  <c r="AN5" i="188"/>
  <c r="AO5" i="188" s="1"/>
  <c r="AN7" i="188"/>
  <c r="AL7" i="188"/>
  <c r="AO7" i="188" s="1"/>
  <c r="F13" i="172" l="1"/>
  <c r="E58" i="172"/>
  <c r="C58" i="172" s="1"/>
  <c r="D58" i="172"/>
  <c r="D168" i="170"/>
  <c r="D141" i="170"/>
  <c r="D127" i="170"/>
  <c r="D126" i="170" s="1"/>
  <c r="E126" i="170" s="1"/>
  <c r="D123" i="170"/>
  <c r="D136" i="170"/>
  <c r="E136" i="170" s="1"/>
  <c r="D133" i="170"/>
  <c r="E133" i="170" s="1"/>
  <c r="D119" i="170"/>
  <c r="E119" i="170" s="1"/>
  <c r="D112" i="170"/>
  <c r="D109" i="170"/>
  <c r="D101" i="170"/>
  <c r="D94" i="170"/>
  <c r="D90" i="170"/>
  <c r="D87" i="170"/>
  <c r="D85" i="170" s="1"/>
  <c r="E85" i="170" s="1"/>
  <c r="D82" i="170"/>
  <c r="E82" i="170" s="1"/>
  <c r="D73" i="170"/>
  <c r="C73" i="170"/>
  <c r="C20" i="170"/>
  <c r="C15" i="170"/>
  <c r="E15" i="170" s="1"/>
  <c r="C168" i="170"/>
  <c r="C143" i="170"/>
  <c r="E143" i="170" s="1"/>
  <c r="C119" i="170"/>
  <c r="C118" i="170" s="1"/>
  <c r="C116" i="170" s="1"/>
  <c r="C123" i="170"/>
  <c r="C127" i="170"/>
  <c r="C126" i="170" s="1"/>
  <c r="C133" i="170"/>
  <c r="C136" i="170"/>
  <c r="C112" i="170"/>
  <c r="C109" i="170"/>
  <c r="C104" i="170" s="1"/>
  <c r="C101" i="170"/>
  <c r="C94" i="170"/>
  <c r="C90" i="170"/>
  <c r="C87" i="170"/>
  <c r="C85" i="170"/>
  <c r="C79" i="170"/>
  <c r="E79" i="170" s="1"/>
  <c r="C82" i="170"/>
  <c r="E106" i="172"/>
  <c r="G106" i="172"/>
  <c r="H106" i="172"/>
  <c r="K106" i="172" s="1"/>
  <c r="E102" i="172"/>
  <c r="G102" i="172"/>
  <c r="H102" i="172"/>
  <c r="K102" i="172" s="1"/>
  <c r="D12" i="172"/>
  <c r="D106" i="172"/>
  <c r="D102" i="172"/>
  <c r="E94" i="170" l="1"/>
  <c r="E168" i="170"/>
  <c r="D78" i="170"/>
  <c r="E101" i="170"/>
  <c r="E73" i="170"/>
  <c r="E123" i="170"/>
  <c r="E127" i="170"/>
  <c r="E90" i="170"/>
  <c r="E87" i="170"/>
  <c r="C141" i="170"/>
  <c r="C139" i="170" s="1"/>
  <c r="E109" i="170"/>
  <c r="D104" i="170"/>
  <c r="E104" i="170" s="1"/>
  <c r="C78" i="170"/>
  <c r="C77" i="170" s="1"/>
  <c r="E112" i="170"/>
  <c r="D139" i="170"/>
  <c r="D118" i="170"/>
  <c r="D77" i="170"/>
  <c r="E95" i="172"/>
  <c r="C95" i="172" s="1"/>
  <c r="G95" i="172"/>
  <c r="H95" i="172"/>
  <c r="D95" i="172"/>
  <c r="E84" i="172"/>
  <c r="G84" i="172"/>
  <c r="H84" i="172"/>
  <c r="D84" i="172"/>
  <c r="C165" i="172"/>
  <c r="C164" i="172"/>
  <c r="C163" i="172"/>
  <c r="C162" i="172"/>
  <c r="C161" i="172"/>
  <c r="C160" i="172"/>
  <c r="C159" i="172"/>
  <c r="C158" i="172"/>
  <c r="E157" i="172"/>
  <c r="D157" i="172"/>
  <c r="C156" i="172"/>
  <c r="C154" i="172" s="1"/>
  <c r="E154" i="172"/>
  <c r="D154" i="172"/>
  <c r="E153" i="172"/>
  <c r="C152" i="172"/>
  <c r="C151" i="172" s="1"/>
  <c r="E151" i="172"/>
  <c r="E124" i="172" s="1"/>
  <c r="E122" i="172" s="1"/>
  <c r="D151" i="172"/>
  <c r="D124" i="172" s="1"/>
  <c r="D122" i="172" s="1"/>
  <c r="C128" i="172"/>
  <c r="C126" i="172" s="1"/>
  <c r="E126" i="172"/>
  <c r="D126" i="172"/>
  <c r="C125" i="172"/>
  <c r="C123" i="172"/>
  <c r="C121" i="172"/>
  <c r="C120" i="172"/>
  <c r="C119" i="172" s="1"/>
  <c r="E119" i="172"/>
  <c r="D119" i="172"/>
  <c r="C118" i="172"/>
  <c r="C117" i="172"/>
  <c r="E116" i="172"/>
  <c r="D116" i="172"/>
  <c r="C116" i="172" s="1"/>
  <c r="C115" i="172"/>
  <c r="C114" i="172"/>
  <c r="C113" i="172"/>
  <c r="C112" i="172"/>
  <c r="C111" i="172"/>
  <c r="E110" i="172"/>
  <c r="E109" i="172" s="1"/>
  <c r="D110" i="172"/>
  <c r="D109" i="172" s="1"/>
  <c r="D101" i="172" s="1"/>
  <c r="C108" i="172"/>
  <c r="C107" i="172"/>
  <c r="C106" i="172"/>
  <c r="C105" i="172"/>
  <c r="C104" i="172"/>
  <c r="C103" i="172"/>
  <c r="C102" i="172"/>
  <c r="C100" i="172"/>
  <c r="C98" i="172"/>
  <c r="C97" i="172"/>
  <c r="C96" i="172"/>
  <c r="C94" i="172"/>
  <c r="C93" i="172"/>
  <c r="E92" i="172"/>
  <c r="D92" i="172"/>
  <c r="C91" i="172"/>
  <c r="C90" i="172"/>
  <c r="C89" i="172"/>
  <c r="E88" i="172"/>
  <c r="D88" i="172"/>
  <c r="C88" i="172"/>
  <c r="C86" i="172"/>
  <c r="C85" i="172"/>
  <c r="C84" i="172"/>
  <c r="C83" i="172"/>
  <c r="C82" i="172"/>
  <c r="E72" i="172"/>
  <c r="C72" i="172" s="1"/>
  <c r="C70" i="172" s="1"/>
  <c r="D72" i="172"/>
  <c r="G72" i="172"/>
  <c r="D77" i="172"/>
  <c r="E77" i="172"/>
  <c r="C81" i="172"/>
  <c r="C80" i="172"/>
  <c r="C79" i="172"/>
  <c r="C78" i="172"/>
  <c r="F76" i="172"/>
  <c r="C76" i="172"/>
  <c r="E75" i="172"/>
  <c r="D75" i="172"/>
  <c r="C74" i="172"/>
  <c r="C71" i="172"/>
  <c r="D70" i="172"/>
  <c r="C61" i="172"/>
  <c r="C69" i="172"/>
  <c r="C68" i="172"/>
  <c r="C66" i="172"/>
  <c r="C65" i="172"/>
  <c r="D64" i="172"/>
  <c r="D67" i="172"/>
  <c r="C67" i="172" s="1"/>
  <c r="H42" i="172"/>
  <c r="K42" i="172" s="1"/>
  <c r="G42" i="172"/>
  <c r="J42" i="172" s="1"/>
  <c r="D75" i="170" l="1"/>
  <c r="E77" i="170"/>
  <c r="D74" i="170"/>
  <c r="E101" i="172"/>
  <c r="E99" i="172" s="1"/>
  <c r="D116" i="170"/>
  <c r="E116" i="170" s="1"/>
  <c r="E118" i="170"/>
  <c r="E141" i="170"/>
  <c r="E70" i="172"/>
  <c r="E62" i="172" s="1"/>
  <c r="K84" i="172"/>
  <c r="E139" i="170"/>
  <c r="D153" i="172"/>
  <c r="E78" i="170"/>
  <c r="D63" i="172"/>
  <c r="C157" i="172"/>
  <c r="C92" i="172"/>
  <c r="C74" i="170"/>
  <c r="C72" i="170" s="1"/>
  <c r="C41" i="170" s="1"/>
  <c r="C75" i="170"/>
  <c r="K95" i="172"/>
  <c r="E74" i="170"/>
  <c r="D72" i="170"/>
  <c r="C101" i="172"/>
  <c r="C110" i="172"/>
  <c r="D87" i="172"/>
  <c r="C87" i="172" s="1"/>
  <c r="E87" i="172"/>
  <c r="C109" i="172"/>
  <c r="C153" i="172"/>
  <c r="C124" i="172"/>
  <c r="C122" i="172" s="1"/>
  <c r="C77" i="172"/>
  <c r="C64" i="172"/>
  <c r="C63" i="172" s="1"/>
  <c r="C75" i="172"/>
  <c r="J14" i="172"/>
  <c r="J15" i="172"/>
  <c r="K15" i="172"/>
  <c r="J16" i="172"/>
  <c r="K16" i="172"/>
  <c r="J17" i="172"/>
  <c r="K17" i="172"/>
  <c r="J19" i="172"/>
  <c r="K19" i="172"/>
  <c r="J21" i="172"/>
  <c r="J22" i="172"/>
  <c r="K22" i="172"/>
  <c r="J26" i="172"/>
  <c r="K26" i="172"/>
  <c r="J27" i="172"/>
  <c r="J28" i="172"/>
  <c r="K28" i="172"/>
  <c r="J29" i="172"/>
  <c r="K29" i="172"/>
  <c r="J30" i="172"/>
  <c r="J31" i="172"/>
  <c r="K31" i="172"/>
  <c r="J32" i="172"/>
  <c r="K32" i="172"/>
  <c r="J33" i="172"/>
  <c r="J34" i="172"/>
  <c r="J35" i="172"/>
  <c r="K35" i="172"/>
  <c r="J36" i="172"/>
  <c r="K36" i="172"/>
  <c r="J37" i="172"/>
  <c r="K37" i="172"/>
  <c r="J38" i="172"/>
  <c r="K38" i="172"/>
  <c r="J39" i="172"/>
  <c r="K39" i="172"/>
  <c r="J43" i="172"/>
  <c r="K43" i="172"/>
  <c r="J44" i="172"/>
  <c r="K44" i="172"/>
  <c r="J45" i="172"/>
  <c r="K45" i="172"/>
  <c r="J48" i="172"/>
  <c r="K48" i="172"/>
  <c r="J49" i="172"/>
  <c r="K49" i="172"/>
  <c r="J50" i="172"/>
  <c r="K50" i="172"/>
  <c r="J51" i="172"/>
  <c r="K51" i="172"/>
  <c r="J52" i="172"/>
  <c r="K52" i="172"/>
  <c r="J53" i="172"/>
  <c r="K53" i="172"/>
  <c r="J54" i="172"/>
  <c r="K54" i="172"/>
  <c r="J55" i="172"/>
  <c r="K55" i="172"/>
  <c r="J56" i="172"/>
  <c r="K56" i="172"/>
  <c r="J61" i="172"/>
  <c r="J66" i="172"/>
  <c r="J68" i="172"/>
  <c r="J71" i="172"/>
  <c r="K71" i="172"/>
  <c r="J74" i="172"/>
  <c r="K74" i="172"/>
  <c r="J78" i="172"/>
  <c r="K78" i="172"/>
  <c r="J79" i="172"/>
  <c r="J80" i="172"/>
  <c r="J81" i="172"/>
  <c r="K81" i="172"/>
  <c r="J82" i="172"/>
  <c r="J83" i="172"/>
  <c r="K83" i="172"/>
  <c r="J84" i="172"/>
  <c r="J86" i="172"/>
  <c r="J89" i="172"/>
  <c r="K89" i="172"/>
  <c r="J90" i="172"/>
  <c r="K90" i="172"/>
  <c r="J91" i="172"/>
  <c r="K91" i="172"/>
  <c r="J94" i="172"/>
  <c r="J95" i="172"/>
  <c r="J96" i="172"/>
  <c r="J97" i="172"/>
  <c r="J98" i="172"/>
  <c r="J102" i="172"/>
  <c r="J103" i="172"/>
  <c r="J104" i="172"/>
  <c r="J105" i="172"/>
  <c r="J106" i="172"/>
  <c r="J107" i="172"/>
  <c r="J108" i="172"/>
  <c r="J111" i="172"/>
  <c r="J112" i="172"/>
  <c r="J113" i="172"/>
  <c r="J114" i="172"/>
  <c r="K115" i="172"/>
  <c r="J117" i="172"/>
  <c r="J118" i="172"/>
  <c r="J120" i="172"/>
  <c r="J121" i="172"/>
  <c r="J128" i="172"/>
  <c r="J152" i="172"/>
  <c r="K152" i="172"/>
  <c r="J158" i="172"/>
  <c r="K159" i="172"/>
  <c r="H58" i="172"/>
  <c r="K58" i="172" s="1"/>
  <c r="G58" i="172"/>
  <c r="H64" i="172"/>
  <c r="K64" i="172" s="1"/>
  <c r="G64" i="172"/>
  <c r="J64" i="172" s="1"/>
  <c r="H67" i="172"/>
  <c r="K67" i="172" s="1"/>
  <c r="G67" i="172"/>
  <c r="H72" i="172"/>
  <c r="J72" i="172"/>
  <c r="H75" i="172"/>
  <c r="K75" i="172" s="1"/>
  <c r="G75" i="172"/>
  <c r="J75" i="172" s="1"/>
  <c r="H77" i="172"/>
  <c r="K77" i="172" s="1"/>
  <c r="G77" i="172"/>
  <c r="J77" i="172" s="1"/>
  <c r="F86" i="172"/>
  <c r="H88" i="172"/>
  <c r="K88" i="172" s="1"/>
  <c r="G88" i="172"/>
  <c r="J88" i="172" s="1"/>
  <c r="G92" i="172"/>
  <c r="H92" i="172"/>
  <c r="K92" i="172" s="1"/>
  <c r="G157" i="172"/>
  <c r="H154" i="172"/>
  <c r="K154" i="172" s="1"/>
  <c r="G154" i="172"/>
  <c r="J154" i="172" s="1"/>
  <c r="H110" i="172"/>
  <c r="G110" i="172"/>
  <c r="G119" i="172"/>
  <c r="J119" i="172" s="1"/>
  <c r="H116" i="172"/>
  <c r="K116" i="172" s="1"/>
  <c r="G116" i="172"/>
  <c r="H119" i="172"/>
  <c r="K119" i="172" s="1"/>
  <c r="J46" i="172"/>
  <c r="G25" i="172"/>
  <c r="H25" i="172"/>
  <c r="F14" i="172"/>
  <c r="F15" i="172"/>
  <c r="F16" i="172"/>
  <c r="F17" i="172"/>
  <c r="F18" i="172"/>
  <c r="F19" i="172"/>
  <c r="F23" i="172"/>
  <c r="F24" i="172"/>
  <c r="F26" i="172"/>
  <c r="F27" i="172"/>
  <c r="F28" i="172"/>
  <c r="F29" i="172"/>
  <c r="F30" i="172"/>
  <c r="F31" i="172"/>
  <c r="F32" i="172"/>
  <c r="F33" i="172"/>
  <c r="F34" i="172"/>
  <c r="F35" i="172"/>
  <c r="F36" i="172"/>
  <c r="F37" i="172"/>
  <c r="F38" i="172"/>
  <c r="F39" i="172"/>
  <c r="F43" i="172"/>
  <c r="I43" i="172" s="1"/>
  <c r="F44" i="172"/>
  <c r="I44" i="172" s="1"/>
  <c r="F45" i="172"/>
  <c r="I45" i="172" s="1"/>
  <c r="F48" i="172"/>
  <c r="I48" i="172" s="1"/>
  <c r="F49" i="172"/>
  <c r="I49" i="172" s="1"/>
  <c r="F50" i="172"/>
  <c r="I50" i="172" s="1"/>
  <c r="F51" i="172"/>
  <c r="I51" i="172" s="1"/>
  <c r="F52" i="172"/>
  <c r="I52" i="172" s="1"/>
  <c r="F53" i="172"/>
  <c r="I53" i="172" s="1"/>
  <c r="F54" i="172"/>
  <c r="I54" i="172" s="1"/>
  <c r="F55" i="172"/>
  <c r="I55" i="172" s="1"/>
  <c r="F56" i="172"/>
  <c r="I56" i="172" s="1"/>
  <c r="F61" i="172"/>
  <c r="I61" i="172" s="1"/>
  <c r="F65" i="172"/>
  <c r="I65" i="172" s="1"/>
  <c r="F66" i="172"/>
  <c r="I66" i="172" s="1"/>
  <c r="F68" i="172"/>
  <c r="I68" i="172" s="1"/>
  <c r="F69" i="172"/>
  <c r="I69" i="172" s="1"/>
  <c r="F71" i="172"/>
  <c r="F73" i="172"/>
  <c r="I73" i="172" s="1"/>
  <c r="F74" i="172"/>
  <c r="I74" i="172" s="1"/>
  <c r="F78" i="172"/>
  <c r="F79" i="172"/>
  <c r="I79" i="172" s="1"/>
  <c r="F80" i="172"/>
  <c r="I80" i="172" s="1"/>
  <c r="F81" i="172"/>
  <c r="I81" i="172" s="1"/>
  <c r="F82" i="172"/>
  <c r="I82" i="172" s="1"/>
  <c r="F83" i="172"/>
  <c r="I83" i="172" s="1"/>
  <c r="F85" i="172"/>
  <c r="I85" i="172" s="1"/>
  <c r="F89" i="172"/>
  <c r="I89" i="172" s="1"/>
  <c r="F90" i="172"/>
  <c r="I90" i="172" s="1"/>
  <c r="F91" i="172"/>
  <c r="I91" i="172" s="1"/>
  <c r="F93" i="172"/>
  <c r="I93" i="172" s="1"/>
  <c r="F94" i="172"/>
  <c r="I94" i="172" s="1"/>
  <c r="F96" i="172"/>
  <c r="F97" i="172"/>
  <c r="I97" i="172" s="1"/>
  <c r="F98" i="172"/>
  <c r="I98" i="172" s="1"/>
  <c r="F100" i="172"/>
  <c r="I100" i="172" s="1"/>
  <c r="F103" i="172"/>
  <c r="F104" i="172"/>
  <c r="I104" i="172" s="1"/>
  <c r="F105" i="172"/>
  <c r="I105" i="172" s="1"/>
  <c r="F107" i="172"/>
  <c r="F108" i="172"/>
  <c r="I108" i="172" s="1"/>
  <c r="F111" i="172"/>
  <c r="I111" i="172" s="1"/>
  <c r="F112" i="172"/>
  <c r="I112" i="172" s="1"/>
  <c r="F113" i="172"/>
  <c r="I113" i="172" s="1"/>
  <c r="F114" i="172"/>
  <c r="I114" i="172" s="1"/>
  <c r="F115" i="172"/>
  <c r="I115" i="172" s="1"/>
  <c r="F117" i="172"/>
  <c r="I117" i="172" s="1"/>
  <c r="F121" i="172"/>
  <c r="I121" i="172" s="1"/>
  <c r="F120" i="172"/>
  <c r="F118" i="172"/>
  <c r="I118" i="172" s="1"/>
  <c r="F123" i="172"/>
  <c r="I123" i="172" s="1"/>
  <c r="H151" i="172"/>
  <c r="K151" i="172" s="1"/>
  <c r="G151" i="172"/>
  <c r="J151" i="172" s="1"/>
  <c r="H126" i="172"/>
  <c r="K126" i="172" s="1"/>
  <c r="G126" i="172"/>
  <c r="F125" i="172"/>
  <c r="I125" i="172" s="1"/>
  <c r="F128" i="172"/>
  <c r="F126" i="172" s="1"/>
  <c r="I126" i="172" s="1"/>
  <c r="F152" i="172"/>
  <c r="F151" i="172" s="1"/>
  <c r="I151" i="172" s="1"/>
  <c r="F159" i="172"/>
  <c r="F156" i="172"/>
  <c r="I156" i="172" s="1"/>
  <c r="H157" i="172"/>
  <c r="F160" i="172"/>
  <c r="I160" i="172" s="1"/>
  <c r="F161" i="172"/>
  <c r="I161" i="172" s="1"/>
  <c r="F162" i="172"/>
  <c r="I162" i="172" s="1"/>
  <c r="F163" i="172"/>
  <c r="I163" i="172" s="1"/>
  <c r="F164" i="172"/>
  <c r="I164" i="172" s="1"/>
  <c r="F165" i="172"/>
  <c r="I165" i="172" s="1"/>
  <c r="F158" i="172"/>
  <c r="AH115" i="188"/>
  <c r="AA115" i="188"/>
  <c r="AA114" i="188" s="1"/>
  <c r="AF114" i="188" s="1"/>
  <c r="V115" i="188"/>
  <c r="V114" i="188" s="1"/>
  <c r="Q115" i="188"/>
  <c r="Q114" i="188" s="1"/>
  <c r="N115" i="188"/>
  <c r="N114" i="188" s="1"/>
  <c r="L115" i="188"/>
  <c r="L114" i="188" s="1"/>
  <c r="G115" i="188"/>
  <c r="G114" i="188" s="1"/>
  <c r="AE114" i="188"/>
  <c r="AD114" i="188"/>
  <c r="AC114" i="188"/>
  <c r="AB114" i="188"/>
  <c r="Z114" i="188"/>
  <c r="Y114" i="188"/>
  <c r="X114" i="188"/>
  <c r="W114" i="188"/>
  <c r="U114" i="188"/>
  <c r="T114" i="188"/>
  <c r="S114" i="188"/>
  <c r="R114" i="188"/>
  <c r="P114" i="188"/>
  <c r="O114" i="188"/>
  <c r="M114" i="188"/>
  <c r="K114" i="188"/>
  <c r="K111" i="188" s="1"/>
  <c r="K87" i="188" s="1"/>
  <c r="K86" i="188" s="1"/>
  <c r="J114" i="188"/>
  <c r="I114" i="188"/>
  <c r="H114" i="188"/>
  <c r="H111" i="188" s="1"/>
  <c r="H87" i="188" s="1"/>
  <c r="H86" i="188" s="1"/>
  <c r="AH113" i="188"/>
  <c r="AA113" i="188"/>
  <c r="V113" i="188"/>
  <c r="Q113" i="188"/>
  <c r="N113" i="188"/>
  <c r="N112" i="188" s="1"/>
  <c r="G113" i="188"/>
  <c r="G112" i="188" s="1"/>
  <c r="AE112" i="188"/>
  <c r="AD112" i="188"/>
  <c r="AD111" i="188" s="1"/>
  <c r="AD87" i="188" s="1"/>
  <c r="AD86" i="188" s="1"/>
  <c r="AC112" i="188"/>
  <c r="AC111" i="188" s="1"/>
  <c r="AB112" i="188"/>
  <c r="AB111" i="188" s="1"/>
  <c r="AB87" i="188" s="1"/>
  <c r="AB86" i="188" s="1"/>
  <c r="AA112" i="188"/>
  <c r="AF112" i="188" s="1"/>
  <c r="Z112" i="188"/>
  <c r="Y112" i="188"/>
  <c r="X112" i="188"/>
  <c r="W112" i="188"/>
  <c r="V112" i="188"/>
  <c r="U112" i="188"/>
  <c r="T112" i="188"/>
  <c r="T111" i="188" s="1"/>
  <c r="T87" i="188" s="1"/>
  <c r="T86" i="188" s="1"/>
  <c r="S112" i="188"/>
  <c r="S111" i="188" s="1"/>
  <c r="R112" i="188"/>
  <c r="R111" i="188" s="1"/>
  <c r="R87" i="188" s="1"/>
  <c r="R86" i="188" s="1"/>
  <c r="Q112" i="188"/>
  <c r="P112" i="188"/>
  <c r="P111" i="188" s="1"/>
  <c r="P87" i="188" s="1"/>
  <c r="P86" i="188" s="1"/>
  <c r="O112" i="188"/>
  <c r="O111" i="188" s="1"/>
  <c r="M112" i="188"/>
  <c r="K112" i="188"/>
  <c r="J112" i="188"/>
  <c r="I112" i="188"/>
  <c r="H112" i="188"/>
  <c r="AE111" i="188"/>
  <c r="X111" i="188"/>
  <c r="X87" i="188" s="1"/>
  <c r="X86" i="188" s="1"/>
  <c r="W111" i="188"/>
  <c r="AH110" i="188"/>
  <c r="AA110" i="188"/>
  <c r="AF110" i="188" s="1"/>
  <c r="V110" i="188"/>
  <c r="Q110" i="188"/>
  <c r="L110" i="188"/>
  <c r="G110" i="188"/>
  <c r="AH109" i="188"/>
  <c r="AA109" i="188"/>
  <c r="AF109" i="188" s="1"/>
  <c r="V109" i="188"/>
  <c r="Q109" i="188"/>
  <c r="L109" i="188"/>
  <c r="G109" i="188"/>
  <c r="AH108" i="188"/>
  <c r="AA108" i="188"/>
  <c r="AF108" i="188" s="1"/>
  <c r="V108" i="188"/>
  <c r="Q108" i="188"/>
  <c r="L108" i="188"/>
  <c r="G108" i="188"/>
  <c r="AH107" i="188"/>
  <c r="AF107" i="188"/>
  <c r="AA107" i="188"/>
  <c r="V107" i="188"/>
  <c r="Q107" i="188"/>
  <c r="L107" i="188"/>
  <c r="G107" i="188"/>
  <c r="AH106" i="188"/>
  <c r="AA106" i="188"/>
  <c r="V106" i="188"/>
  <c r="Q106" i="188"/>
  <c r="L106" i="188"/>
  <c r="G106" i="188"/>
  <c r="AH105" i="188"/>
  <c r="AA105" i="188"/>
  <c r="V105" i="188"/>
  <c r="Q105" i="188"/>
  <c r="L105" i="188"/>
  <c r="G105" i="188"/>
  <c r="AH104" i="188"/>
  <c r="AA104" i="188"/>
  <c r="V104" i="188"/>
  <c r="Q104" i="188"/>
  <c r="L104" i="188"/>
  <c r="G104" i="188"/>
  <c r="AH103" i="188"/>
  <c r="AA103" i="188"/>
  <c r="V103" i="188"/>
  <c r="AF103" i="188" s="1"/>
  <c r="Q103" i="188"/>
  <c r="L103" i="188"/>
  <c r="G103" i="188"/>
  <c r="AH102" i="188"/>
  <c r="AA102" i="188"/>
  <c r="V102" i="188"/>
  <c r="Q102" i="188"/>
  <c r="L102" i="188"/>
  <c r="G102" i="188"/>
  <c r="AH101" i="188"/>
  <c r="AA101" i="188"/>
  <c r="V101" i="188"/>
  <c r="Q101" i="188"/>
  <c r="L101" i="188"/>
  <c r="G101" i="188"/>
  <c r="AH100" i="188"/>
  <c r="AA100" i="188"/>
  <c r="V100" i="188"/>
  <c r="AF100" i="188" s="1"/>
  <c r="Q100" i="188"/>
  <c r="L100" i="188"/>
  <c r="G100" i="188"/>
  <c r="AH99" i="188"/>
  <c r="AA99" i="188"/>
  <c r="AF99" i="188" s="1"/>
  <c r="V99" i="188"/>
  <c r="Q99" i="188"/>
  <c r="L99" i="188"/>
  <c r="G99" i="188"/>
  <c r="AH98" i="188"/>
  <c r="AA98" i="188"/>
  <c r="AF98" i="188" s="1"/>
  <c r="V98" i="188"/>
  <c r="Q98" i="188"/>
  <c r="L98" i="188"/>
  <c r="G98" i="188"/>
  <c r="AH97" i="188"/>
  <c r="AA97" i="188"/>
  <c r="V97" i="188"/>
  <c r="Q97" i="188"/>
  <c r="L97" i="188"/>
  <c r="G97" i="188"/>
  <c r="AH96" i="188"/>
  <c r="AA96" i="188"/>
  <c r="AF96" i="188" s="1"/>
  <c r="V96" i="188"/>
  <c r="Q96" i="188"/>
  <c r="L96" i="188"/>
  <c r="G96" i="188"/>
  <c r="AH95" i="188"/>
  <c r="AA95" i="188"/>
  <c r="AF95" i="188" s="1"/>
  <c r="V95" i="188"/>
  <c r="Q95" i="188"/>
  <c r="L95" i="188"/>
  <c r="G95" i="188"/>
  <c r="AH94" i="188"/>
  <c r="AA94" i="188"/>
  <c r="AF94" i="188" s="1"/>
  <c r="V94" i="188"/>
  <c r="Q94" i="188"/>
  <c r="L94" i="188"/>
  <c r="G94" i="188"/>
  <c r="AH93" i="188"/>
  <c r="AA93" i="188"/>
  <c r="V93" i="188"/>
  <c r="Q93" i="188"/>
  <c r="L93" i="188"/>
  <c r="G93" i="188"/>
  <c r="AH92" i="188"/>
  <c r="AA92" i="188"/>
  <c r="AF92" i="188" s="1"/>
  <c r="V92" i="188"/>
  <c r="Q92" i="188"/>
  <c r="L92" i="188"/>
  <c r="G92" i="188"/>
  <c r="AH91" i="188"/>
  <c r="AA91" i="188"/>
  <c r="AF91" i="188" s="1"/>
  <c r="V91" i="188"/>
  <c r="Q91" i="188"/>
  <c r="L91" i="188"/>
  <c r="G91" i="188"/>
  <c r="AH90" i="188"/>
  <c r="AA90" i="188"/>
  <c r="V90" i="188"/>
  <c r="Q90" i="188"/>
  <c r="L90" i="188"/>
  <c r="G90" i="188"/>
  <c r="AH89" i="188"/>
  <c r="AA89" i="188"/>
  <c r="V89" i="188"/>
  <c r="Q89" i="188"/>
  <c r="L89" i="188"/>
  <c r="G89" i="188"/>
  <c r="AE88" i="188"/>
  <c r="AD88" i="188"/>
  <c r="AC88" i="188"/>
  <c r="AC87" i="188" s="1"/>
  <c r="AB88" i="188"/>
  <c r="Z88" i="188"/>
  <c r="Y88" i="188"/>
  <c r="X88" i="188"/>
  <c r="W88" i="188"/>
  <c r="W87" i="188" s="1"/>
  <c r="W86" i="188" s="1"/>
  <c r="U88" i="188"/>
  <c r="T88" i="188"/>
  <c r="S88" i="188"/>
  <c r="S87" i="188" s="1"/>
  <c r="S86" i="188" s="1"/>
  <c r="R88" i="188"/>
  <c r="P88" i="188"/>
  <c r="O88" i="188"/>
  <c r="N88" i="188"/>
  <c r="M88" i="188"/>
  <c r="K88" i="188"/>
  <c r="J88" i="188"/>
  <c r="I88" i="188"/>
  <c r="H88" i="188"/>
  <c r="F88" i="188"/>
  <c r="AE87" i="188"/>
  <c r="AE86" i="188" s="1"/>
  <c r="F87" i="188"/>
  <c r="F86" i="188" s="1"/>
  <c r="AH84" i="188"/>
  <c r="AA84" i="188"/>
  <c r="V84" i="188"/>
  <c r="S84" i="188"/>
  <c r="N84" i="188"/>
  <c r="L84" i="188" s="1"/>
  <c r="L83" i="188" s="1"/>
  <c r="L82" i="188" s="1"/>
  <c r="G84" i="188"/>
  <c r="G83" i="188" s="1"/>
  <c r="G82" i="188" s="1"/>
  <c r="AE83" i="188"/>
  <c r="AE82" i="188" s="1"/>
  <c r="AE76" i="188" s="1"/>
  <c r="AE75" i="188" s="1"/>
  <c r="AE74" i="188" s="1"/>
  <c r="AD83" i="188"/>
  <c r="AD82" i="188" s="1"/>
  <c r="AD76" i="188" s="1"/>
  <c r="AD67" i="188" s="1"/>
  <c r="AC83" i="188"/>
  <c r="AH83" i="188" s="1"/>
  <c r="AB83" i="188"/>
  <c r="Z83" i="188"/>
  <c r="Z82" i="188" s="1"/>
  <c r="Y83" i="188"/>
  <c r="X83" i="188"/>
  <c r="W83" i="188"/>
  <c r="W82" i="188" s="1"/>
  <c r="V83" i="188"/>
  <c r="V82" i="188" s="1"/>
  <c r="U83" i="188"/>
  <c r="U82" i="188" s="1"/>
  <c r="U76" i="188" s="1"/>
  <c r="T83" i="188"/>
  <c r="T82" i="188" s="1"/>
  <c r="R83" i="188"/>
  <c r="R82" i="188" s="1"/>
  <c r="R76" i="188" s="1"/>
  <c r="P83" i="188"/>
  <c r="P82" i="188" s="1"/>
  <c r="O83" i="188"/>
  <c r="O82" i="188" s="1"/>
  <c r="O76" i="188" s="1"/>
  <c r="O75" i="188" s="1"/>
  <c r="M83" i="188"/>
  <c r="K83" i="188"/>
  <c r="J83" i="188"/>
  <c r="J82" i="188" s="1"/>
  <c r="I83" i="188"/>
  <c r="H83" i="188"/>
  <c r="AB82" i="188"/>
  <c r="Y82" i="188"/>
  <c r="Y76" i="188" s="1"/>
  <c r="Y75" i="188" s="1"/>
  <c r="X82" i="188"/>
  <c r="M82" i="188"/>
  <c r="K82" i="188"/>
  <c r="I82" i="188"/>
  <c r="I76" i="188" s="1"/>
  <c r="I75" i="188" s="1"/>
  <c r="H82" i="188"/>
  <c r="AH81" i="188"/>
  <c r="AA81" i="188"/>
  <c r="AF81" i="188" s="1"/>
  <c r="V81" i="188"/>
  <c r="AH80" i="188"/>
  <c r="AF80" i="188"/>
  <c r="AA80" i="188"/>
  <c r="V80" i="188"/>
  <c r="L80" i="188"/>
  <c r="AH79" i="188"/>
  <c r="AA79" i="188"/>
  <c r="AF79" i="188" s="1"/>
  <c r="V79" i="188"/>
  <c r="L79" i="188"/>
  <c r="AH78" i="188"/>
  <c r="AA78" i="188"/>
  <c r="AA77" i="188" s="1"/>
  <c r="V78" i="188"/>
  <c r="Q78" i="188"/>
  <c r="L78" i="188"/>
  <c r="AE77" i="188"/>
  <c r="AD77" i="188"/>
  <c r="AC77" i="188"/>
  <c r="AB77" i="188"/>
  <c r="Z77" i="188"/>
  <c r="Y77" i="188"/>
  <c r="X77" i="188"/>
  <c r="W77" i="188"/>
  <c r="U77" i="188"/>
  <c r="T77" i="188"/>
  <c r="S77" i="188"/>
  <c r="R77" i="188"/>
  <c r="Q77" i="188"/>
  <c r="P77" i="188"/>
  <c r="O77" i="188"/>
  <c r="N77" i="188"/>
  <c r="M77" i="188"/>
  <c r="L77" i="188"/>
  <c r="K77" i="188"/>
  <c r="K76" i="188" s="1"/>
  <c r="K75" i="188" s="1"/>
  <c r="K74" i="188" s="1"/>
  <c r="J77" i="188"/>
  <c r="I77" i="188"/>
  <c r="H77" i="188"/>
  <c r="G77" i="188"/>
  <c r="G76" i="188"/>
  <c r="G75" i="188" s="1"/>
  <c r="R75" i="188"/>
  <c r="R74" i="188" s="1"/>
  <c r="AH72" i="188"/>
  <c r="AF72" i="188"/>
  <c r="AA72" i="188"/>
  <c r="V72" i="188"/>
  <c r="Q72" i="188"/>
  <c r="L72" i="188"/>
  <c r="L71" i="188" s="1"/>
  <c r="G72" i="188"/>
  <c r="AE71" i="188"/>
  <c r="AD71" i="188"/>
  <c r="AC71" i="188"/>
  <c r="AH71" i="188" s="1"/>
  <c r="AB71" i="188"/>
  <c r="AB70" i="188" s="1"/>
  <c r="AB69" i="188" s="1"/>
  <c r="AA71" i="188"/>
  <c r="Z71" i="188"/>
  <c r="Y71" i="188"/>
  <c r="X71" i="188"/>
  <c r="W71" i="188"/>
  <c r="V71" i="188"/>
  <c r="U71" i="188"/>
  <c r="U70" i="188" s="1"/>
  <c r="U69" i="188" s="1"/>
  <c r="T71" i="188"/>
  <c r="T70" i="188" s="1"/>
  <c r="T69" i="188" s="1"/>
  <c r="S71" i="188"/>
  <c r="R71" i="188"/>
  <c r="R70" i="188" s="1"/>
  <c r="R69" i="188" s="1"/>
  <c r="Q71" i="188"/>
  <c r="Q70" i="188" s="1"/>
  <c r="Q69" i="188" s="1"/>
  <c r="P71" i="188"/>
  <c r="P70" i="188" s="1"/>
  <c r="P69" i="188" s="1"/>
  <c r="O71" i="188"/>
  <c r="N71" i="188"/>
  <c r="M71" i="188"/>
  <c r="K71" i="188"/>
  <c r="J71" i="188"/>
  <c r="I71" i="188"/>
  <c r="H71" i="188"/>
  <c r="H70" i="188" s="1"/>
  <c r="H69" i="188" s="1"/>
  <c r="G71" i="188"/>
  <c r="AD70" i="188"/>
  <c r="AD69" i="188" s="1"/>
  <c r="Z70" i="188"/>
  <c r="Z69" i="188" s="1"/>
  <c r="Y70" i="188"/>
  <c r="X70" i="188"/>
  <c r="V70" i="188"/>
  <c r="V69" i="188" s="1"/>
  <c r="N70" i="188"/>
  <c r="N69" i="188" s="1"/>
  <c r="M70" i="188"/>
  <c r="J70" i="188"/>
  <c r="J69" i="188" s="1"/>
  <c r="I70" i="188"/>
  <c r="I69" i="188" s="1"/>
  <c r="Y69" i="188"/>
  <c r="X69" i="188"/>
  <c r="M69" i="188"/>
  <c r="AE68" i="188"/>
  <c r="AD68" i="188"/>
  <c r="AC68" i="188"/>
  <c r="AB68" i="188"/>
  <c r="AA68" i="188"/>
  <c r="Z68" i="188"/>
  <c r="Y68" i="188"/>
  <c r="X68" i="188"/>
  <c r="W68" i="188"/>
  <c r="V68" i="188"/>
  <c r="V12" i="188" s="1"/>
  <c r="U68" i="188"/>
  <c r="U12" i="188" s="1"/>
  <c r="T68" i="188"/>
  <c r="S68" i="188"/>
  <c r="R68" i="188"/>
  <c r="Q68" i="188"/>
  <c r="P68" i="188"/>
  <c r="O68" i="188"/>
  <c r="N68" i="188"/>
  <c r="M68" i="188"/>
  <c r="L68" i="188"/>
  <c r="K68" i="188"/>
  <c r="J68" i="188"/>
  <c r="J12" i="188" s="1"/>
  <c r="I68" i="188"/>
  <c r="I12" i="188" s="1"/>
  <c r="H68" i="188"/>
  <c r="G68" i="188"/>
  <c r="AI64" i="188"/>
  <c r="AA64" i="188"/>
  <c r="V64" i="188"/>
  <c r="AF64" i="188" s="1"/>
  <c r="AD63" i="188"/>
  <c r="AA63" i="188" s="1"/>
  <c r="AF63" i="188" s="1"/>
  <c r="Y63" i="188"/>
  <c r="V63" i="188"/>
  <c r="AI62" i="188"/>
  <c r="AA62" i="188"/>
  <c r="AF62" i="188" s="1"/>
  <c r="V62" i="188"/>
  <c r="V61" i="188" s="1"/>
  <c r="Q62" i="188"/>
  <c r="L62" i="188"/>
  <c r="L61" i="188" s="1"/>
  <c r="G62" i="188"/>
  <c r="AE61" i="188"/>
  <c r="AE56" i="188" s="1"/>
  <c r="AD61" i="188"/>
  <c r="AC61" i="188"/>
  <c r="AB61" i="188"/>
  <c r="AA61" i="188"/>
  <c r="AF61" i="188" s="1"/>
  <c r="Z61" i="188"/>
  <c r="Y61" i="188"/>
  <c r="X61" i="188"/>
  <c r="W61" i="188"/>
  <c r="U61" i="188"/>
  <c r="T61" i="188"/>
  <c r="S61" i="188"/>
  <c r="R61" i="188"/>
  <c r="Q61" i="188"/>
  <c r="P61" i="188"/>
  <c r="O61" i="188"/>
  <c r="O56" i="188" s="1"/>
  <c r="N61" i="188"/>
  <c r="M61" i="188"/>
  <c r="K61" i="188"/>
  <c r="J61" i="188"/>
  <c r="I61" i="188"/>
  <c r="H61" i="188"/>
  <c r="G61" i="188"/>
  <c r="AD60" i="188"/>
  <c r="AA60" i="188"/>
  <c r="Y60" i="188"/>
  <c r="V60" i="188" s="1"/>
  <c r="T60" i="188"/>
  <c r="T57" i="188" s="1"/>
  <c r="T56" i="188" s="1"/>
  <c r="Q60" i="188"/>
  <c r="O60" i="188"/>
  <c r="L60" i="188"/>
  <c r="J60" i="188"/>
  <c r="AI59" i="188"/>
  <c r="AA59" i="188"/>
  <c r="AF59" i="188" s="1"/>
  <c r="V59" i="188"/>
  <c r="Q59" i="188"/>
  <c r="L59" i="188"/>
  <c r="G59" i="188"/>
  <c r="G57" i="188" s="1"/>
  <c r="AD58" i="188"/>
  <c r="AA58" i="188"/>
  <c r="AA57" i="188" s="1"/>
  <c r="Y58" i="188"/>
  <c r="AI58" i="188" s="1"/>
  <c r="T58" i="188"/>
  <c r="Q58" i="188" s="1"/>
  <c r="O58" i="188"/>
  <c r="L58" i="188"/>
  <c r="AE57" i="188"/>
  <c r="AC57" i="188"/>
  <c r="AC56" i="188" s="1"/>
  <c r="AB57" i="188"/>
  <c r="Z57" i="188"/>
  <c r="Z56" i="188" s="1"/>
  <c r="X57" i="188"/>
  <c r="X56" i="188" s="1"/>
  <c r="W57" i="188"/>
  <c r="U57" i="188"/>
  <c r="S57" i="188"/>
  <c r="R57" i="188"/>
  <c r="P57" i="188"/>
  <c r="P56" i="188" s="1"/>
  <c r="O57" i="188"/>
  <c r="N57" i="188"/>
  <c r="M57" i="188"/>
  <c r="M56" i="188" s="1"/>
  <c r="K57" i="188"/>
  <c r="J57" i="188"/>
  <c r="J56" i="188" s="1"/>
  <c r="I57" i="188"/>
  <c r="H57" i="188"/>
  <c r="H56" i="188" s="1"/>
  <c r="U56" i="188"/>
  <c r="I56" i="188"/>
  <c r="AI54" i="188"/>
  <c r="AA54" i="188"/>
  <c r="AA53" i="188" s="1"/>
  <c r="V54" i="188"/>
  <c r="V53" i="188" s="1"/>
  <c r="V52" i="188" s="1"/>
  <c r="Q54" i="188"/>
  <c r="Q53" i="188" s="1"/>
  <c r="Q52" i="188" s="1"/>
  <c r="L54" i="188"/>
  <c r="L53" i="188" s="1"/>
  <c r="L52" i="188" s="1"/>
  <c r="G54" i="188"/>
  <c r="AE53" i="188"/>
  <c r="AE52" i="188" s="1"/>
  <c r="AD53" i="188"/>
  <c r="AC53" i="188"/>
  <c r="AC52" i="188" s="1"/>
  <c r="AB53" i="188"/>
  <c r="Z53" i="188"/>
  <c r="Z52" i="188" s="1"/>
  <c r="Y53" i="188"/>
  <c r="Y52" i="188" s="1"/>
  <c r="X53" i="188"/>
  <c r="W53" i="188"/>
  <c r="W52" i="188" s="1"/>
  <c r="U53" i="188"/>
  <c r="U52" i="188" s="1"/>
  <c r="T53" i="188"/>
  <c r="S53" i="188"/>
  <c r="S52" i="188" s="1"/>
  <c r="R53" i="188"/>
  <c r="P53" i="188"/>
  <c r="O53" i="188"/>
  <c r="O52" i="188" s="1"/>
  <c r="N53" i="188"/>
  <c r="M53" i="188"/>
  <c r="M52" i="188" s="1"/>
  <c r="K53" i="188"/>
  <c r="K52" i="188" s="1"/>
  <c r="J53" i="188"/>
  <c r="I53" i="188"/>
  <c r="I52" i="188" s="1"/>
  <c r="H53" i="188"/>
  <c r="H52" i="188" s="1"/>
  <c r="G53" i="188"/>
  <c r="G52" i="188" s="1"/>
  <c r="AD52" i="188"/>
  <c r="AB52" i="188"/>
  <c r="X52" i="188"/>
  <c r="T52" i="188"/>
  <c r="R52" i="188"/>
  <c r="P52" i="188"/>
  <c r="N52" i="188"/>
  <c r="N46" i="188" s="1"/>
  <c r="J52" i="188"/>
  <c r="AI51" i="188"/>
  <c r="AA51" i="188"/>
  <c r="V51" i="188"/>
  <c r="Q51" i="188"/>
  <c r="L51" i="188"/>
  <c r="G51" i="188"/>
  <c r="G48" i="188" s="1"/>
  <c r="AI50" i="188"/>
  <c r="AA50" i="188"/>
  <c r="AF50" i="188" s="1"/>
  <c r="V50" i="188"/>
  <c r="Q50" i="188"/>
  <c r="L50" i="188"/>
  <c r="L48" i="188" s="1"/>
  <c r="L47" i="188" s="1"/>
  <c r="L46" i="188" s="1"/>
  <c r="AI49" i="188"/>
  <c r="AA49" i="188"/>
  <c r="V49" i="188"/>
  <c r="Q49" i="188"/>
  <c r="L49" i="188"/>
  <c r="AE48" i="188"/>
  <c r="AE47" i="188" s="1"/>
  <c r="AE46" i="188" s="1"/>
  <c r="AD48" i="188"/>
  <c r="AD47" i="188" s="1"/>
  <c r="AC48" i="188"/>
  <c r="AB48" i="188"/>
  <c r="AB47" i="188" s="1"/>
  <c r="AB46" i="188" s="1"/>
  <c r="Z48" i="188"/>
  <c r="Z47" i="188" s="1"/>
  <c r="Y48" i="188"/>
  <c r="Y47" i="188" s="1"/>
  <c r="Y46" i="188" s="1"/>
  <c r="X48" i="188"/>
  <c r="X47" i="188" s="1"/>
  <c r="X46" i="188" s="1"/>
  <c r="W48" i="188"/>
  <c r="W47" i="188" s="1"/>
  <c r="W46" i="188" s="1"/>
  <c r="U48" i="188"/>
  <c r="T48" i="188"/>
  <c r="T47" i="188" s="1"/>
  <c r="T46" i="188" s="1"/>
  <c r="S48" i="188"/>
  <c r="R48" i="188"/>
  <c r="R47" i="188" s="1"/>
  <c r="P48" i="188"/>
  <c r="P47" i="188" s="1"/>
  <c r="O48" i="188"/>
  <c r="N48" i="188"/>
  <c r="N47" i="188" s="1"/>
  <c r="M48" i="188"/>
  <c r="M47" i="188" s="1"/>
  <c r="M46" i="188" s="1"/>
  <c r="K48" i="188"/>
  <c r="J48" i="188"/>
  <c r="J47" i="188" s="1"/>
  <c r="I48" i="188"/>
  <c r="I47" i="188" s="1"/>
  <c r="H48" i="188"/>
  <c r="H47" i="188" s="1"/>
  <c r="AC47" i="188"/>
  <c r="AC46" i="188" s="1"/>
  <c r="U47" i="188"/>
  <c r="S47" i="188"/>
  <c r="S46" i="188" s="1"/>
  <c r="O47" i="188"/>
  <c r="O46" i="188" s="1"/>
  <c r="K47" i="188"/>
  <c r="K46" i="188" s="1"/>
  <c r="G47" i="188"/>
  <c r="G46" i="188" s="1"/>
  <c r="AD46" i="188"/>
  <c r="AA45" i="188"/>
  <c r="V45" i="188"/>
  <c r="AI44" i="188"/>
  <c r="AA44" i="188"/>
  <c r="AF44" i="188" s="1"/>
  <c r="V44" i="188"/>
  <c r="Q44" i="188"/>
  <c r="L44" i="188"/>
  <c r="G44" i="188"/>
  <c r="AI43" i="188"/>
  <c r="AA43" i="188"/>
  <c r="V43" i="188"/>
  <c r="AF43" i="188" s="1"/>
  <c r="Q43" i="188"/>
  <c r="L43" i="188"/>
  <c r="J43" i="188"/>
  <c r="AA42" i="188"/>
  <c r="V42" i="188"/>
  <c r="Q42" i="188"/>
  <c r="Q41" i="188" s="1"/>
  <c r="L42" i="188"/>
  <c r="L41" i="188" s="1"/>
  <c r="G42" i="188"/>
  <c r="G41" i="188" s="1"/>
  <c r="AE41" i="188"/>
  <c r="AD41" i="188"/>
  <c r="AC41" i="188"/>
  <c r="AC30" i="188" s="1"/>
  <c r="AC29" i="188" s="1"/>
  <c r="AB41" i="188"/>
  <c r="Z41" i="188"/>
  <c r="Y41" i="188"/>
  <c r="X41" i="188"/>
  <c r="W41" i="188"/>
  <c r="U41" i="188"/>
  <c r="T41" i="188"/>
  <c r="S41" i="188"/>
  <c r="R41" i="188"/>
  <c r="P41" i="188"/>
  <c r="O41" i="188"/>
  <c r="N41" i="188"/>
  <c r="M41" i="188"/>
  <c r="K41" i="188"/>
  <c r="J41" i="188"/>
  <c r="I41" i="188"/>
  <c r="H41" i="188"/>
  <c r="AI40" i="188"/>
  <c r="AA40" i="188"/>
  <c r="V40" i="188"/>
  <c r="Q40" i="188"/>
  <c r="L40" i="188"/>
  <c r="G40" i="188"/>
  <c r="G31" i="188" s="1"/>
  <c r="AI39" i="188"/>
  <c r="AA39" i="188"/>
  <c r="AF39" i="188" s="1"/>
  <c r="V39" i="188"/>
  <c r="AI38" i="188"/>
  <c r="AA38" i="188"/>
  <c r="V38" i="188"/>
  <c r="AF38" i="188" s="1"/>
  <c r="Q38" i="188"/>
  <c r="L38" i="188"/>
  <c r="G38" i="188"/>
  <c r="AI37" i="188"/>
  <c r="AA37" i="188"/>
  <c r="AF37" i="188" s="1"/>
  <c r="V37" i="188"/>
  <c r="Q37" i="188"/>
  <c r="L37" i="188"/>
  <c r="AD36" i="188"/>
  <c r="AA36" i="188" s="1"/>
  <c r="Y36" i="188"/>
  <c r="T36" i="188"/>
  <c r="Q36" i="188" s="1"/>
  <c r="O36" i="188"/>
  <c r="AI35" i="188"/>
  <c r="AA35" i="188"/>
  <c r="AF35" i="188" s="1"/>
  <c r="V35" i="188"/>
  <c r="Q35" i="188"/>
  <c r="L35" i="188"/>
  <c r="AI34" i="188"/>
  <c r="AA34" i="188"/>
  <c r="AF34" i="188" s="1"/>
  <c r="V34" i="188"/>
  <c r="Q34" i="188"/>
  <c r="L34" i="188"/>
  <c r="AI33" i="188"/>
  <c r="AA33" i="188"/>
  <c r="V33" i="188"/>
  <c r="Q33" i="188"/>
  <c r="L33" i="188"/>
  <c r="J33" i="188"/>
  <c r="AI32" i="188"/>
  <c r="AA32" i="188"/>
  <c r="AF32" i="188" s="1"/>
  <c r="V32" i="188"/>
  <c r="T32" i="188"/>
  <c r="Q32" i="188"/>
  <c r="L32" i="188"/>
  <c r="J32" i="188"/>
  <c r="AE31" i="188"/>
  <c r="AE30" i="188" s="1"/>
  <c r="AD31" i="188"/>
  <c r="AC31" i="188"/>
  <c r="AB31" i="188"/>
  <c r="Z31" i="188"/>
  <c r="Z30" i="188" s="1"/>
  <c r="X31" i="188"/>
  <c r="X30" i="188" s="1"/>
  <c r="W31" i="188"/>
  <c r="W30" i="188" s="1"/>
  <c r="U31" i="188"/>
  <c r="T31" i="188"/>
  <c r="T30" i="188" s="1"/>
  <c r="S31" i="188"/>
  <c r="R31" i="188"/>
  <c r="P31" i="188"/>
  <c r="N31" i="188"/>
  <c r="M31" i="188"/>
  <c r="M30" i="188" s="1"/>
  <c r="K31" i="188"/>
  <c r="J31" i="188"/>
  <c r="J30" i="188" s="1"/>
  <c r="I31" i="188"/>
  <c r="I30" i="188" s="1"/>
  <c r="H31" i="188"/>
  <c r="H30" i="188" s="1"/>
  <c r="U30" i="188"/>
  <c r="S30" i="188"/>
  <c r="S29" i="188" s="1"/>
  <c r="K30" i="188"/>
  <c r="K29" i="188" s="1"/>
  <c r="T29" i="188"/>
  <c r="AD27" i="188"/>
  <c r="AA27" i="188"/>
  <c r="Y27" i="188"/>
  <c r="V27" i="188" s="1"/>
  <c r="V26" i="188" s="1"/>
  <c r="T27" i="188"/>
  <c r="Q27" i="188"/>
  <c r="Q26" i="188" s="1"/>
  <c r="O27" i="188"/>
  <c r="L27" i="188" s="1"/>
  <c r="L26" i="188" s="1"/>
  <c r="J27" i="188"/>
  <c r="AE26" i="188"/>
  <c r="AD26" i="188"/>
  <c r="AD20" i="188" s="1"/>
  <c r="AC26" i="188"/>
  <c r="AB26" i="188"/>
  <c r="Z26" i="188"/>
  <c r="X26" i="188"/>
  <c r="W26" i="188"/>
  <c r="U26" i="188"/>
  <c r="T26" i="188"/>
  <c r="S26" i="188"/>
  <c r="R26" i="188"/>
  <c r="P26" i="188"/>
  <c r="N26" i="188"/>
  <c r="N20" i="188" s="1"/>
  <c r="M26" i="188"/>
  <c r="K26" i="188"/>
  <c r="J26" i="188"/>
  <c r="I26" i="188"/>
  <c r="H26" i="188"/>
  <c r="G26" i="188"/>
  <c r="AI25" i="188"/>
  <c r="AA25" i="188"/>
  <c r="V25" i="188"/>
  <c r="T25" i="188"/>
  <c r="S25" i="188"/>
  <c r="S21" i="188" s="1"/>
  <c r="S20" i="188" s="1"/>
  <c r="Q25" i="188"/>
  <c r="O25" i="188"/>
  <c r="N25" i="188"/>
  <c r="L25" i="188" s="1"/>
  <c r="AI24" i="188"/>
  <c r="AA24" i="188"/>
  <c r="V24" i="188"/>
  <c r="Q24" i="188"/>
  <c r="L24" i="188"/>
  <c r="G24" i="188"/>
  <c r="G21" i="188" s="1"/>
  <c r="G20" i="188" s="1"/>
  <c r="AI23" i="188"/>
  <c r="AA23" i="188"/>
  <c r="AF23" i="188" s="1"/>
  <c r="V23" i="188"/>
  <c r="Q23" i="188"/>
  <c r="T23" i="188" s="1"/>
  <c r="T21" i="188" s="1"/>
  <c r="T20" i="188" s="1"/>
  <c r="O23" i="188"/>
  <c r="J23" i="188"/>
  <c r="AI22" i="188"/>
  <c r="AA22" i="188"/>
  <c r="AA21" i="188" s="1"/>
  <c r="V22" i="188"/>
  <c r="Q22" i="188"/>
  <c r="L22" i="188"/>
  <c r="J22" i="188"/>
  <c r="AE21" i="188"/>
  <c r="AE20" i="188" s="1"/>
  <c r="AE15" i="188" s="1"/>
  <c r="AE14" i="188" s="1"/>
  <c r="AD21" i="188"/>
  <c r="AC21" i="188"/>
  <c r="AC20" i="188" s="1"/>
  <c r="AC15" i="188" s="1"/>
  <c r="AC14" i="188" s="1"/>
  <c r="AB21" i="188"/>
  <c r="AB20" i="188" s="1"/>
  <c r="AB15" i="188" s="1"/>
  <c r="AB14" i="188" s="1"/>
  <c r="Z21" i="188"/>
  <c r="Y21" i="188"/>
  <c r="X21" i="188"/>
  <c r="X20" i="188" s="1"/>
  <c r="X15" i="188" s="1"/>
  <c r="X14" i="188" s="1"/>
  <c r="W21" i="188"/>
  <c r="W20" i="188" s="1"/>
  <c r="W15" i="188" s="1"/>
  <c r="W14" i="188" s="1"/>
  <c r="U21" i="188"/>
  <c r="U20" i="188" s="1"/>
  <c r="R21" i="188"/>
  <c r="R20" i="188" s="1"/>
  <c r="P21" i="188"/>
  <c r="P20" i="188" s="1"/>
  <c r="P15" i="188" s="1"/>
  <c r="P14" i="188" s="1"/>
  <c r="O21" i="188"/>
  <c r="N21" i="188"/>
  <c r="M21" i="188"/>
  <c r="M20" i="188" s="1"/>
  <c r="K21" i="188"/>
  <c r="K20" i="188" s="1"/>
  <c r="I21" i="188"/>
  <c r="I20" i="188" s="1"/>
  <c r="H21" i="188"/>
  <c r="H20" i="188" s="1"/>
  <c r="Z20" i="188"/>
  <c r="Z15" i="188" s="1"/>
  <c r="Z14" i="188" s="1"/>
  <c r="AI19" i="188"/>
  <c r="AA19" i="188"/>
  <c r="V19" i="188"/>
  <c r="Q19" i="188"/>
  <c r="Q18" i="188" s="1"/>
  <c r="L19" i="188"/>
  <c r="AD18" i="188"/>
  <c r="Y18" i="188"/>
  <c r="V18" i="188"/>
  <c r="U18" i="188"/>
  <c r="T18" i="188"/>
  <c r="S18" i="188"/>
  <c r="R18" i="188"/>
  <c r="P18" i="188"/>
  <c r="O18" i="188"/>
  <c r="N18" i="188"/>
  <c r="M18" i="188"/>
  <c r="L18" i="188"/>
  <c r="K18" i="188"/>
  <c r="J18" i="188"/>
  <c r="I18" i="188"/>
  <c r="H18" i="188"/>
  <c r="G18" i="188"/>
  <c r="AA17" i="188"/>
  <c r="AF17" i="188" s="1"/>
  <c r="Y17" i="188"/>
  <c r="AI17" i="188" s="1"/>
  <c r="V17" i="188"/>
  <c r="Q17" i="188"/>
  <c r="L17" i="188"/>
  <c r="AD16" i="188"/>
  <c r="AA16" i="188" s="1"/>
  <c r="Y16" i="188"/>
  <c r="V16" i="188"/>
  <c r="U16" i="188"/>
  <c r="T16" i="188"/>
  <c r="S16" i="188"/>
  <c r="R16" i="188"/>
  <c r="Q16" i="188"/>
  <c r="P16" i="188"/>
  <c r="O16" i="188"/>
  <c r="N16" i="188"/>
  <c r="M16" i="188"/>
  <c r="L16" i="188"/>
  <c r="K16" i="188"/>
  <c r="K15" i="188" s="1"/>
  <c r="K14" i="188" s="1"/>
  <c r="J16" i="188"/>
  <c r="I16" i="188"/>
  <c r="H16" i="188"/>
  <c r="G16" i="188"/>
  <c r="AE12" i="188"/>
  <c r="AD12" i="188"/>
  <c r="AC12" i="188"/>
  <c r="AB12" i="188"/>
  <c r="AA12" i="188"/>
  <c r="Z12" i="188"/>
  <c r="Y12" i="188"/>
  <c r="X12" i="188"/>
  <c r="W12" i="188"/>
  <c r="T12" i="188"/>
  <c r="S12" i="188"/>
  <c r="R12" i="188"/>
  <c r="Q12" i="188"/>
  <c r="P12" i="188"/>
  <c r="O12" i="188"/>
  <c r="N12" i="188"/>
  <c r="M12" i="188"/>
  <c r="L12" i="188"/>
  <c r="K12" i="188"/>
  <c r="H12" i="188"/>
  <c r="G12" i="188"/>
  <c r="U75" i="188" l="1"/>
  <c r="E60" i="172"/>
  <c r="E59" i="172"/>
  <c r="E57" i="172" s="1"/>
  <c r="E41" i="172" s="1"/>
  <c r="O87" i="188"/>
  <c r="O86" i="188" s="1"/>
  <c r="O74" i="188"/>
  <c r="M29" i="188"/>
  <c r="U87" i="188"/>
  <c r="U86" i="188" s="1"/>
  <c r="U74" i="188" s="1"/>
  <c r="N111" i="188"/>
  <c r="N87" i="188" s="1"/>
  <c r="N86" i="188" s="1"/>
  <c r="W76" i="188"/>
  <c r="W75" i="188" s="1"/>
  <c r="W74" i="188" s="1"/>
  <c r="AI46" i="188"/>
  <c r="Y57" i="188"/>
  <c r="Y56" i="188" s="1"/>
  <c r="L88" i="188"/>
  <c r="G15" i="188"/>
  <c r="G14" i="188" s="1"/>
  <c r="S15" i="188"/>
  <c r="S14" i="188" s="1"/>
  <c r="S13" i="188" s="1"/>
  <c r="L21" i="188"/>
  <c r="AI41" i="188"/>
  <c r="J46" i="188"/>
  <c r="J29" i="188" s="1"/>
  <c r="AN8" i="188"/>
  <c r="AN9" i="188" s="1"/>
  <c r="AC70" i="188"/>
  <c r="AD75" i="188"/>
  <c r="AD74" i="188" s="1"/>
  <c r="L76" i="188"/>
  <c r="L75" i="188" s="1"/>
  <c r="R67" i="188"/>
  <c r="AF104" i="188"/>
  <c r="AF106" i="188"/>
  <c r="AA111" i="188"/>
  <c r="Q111" i="188"/>
  <c r="D62" i="172"/>
  <c r="R15" i="188"/>
  <c r="R14" i="188" s="1"/>
  <c r="Z46" i="188"/>
  <c r="Z29" i="188" s="1"/>
  <c r="Z13" i="188" s="1"/>
  <c r="AF54" i="188"/>
  <c r="N56" i="188"/>
  <c r="AB56" i="188"/>
  <c r="AI63" i="188"/>
  <c r="I107" i="172"/>
  <c r="F106" i="172"/>
  <c r="I106" i="172" s="1"/>
  <c r="H109" i="172"/>
  <c r="K109" i="172" s="1"/>
  <c r="K110" i="172"/>
  <c r="AF60" i="188"/>
  <c r="AC82" i="188"/>
  <c r="AC76" i="188" s="1"/>
  <c r="AF102" i="188"/>
  <c r="V21" i="188"/>
  <c r="V20" i="188" s="1"/>
  <c r="V15" i="188" s="1"/>
  <c r="V14" i="188" s="1"/>
  <c r="P30" i="188"/>
  <c r="P29" i="188" s="1"/>
  <c r="P13" i="188" s="1"/>
  <c r="AF40" i="188"/>
  <c r="R46" i="188"/>
  <c r="AD57" i="188"/>
  <c r="AI60" i="188"/>
  <c r="S56" i="188"/>
  <c r="AB76" i="188"/>
  <c r="AF93" i="188"/>
  <c r="AH112" i="188"/>
  <c r="H15" i="188"/>
  <c r="H14" i="188" s="1"/>
  <c r="AF22" i="188"/>
  <c r="R30" i="188"/>
  <c r="AI47" i="188"/>
  <c r="R56" i="188"/>
  <c r="P76" i="188"/>
  <c r="AH77" i="188"/>
  <c r="M76" i="188"/>
  <c r="I111" i="188"/>
  <c r="I87" i="188" s="1"/>
  <c r="U111" i="188"/>
  <c r="AA18" i="188"/>
  <c r="AF18" i="188" s="1"/>
  <c r="AL8" i="188"/>
  <c r="AF24" i="188"/>
  <c r="AF27" i="188"/>
  <c r="P46" i="188"/>
  <c r="L57" i="188"/>
  <c r="L56" i="188" s="1"/>
  <c r="AF84" i="188"/>
  <c r="AF101" i="188"/>
  <c r="J111" i="188"/>
  <c r="J87" i="188" s="1"/>
  <c r="J86" i="188" s="1"/>
  <c r="L113" i="188"/>
  <c r="L112" i="188" s="1"/>
  <c r="L111" i="188" s="1"/>
  <c r="I103" i="172"/>
  <c r="F102" i="172"/>
  <c r="I102" i="172" s="1"/>
  <c r="H46" i="188"/>
  <c r="H29" i="188" s="1"/>
  <c r="Q21" i="188"/>
  <c r="Q20" i="188" s="1"/>
  <c r="Q15" i="188" s="1"/>
  <c r="Q14" i="188" s="1"/>
  <c r="N30" i="188"/>
  <c r="N29" i="188" s="1"/>
  <c r="J15" i="188"/>
  <c r="J14" i="188" s="1"/>
  <c r="J13" i="188" s="1"/>
  <c r="M15" i="188"/>
  <c r="M14" i="188" s="1"/>
  <c r="J21" i="188"/>
  <c r="J20" i="188" s="1"/>
  <c r="AA41" i="188"/>
  <c r="W56" i="188"/>
  <c r="J76" i="188"/>
  <c r="AH87" i="188"/>
  <c r="AB30" i="188"/>
  <c r="AB29" i="188" s="1"/>
  <c r="X76" i="188"/>
  <c r="AF25" i="188"/>
  <c r="N15" i="188"/>
  <c r="N14" i="188" s="1"/>
  <c r="AB13" i="188"/>
  <c r="Q48" i="188"/>
  <c r="Q47" i="188" s="1"/>
  <c r="Q46" i="188" s="1"/>
  <c r="Z76" i="188"/>
  <c r="Q88" i="188"/>
  <c r="AH114" i="188"/>
  <c r="AC13" i="188"/>
  <c r="T15" i="188"/>
  <c r="T14" i="188" s="1"/>
  <c r="T13" i="188" s="1"/>
  <c r="AI52" i="188"/>
  <c r="K56" i="188"/>
  <c r="K13" i="188" s="1"/>
  <c r="AI61" i="188"/>
  <c r="H76" i="188"/>
  <c r="H67" i="188" s="1"/>
  <c r="H66" i="188" s="1"/>
  <c r="H65" i="188" s="1"/>
  <c r="T76" i="188"/>
  <c r="T75" i="188" s="1"/>
  <c r="T74" i="188" s="1"/>
  <c r="AA83" i="188"/>
  <c r="AA82" i="188" s="1"/>
  <c r="AF82" i="188" s="1"/>
  <c r="M111" i="188"/>
  <c r="M87" i="188" s="1"/>
  <c r="M86" i="188" s="1"/>
  <c r="Y111" i="188"/>
  <c r="Y87" i="188" s="1"/>
  <c r="G30" i="188"/>
  <c r="G29" i="188" s="1"/>
  <c r="AF19" i="188"/>
  <c r="X29" i="188"/>
  <c r="AF51" i="188"/>
  <c r="V58" i="188"/>
  <c r="V77" i="188"/>
  <c r="V76" i="188" s="1"/>
  <c r="V75" i="188" s="1"/>
  <c r="N83" i="188"/>
  <c r="N82" i="188" s="1"/>
  <c r="N76" i="188" s="1"/>
  <c r="N67" i="188" s="1"/>
  <c r="N66" i="188" s="1"/>
  <c r="N65" i="188" s="1"/>
  <c r="AH88" i="188"/>
  <c r="Z111" i="188"/>
  <c r="Z87" i="188" s="1"/>
  <c r="Z86" i="188" s="1"/>
  <c r="AF113" i="188"/>
  <c r="E75" i="170"/>
  <c r="E72" i="170"/>
  <c r="D41" i="170"/>
  <c r="E41" i="170" s="1"/>
  <c r="I96" i="172"/>
  <c r="F95" i="172"/>
  <c r="I95" i="172" s="1"/>
  <c r="I86" i="172"/>
  <c r="F84" i="172"/>
  <c r="I84" i="172" s="1"/>
  <c r="D99" i="172"/>
  <c r="C99" i="172" s="1"/>
  <c r="I78" i="172"/>
  <c r="F77" i="172"/>
  <c r="I77" i="172" s="1"/>
  <c r="H124" i="172"/>
  <c r="H122" i="172" s="1"/>
  <c r="K122" i="172" s="1"/>
  <c r="F75" i="172"/>
  <c r="I75" i="172" s="1"/>
  <c r="I71" i="172"/>
  <c r="G124" i="172"/>
  <c r="J124" i="172" s="1"/>
  <c r="F88" i="172"/>
  <c r="I88" i="172" s="1"/>
  <c r="F119" i="172"/>
  <c r="I119" i="172" s="1"/>
  <c r="I120" i="172"/>
  <c r="F154" i="172"/>
  <c r="I154" i="172" s="1"/>
  <c r="I158" i="172"/>
  <c r="I152" i="172"/>
  <c r="K76" i="172"/>
  <c r="J47" i="172"/>
  <c r="I159" i="172"/>
  <c r="F42" i="172"/>
  <c r="I42" i="172" s="1"/>
  <c r="G63" i="172"/>
  <c r="I128" i="172"/>
  <c r="H87" i="172"/>
  <c r="K87" i="172" s="1"/>
  <c r="I76" i="172"/>
  <c r="G70" i="172"/>
  <c r="J67" i="172"/>
  <c r="J63" i="172"/>
  <c r="H101" i="172"/>
  <c r="H70" i="172"/>
  <c r="F72" i="172"/>
  <c r="I72" i="172" s="1"/>
  <c r="K72" i="172"/>
  <c r="F110" i="172"/>
  <c r="I110" i="172" s="1"/>
  <c r="J110" i="172"/>
  <c r="G109" i="172"/>
  <c r="K47" i="172"/>
  <c r="F47" i="172"/>
  <c r="I47" i="172" s="1"/>
  <c r="K46" i="172"/>
  <c r="F92" i="172"/>
  <c r="I92" i="172" s="1"/>
  <c r="J92" i="172"/>
  <c r="H63" i="172"/>
  <c r="K63" i="172" s="1"/>
  <c r="F64" i="172"/>
  <c r="I64" i="172" s="1"/>
  <c r="J116" i="172"/>
  <c r="F116" i="172"/>
  <c r="I116" i="172" s="1"/>
  <c r="F67" i="172"/>
  <c r="I67" i="172" s="1"/>
  <c r="F58" i="172"/>
  <c r="I58" i="172" s="1"/>
  <c r="F25" i="172"/>
  <c r="J126" i="172"/>
  <c r="G122" i="172"/>
  <c r="J122" i="172" s="1"/>
  <c r="G87" i="172"/>
  <c r="J58" i="172"/>
  <c r="F124" i="172"/>
  <c r="F157" i="172"/>
  <c r="I15" i="188"/>
  <c r="I14" i="188" s="1"/>
  <c r="U15" i="188"/>
  <c r="U14" i="188" s="1"/>
  <c r="X13" i="188"/>
  <c r="AF16" i="188"/>
  <c r="L20" i="188"/>
  <c r="L15" i="188" s="1"/>
  <c r="L14" i="188" s="1"/>
  <c r="R29" i="188"/>
  <c r="R13" i="188" s="1"/>
  <c r="R11" i="188" s="1"/>
  <c r="R10" i="188" s="1"/>
  <c r="K67" i="188"/>
  <c r="K66" i="188" s="1"/>
  <c r="K65" i="188" s="1"/>
  <c r="K70" i="188"/>
  <c r="K69" i="188" s="1"/>
  <c r="Y86" i="188"/>
  <c r="Y74" i="188" s="1"/>
  <c r="Y67" i="188"/>
  <c r="Y66" i="188" s="1"/>
  <c r="Y65" i="188" s="1"/>
  <c r="Y26" i="188"/>
  <c r="AI26" i="188" s="1"/>
  <c r="Q31" i="188"/>
  <c r="Q30" i="188" s="1"/>
  <c r="Q29" i="188" s="1"/>
  <c r="V36" i="188"/>
  <c r="V31" i="188" s="1"/>
  <c r="V30" i="188" s="1"/>
  <c r="V29" i="188" s="1"/>
  <c r="Y31" i="188"/>
  <c r="Y30" i="188" s="1"/>
  <c r="Y29" i="188" s="1"/>
  <c r="AF49" i="188"/>
  <c r="V48" i="188"/>
  <c r="V47" i="188" s="1"/>
  <c r="V46" i="188" s="1"/>
  <c r="AF53" i="188"/>
  <c r="AA52" i="188"/>
  <c r="AF52" i="188" s="1"/>
  <c r="AC86" i="188"/>
  <c r="AH86" i="188" s="1"/>
  <c r="AI27" i="188"/>
  <c r="G70" i="188"/>
  <c r="G69" i="188" s="1"/>
  <c r="P67" i="188"/>
  <c r="P66" i="188" s="1"/>
  <c r="P65" i="188" s="1"/>
  <c r="P75" i="188"/>
  <c r="P74" i="188" s="1"/>
  <c r="AD15" i="188"/>
  <c r="AI16" i="188"/>
  <c r="AI18" i="188"/>
  <c r="AI21" i="188"/>
  <c r="I46" i="188"/>
  <c r="I29" i="188" s="1"/>
  <c r="G56" i="188"/>
  <c r="G13" i="188" s="1"/>
  <c r="N75" i="188"/>
  <c r="N74" i="188" s="1"/>
  <c r="AD30" i="188"/>
  <c r="I86" i="188"/>
  <c r="I74" i="188" s="1"/>
  <c r="I67" i="188"/>
  <c r="I66" i="188" s="1"/>
  <c r="I65" i="188" s="1"/>
  <c r="O26" i="188"/>
  <c r="O20" i="188" s="1"/>
  <c r="O15" i="188" s="1"/>
  <c r="O14" i="188" s="1"/>
  <c r="O13" i="188" s="1"/>
  <c r="AA26" i="188"/>
  <c r="AF26" i="188" s="1"/>
  <c r="W29" i="188"/>
  <c r="W13" i="188" s="1"/>
  <c r="W11" i="188" s="1"/>
  <c r="W10" i="188" s="1"/>
  <c r="AE29" i="188"/>
  <c r="AE13" i="188" s="1"/>
  <c r="AF33" i="188"/>
  <c r="AA31" i="188"/>
  <c r="L36" i="188"/>
  <c r="L31" i="188" s="1"/>
  <c r="L30" i="188" s="1"/>
  <c r="L29" i="188" s="1"/>
  <c r="O31" i="188"/>
  <c r="O30" i="188" s="1"/>
  <c r="O29" i="188" s="1"/>
  <c r="AI36" i="188"/>
  <c r="V41" i="188"/>
  <c r="AF41" i="188" s="1"/>
  <c r="U46" i="188"/>
  <c r="U29" i="188" s="1"/>
  <c r="AI57" i="188"/>
  <c r="AD56" i="188"/>
  <c r="AI56" i="188" s="1"/>
  <c r="Q57" i="188"/>
  <c r="Q56" i="188" s="1"/>
  <c r="AA56" i="188"/>
  <c r="AH82" i="188"/>
  <c r="AI48" i="188"/>
  <c r="L70" i="188"/>
  <c r="L69" i="188" s="1"/>
  <c r="G88" i="188"/>
  <c r="AA88" i="188"/>
  <c r="AF90" i="188"/>
  <c r="AF97" i="188"/>
  <c r="AI53" i="188"/>
  <c r="AD66" i="188"/>
  <c r="AD65" i="188" s="1"/>
  <c r="Q84" i="188"/>
  <c r="Q83" i="188" s="1"/>
  <c r="Q82" i="188" s="1"/>
  <c r="Q76" i="188" s="1"/>
  <c r="S83" i="188"/>
  <c r="S82" i="188" s="1"/>
  <c r="S76" i="188" s="1"/>
  <c r="S75" i="188" s="1"/>
  <c r="S74" i="188" s="1"/>
  <c r="V88" i="188"/>
  <c r="AH111" i="188"/>
  <c r="G111" i="188"/>
  <c r="AF115" i="188"/>
  <c r="AA48" i="188"/>
  <c r="O67" i="188"/>
  <c r="O66" i="188" s="1"/>
  <c r="O65" i="188" s="1"/>
  <c r="O70" i="188"/>
  <c r="O69" i="188" s="1"/>
  <c r="S70" i="188"/>
  <c r="S69" i="188" s="1"/>
  <c r="W67" i="188"/>
  <c r="W66" i="188" s="1"/>
  <c r="W65" i="188" s="1"/>
  <c r="W70" i="188"/>
  <c r="W69" i="188" s="1"/>
  <c r="AF71" i="188"/>
  <c r="AA70" i="188"/>
  <c r="AE67" i="188"/>
  <c r="AE66" i="188" s="1"/>
  <c r="AE65" i="188" s="1"/>
  <c r="AE70" i="188"/>
  <c r="AE69" i="188" s="1"/>
  <c r="X67" i="188"/>
  <c r="X66" i="188" s="1"/>
  <c r="X65" i="188" s="1"/>
  <c r="X75" i="188"/>
  <c r="X74" i="188" s="1"/>
  <c r="AB67" i="188"/>
  <c r="AB66" i="188" s="1"/>
  <c r="AB65" i="188" s="1"/>
  <c r="AB75" i="188"/>
  <c r="AB74" i="188" s="1"/>
  <c r="AF78" i="188"/>
  <c r="R66" i="188"/>
  <c r="R65" i="188" s="1"/>
  <c r="AF83" i="188"/>
  <c r="AF89" i="188"/>
  <c r="AF105" i="188"/>
  <c r="V111" i="188"/>
  <c r="AF111" i="188" s="1"/>
  <c r="O11" i="188" l="1"/>
  <c r="O10" i="188" s="1"/>
  <c r="N13" i="188"/>
  <c r="N11" i="188" s="1"/>
  <c r="N10" i="188" s="1"/>
  <c r="AA76" i="188"/>
  <c r="AL9" i="188"/>
  <c r="H13" i="188"/>
  <c r="H11" i="188" s="1"/>
  <c r="H10" i="188" s="1"/>
  <c r="C62" i="172"/>
  <c r="C60" i="172" s="1"/>
  <c r="D59" i="172"/>
  <c r="AF58" i="188"/>
  <c r="V57" i="188"/>
  <c r="AH70" i="188"/>
  <c r="AC69" i="188"/>
  <c r="AH69" i="188" s="1"/>
  <c r="AI31" i="188"/>
  <c r="K124" i="172"/>
  <c r="X11" i="188"/>
  <c r="X10" i="188" s="1"/>
  <c r="J67" i="188"/>
  <c r="J66" i="188" s="1"/>
  <c r="J65" i="188" s="1"/>
  <c r="J75" i="188"/>
  <c r="J74" i="188" s="1"/>
  <c r="T67" i="188"/>
  <c r="M75" i="188"/>
  <c r="M74" i="188" s="1"/>
  <c r="M67" i="188"/>
  <c r="M66" i="188" s="1"/>
  <c r="M65" i="188" s="1"/>
  <c r="L87" i="188"/>
  <c r="H75" i="188"/>
  <c r="H74" i="188" s="1"/>
  <c r="U67" i="188"/>
  <c r="U66" i="188" s="1"/>
  <c r="U65" i="188" s="1"/>
  <c r="AF77" i="188"/>
  <c r="S67" i="188"/>
  <c r="S66" i="188" s="1"/>
  <c r="S65" i="188" s="1"/>
  <c r="D60" i="172"/>
  <c r="Q87" i="188"/>
  <c r="Q86" i="188" s="1"/>
  <c r="AE11" i="188"/>
  <c r="AE10" i="188" s="1"/>
  <c r="AF36" i="188"/>
  <c r="Z67" i="188"/>
  <c r="Z66" i="188" s="1"/>
  <c r="Z65" i="188" s="1"/>
  <c r="Z75" i="188"/>
  <c r="Z74" i="188" s="1"/>
  <c r="M13" i="188"/>
  <c r="AF21" i="188"/>
  <c r="F63" i="172"/>
  <c r="I63" i="172" s="1"/>
  <c r="F70" i="172"/>
  <c r="K70" i="172"/>
  <c r="H62" i="172"/>
  <c r="J70" i="172"/>
  <c r="G62" i="172"/>
  <c r="F153" i="172"/>
  <c r="I70" i="172"/>
  <c r="F46" i="172"/>
  <c r="I46" i="172" s="1"/>
  <c r="K101" i="172"/>
  <c r="H99" i="172"/>
  <c r="K99" i="172" s="1"/>
  <c r="F122" i="172"/>
  <c r="I122" i="172" s="1"/>
  <c r="I124" i="172"/>
  <c r="J87" i="172"/>
  <c r="F87" i="172"/>
  <c r="I87" i="172" s="1"/>
  <c r="F109" i="172"/>
  <c r="I109" i="172" s="1"/>
  <c r="G101" i="172"/>
  <c r="J109" i="172"/>
  <c r="AF48" i="188"/>
  <c r="AA47" i="188"/>
  <c r="V87" i="188"/>
  <c r="AD14" i="188"/>
  <c r="Y20" i="188"/>
  <c r="K11" i="188"/>
  <c r="K10" i="188" s="1"/>
  <c r="U13" i="188"/>
  <c r="U11" i="188" s="1"/>
  <c r="U10" i="188" s="1"/>
  <c r="AF70" i="188"/>
  <c r="AA69" i="188"/>
  <c r="AF69" i="188" s="1"/>
  <c r="AF88" i="188"/>
  <c r="AA87" i="188"/>
  <c r="AF31" i="188"/>
  <c r="AA30" i="188"/>
  <c r="AI30" i="188"/>
  <c r="AD29" i="188"/>
  <c r="Q13" i="188"/>
  <c r="Q75" i="188"/>
  <c r="G87" i="188"/>
  <c r="AC75" i="188"/>
  <c r="AH76" i="188"/>
  <c r="AC67" i="188"/>
  <c r="AA20" i="188"/>
  <c r="L13" i="188"/>
  <c r="S11" i="188"/>
  <c r="S10" i="188" s="1"/>
  <c r="AB11" i="188"/>
  <c r="AB10" i="188" s="1"/>
  <c r="P11" i="188"/>
  <c r="P10" i="188" s="1"/>
  <c r="I13" i="188"/>
  <c r="I11" i="188" s="1"/>
  <c r="I10" i="188" s="1"/>
  <c r="L86" i="188" l="1"/>
  <c r="L74" i="188" s="1"/>
  <c r="L67" i="188"/>
  <c r="L66" i="188" s="1"/>
  <c r="L65" i="188" s="1"/>
  <c r="T66" i="188"/>
  <c r="T65" i="188" s="1"/>
  <c r="T11" i="188"/>
  <c r="T10" i="188" s="1"/>
  <c r="AF76" i="188"/>
  <c r="AA75" i="188"/>
  <c r="AF75" i="188" s="1"/>
  <c r="L11" i="188"/>
  <c r="L10" i="188" s="1"/>
  <c r="D57" i="172"/>
  <c r="C59" i="172"/>
  <c r="Q67" i="188"/>
  <c r="Q66" i="188" s="1"/>
  <c r="Q65" i="188" s="1"/>
  <c r="Q74" i="188"/>
  <c r="J11" i="188"/>
  <c r="J10" i="188" s="1"/>
  <c r="AI29" i="188"/>
  <c r="AM8" i="188"/>
  <c r="M11" i="188"/>
  <c r="M10" i="188" s="1"/>
  <c r="V56" i="188"/>
  <c r="AF57" i="188"/>
  <c r="Z11" i="188"/>
  <c r="Z10" i="188" s="1"/>
  <c r="F62" i="172"/>
  <c r="F60" i="172" s="1"/>
  <c r="I60" i="172" s="1"/>
  <c r="K62" i="172"/>
  <c r="H60" i="172"/>
  <c r="K60" i="172" s="1"/>
  <c r="H59" i="172"/>
  <c r="G60" i="172"/>
  <c r="J60" i="172" s="1"/>
  <c r="J62" i="172"/>
  <c r="G59" i="172"/>
  <c r="G99" i="172"/>
  <c r="J101" i="172"/>
  <c r="F101" i="172"/>
  <c r="I101" i="172" s="1"/>
  <c r="AF20" i="188"/>
  <c r="AA15" i="188"/>
  <c r="G86" i="188"/>
  <c r="G74" i="188" s="1"/>
  <c r="G67" i="188"/>
  <c r="AF87" i="188"/>
  <c r="AA86" i="188"/>
  <c r="AA67" i="188"/>
  <c r="AD13" i="188"/>
  <c r="AF47" i="188"/>
  <c r="AA46" i="188"/>
  <c r="AF46" i="188" s="1"/>
  <c r="AC66" i="188"/>
  <c r="AH67" i="188"/>
  <c r="AC11" i="188"/>
  <c r="AF30" i="188"/>
  <c r="AA29" i="188"/>
  <c r="AF29" i="188" s="1"/>
  <c r="Y15" i="188"/>
  <c r="AI20" i="188"/>
  <c r="AH75" i="188"/>
  <c r="AC74" i="188"/>
  <c r="AH74" i="188" s="1"/>
  <c r="Q11" i="188"/>
  <c r="Q10" i="188" s="1"/>
  <c r="V86" i="188"/>
  <c r="V74" i="188" s="1"/>
  <c r="V67" i="188"/>
  <c r="C57" i="172" l="1"/>
  <c r="D41" i="172"/>
  <c r="C41" i="172" s="1"/>
  <c r="C40" i="172" s="1"/>
  <c r="AM9" i="188"/>
  <c r="AO8" i="188"/>
  <c r="AO9" i="188" s="1"/>
  <c r="V13" i="188"/>
  <c r="AF56" i="188"/>
  <c r="I62" i="172"/>
  <c r="H57" i="172"/>
  <c r="K57" i="172" s="1"/>
  <c r="K59" i="172"/>
  <c r="J99" i="172"/>
  <c r="F99" i="172"/>
  <c r="I99" i="172" s="1"/>
  <c r="J59" i="172"/>
  <c r="G57" i="172"/>
  <c r="F59" i="172"/>
  <c r="I59" i="172" s="1"/>
  <c r="G66" i="188"/>
  <c r="G65" i="188" s="1"/>
  <c r="G11" i="188"/>
  <c r="G10" i="188" s="1"/>
  <c r="V66" i="188"/>
  <c r="V65" i="188" s="1"/>
  <c r="V11" i="188"/>
  <c r="V10" i="188" s="1"/>
  <c r="AF67" i="188"/>
  <c r="AA66" i="188"/>
  <c r="AC65" i="188"/>
  <c r="AH65" i="188" s="1"/>
  <c r="AH66" i="188"/>
  <c r="AH11" i="188"/>
  <c r="AC10" i="188"/>
  <c r="AH10" i="188" s="1"/>
  <c r="AF86" i="188"/>
  <c r="AA74" i="188"/>
  <c r="AF74" i="188" s="1"/>
  <c r="AF15" i="188"/>
  <c r="AA14" i="188"/>
  <c r="Y14" i="188"/>
  <c r="AI15" i="188"/>
  <c r="AD11" i="188"/>
  <c r="G41" i="172" l="1"/>
  <c r="F57" i="172"/>
  <c r="I57" i="172" s="1"/>
  <c r="J57" i="172"/>
  <c r="Y13" i="188"/>
  <c r="AI14" i="188"/>
  <c r="AD10" i="188"/>
  <c r="AF14" i="188"/>
  <c r="AA13" i="188"/>
  <c r="AF66" i="188"/>
  <c r="AA65" i="188"/>
  <c r="AF65" i="188" s="1"/>
  <c r="AF13" i="188" l="1"/>
  <c r="AA11" i="188"/>
  <c r="AF11" i="188" s="1"/>
  <c r="Y11" i="188"/>
  <c r="AI13" i="188"/>
  <c r="Y10" i="188" l="1"/>
  <c r="AI10" i="188" s="1"/>
  <c r="AI11" i="188"/>
  <c r="AA10" i="188"/>
  <c r="AF10" i="188" s="1"/>
  <c r="AA26" i="183" l="1"/>
  <c r="X26" i="183"/>
  <c r="W26" i="183"/>
  <c r="T26" i="183"/>
  <c r="Q26" i="183"/>
  <c r="P26" i="183" s="1"/>
  <c r="M26" i="183"/>
  <c r="H26" i="183" s="1"/>
  <c r="J26" i="183"/>
  <c r="I26" i="183" s="1"/>
  <c r="C26" i="183"/>
  <c r="E17" i="183"/>
  <c r="E18" i="183"/>
  <c r="E19" i="183"/>
  <c r="AA24" i="183"/>
  <c r="X24" i="183"/>
  <c r="W24" i="183" s="1"/>
  <c r="T24" i="183"/>
  <c r="Q24" i="183"/>
  <c r="P24" i="183" s="1"/>
  <c r="M24" i="183"/>
  <c r="J24" i="183"/>
  <c r="I24" i="183" s="1"/>
  <c r="C24" i="183"/>
  <c r="AA22" i="183"/>
  <c r="X22" i="183"/>
  <c r="T22" i="183"/>
  <c r="Q22" i="183"/>
  <c r="M22" i="183"/>
  <c r="K22" i="183"/>
  <c r="J22" i="183" s="1"/>
  <c r="C22" i="183"/>
  <c r="M36" i="176"/>
  <c r="N37" i="176" s="1"/>
  <c r="H67" i="176"/>
  <c r="P16" i="174"/>
  <c r="P14" i="174"/>
  <c r="C18" i="176"/>
  <c r="G20" i="176"/>
  <c r="H20" i="176"/>
  <c r="M6" i="176"/>
  <c r="C33" i="176"/>
  <c r="S21" i="175"/>
  <c r="U67" i="175"/>
  <c r="M16" i="174"/>
  <c r="P22" i="183" l="1"/>
  <c r="K16" i="183"/>
  <c r="G26" i="183"/>
  <c r="F26" i="183" s="1"/>
  <c r="H24" i="183"/>
  <c r="AF24" i="183" s="1"/>
  <c r="H22" i="183"/>
  <c r="AF22" i="183" s="1"/>
  <c r="W22" i="183"/>
  <c r="G24" i="183"/>
  <c r="I22" i="183"/>
  <c r="G22" i="183"/>
  <c r="CP105" i="193"/>
  <c r="FX100" i="193"/>
  <c r="FW100" i="193"/>
  <c r="FP100" i="193"/>
  <c r="FP98" i="193" s="1"/>
  <c r="FN100" i="193"/>
  <c r="FM100" i="193"/>
  <c r="FM98" i="193" s="1"/>
  <c r="FI100" i="193"/>
  <c r="FI98" i="193" s="1"/>
  <c r="FH100" i="193"/>
  <c r="FH98" i="193" s="1"/>
  <c r="FE100" i="193"/>
  <c r="FE98" i="193" s="1"/>
  <c r="FC100" i="193"/>
  <c r="FC98" i="193"/>
  <c r="FB100" i="193"/>
  <c r="ES100" i="193"/>
  <c r="EQ100" i="193"/>
  <c r="EQ98" i="193" s="1"/>
  <c r="EI100" i="193"/>
  <c r="CR100" i="193"/>
  <c r="FX99" i="193"/>
  <c r="FW99" i="193"/>
  <c r="ET99" i="193"/>
  <c r="ES99" i="193"/>
  <c r="CW99" i="193"/>
  <c r="CT99" i="193"/>
  <c r="CT98" i="193" s="1"/>
  <c r="GA98" i="193"/>
  <c r="FZ98" i="193"/>
  <c r="FY98" i="193"/>
  <c r="FU98" i="193"/>
  <c r="FT98" i="193"/>
  <c r="FS98" i="193"/>
  <c r="FR98" i="193"/>
  <c r="FQ98" i="193"/>
  <c r="FO98" i="193"/>
  <c r="FN98" i="193"/>
  <c r="FL98" i="193"/>
  <c r="FK98" i="193"/>
  <c r="FJ98" i="193"/>
  <c r="FG98" i="193"/>
  <c r="FF98" i="193"/>
  <c r="FD98" i="193"/>
  <c r="FA98" i="193"/>
  <c r="EZ98" i="193"/>
  <c r="EY98" i="193"/>
  <c r="EX98" i="193"/>
  <c r="EW98" i="193"/>
  <c r="EV98" i="193"/>
  <c r="EU98" i="193"/>
  <c r="EP98" i="193"/>
  <c r="EO98" i="193"/>
  <c r="EN98" i="193"/>
  <c r="EM98" i="193"/>
  <c r="EL98" i="193"/>
  <c r="EK98" i="193"/>
  <c r="EJ98" i="193"/>
  <c r="EI98" i="193"/>
  <c r="EH98" i="193"/>
  <c r="EG98" i="193"/>
  <c r="EF98" i="193"/>
  <c r="EE98" i="193"/>
  <c r="ED98" i="193"/>
  <c r="EC98" i="193"/>
  <c r="EB98" i="193"/>
  <c r="EA98" i="193"/>
  <c r="DZ98" i="193"/>
  <c r="DY98" i="193"/>
  <c r="DX98" i="193"/>
  <c r="DW98" i="193"/>
  <c r="DV98" i="193"/>
  <c r="DU98" i="193"/>
  <c r="DT98" i="193"/>
  <c r="DS98" i="193"/>
  <c r="DR98" i="193"/>
  <c r="DQ98" i="193"/>
  <c r="DP98" i="193"/>
  <c r="DO98" i="193"/>
  <c r="DN98" i="193"/>
  <c r="DM98" i="193"/>
  <c r="DL98" i="193"/>
  <c r="DK98" i="193"/>
  <c r="DJ98" i="193"/>
  <c r="DI98" i="193"/>
  <c r="DH98" i="193"/>
  <c r="DG98" i="193"/>
  <c r="DF98" i="193"/>
  <c r="DE98" i="193"/>
  <c r="DD98" i="193"/>
  <c r="DC98" i="193"/>
  <c r="DB98" i="193"/>
  <c r="DA98" i="193"/>
  <c r="CZ98" i="193"/>
  <c r="CY98" i="193"/>
  <c r="CX98" i="193"/>
  <c r="CV98" i="193"/>
  <c r="CU98" i="193"/>
  <c r="CS98" i="193"/>
  <c r="GB97" i="193"/>
  <c r="GB95" i="193" s="1"/>
  <c r="O35" i="176" s="1"/>
  <c r="P35" i="176" s="1"/>
  <c r="FX97" i="193"/>
  <c r="FW97" i="193"/>
  <c r="FV97" i="193" s="1"/>
  <c r="ET97" i="193"/>
  <c r="ES97" i="193"/>
  <c r="ER97" i="193" s="1"/>
  <c r="CW97" i="193"/>
  <c r="CR97" i="193"/>
  <c r="CK97" i="193"/>
  <c r="CJ97" i="193"/>
  <c r="BG97" i="193"/>
  <c r="BF97" i="193"/>
  <c r="BE97" i="193" s="1"/>
  <c r="BD97" i="193"/>
  <c r="AR97" i="193"/>
  <c r="J97" i="193" s="1"/>
  <c r="E97" i="193"/>
  <c r="FX96" i="193"/>
  <c r="FX95" i="193" s="1"/>
  <c r="FW96" i="193"/>
  <c r="FV96" i="193"/>
  <c r="ET96" i="193"/>
  <c r="ES96" i="193"/>
  <c r="ES95" i="193" s="1"/>
  <c r="CW96" i="193"/>
  <c r="CW95" i="193" s="1"/>
  <c r="CR96" i="193"/>
  <c r="CK96" i="193"/>
  <c r="CJ96" i="193"/>
  <c r="CI96" i="193" s="1"/>
  <c r="BG96" i="193"/>
  <c r="BF96" i="193"/>
  <c r="BE96" i="193" s="1"/>
  <c r="J96" i="193"/>
  <c r="G96" i="193"/>
  <c r="E96" i="193" s="1"/>
  <c r="E95" i="193" s="1"/>
  <c r="GA95" i="193"/>
  <c r="FZ95" i="193"/>
  <c r="FY95" i="193"/>
  <c r="FU95" i="193"/>
  <c r="FT95" i="193"/>
  <c r="FS95" i="193"/>
  <c r="FR95" i="193"/>
  <c r="FQ95" i="193"/>
  <c r="FP95" i="193"/>
  <c r="FO95" i="193"/>
  <c r="FN95" i="193"/>
  <c r="FM95" i="193"/>
  <c r="FL95" i="193"/>
  <c r="FK95" i="193"/>
  <c r="FJ95" i="193"/>
  <c r="FI95" i="193"/>
  <c r="FH95" i="193"/>
  <c r="FG95" i="193"/>
  <c r="FF95" i="193"/>
  <c r="FE95" i="193"/>
  <c r="FD95" i="193"/>
  <c r="FC95" i="193"/>
  <c r="FB95" i="193"/>
  <c r="FA95" i="193"/>
  <c r="EZ95" i="193"/>
  <c r="EY95" i="193"/>
  <c r="EX95" i="193"/>
  <c r="EW95" i="193"/>
  <c r="EV95" i="193"/>
  <c r="EU95" i="193"/>
  <c r="EQ95" i="193"/>
  <c r="EP95" i="193"/>
  <c r="EO95" i="193"/>
  <c r="EN95" i="193"/>
  <c r="EM95" i="193"/>
  <c r="EL95" i="193"/>
  <c r="EK95" i="193"/>
  <c r="EJ95" i="193"/>
  <c r="EI95" i="193"/>
  <c r="EH95" i="193"/>
  <c r="EG95" i="193"/>
  <c r="EF95" i="193"/>
  <c r="EE95" i="193"/>
  <c r="ED95" i="193"/>
  <c r="EC95" i="193"/>
  <c r="EB95" i="193"/>
  <c r="EA95" i="193"/>
  <c r="DZ95" i="193"/>
  <c r="DY95" i="193"/>
  <c r="DX95" i="193"/>
  <c r="DW95" i="193"/>
  <c r="DV95" i="193"/>
  <c r="DU95" i="193"/>
  <c r="DT95" i="193"/>
  <c r="DS95" i="193"/>
  <c r="DR95" i="193"/>
  <c r="DQ95" i="193"/>
  <c r="DP95" i="193"/>
  <c r="DO95" i="193"/>
  <c r="DN95" i="193"/>
  <c r="DM95" i="193"/>
  <c r="DL95" i="193"/>
  <c r="DK95" i="193"/>
  <c r="DJ95" i="193"/>
  <c r="DI95" i="193"/>
  <c r="DH95" i="193"/>
  <c r="DG95" i="193"/>
  <c r="DF95" i="193"/>
  <c r="DE95" i="193"/>
  <c r="DD95" i="193"/>
  <c r="DC95" i="193"/>
  <c r="DB95" i="193"/>
  <c r="DA95" i="193"/>
  <c r="CZ95" i="193"/>
  <c r="CY95" i="193"/>
  <c r="CX95" i="193"/>
  <c r="CV95" i="193"/>
  <c r="CU95" i="193"/>
  <c r="CT95" i="193"/>
  <c r="CS95" i="193"/>
  <c r="CN95" i="193"/>
  <c r="CM95" i="193"/>
  <c r="CL95" i="193"/>
  <c r="CK95" i="193"/>
  <c r="CH95" i="193"/>
  <c r="CG95" i="193"/>
  <c r="CF95" i="193"/>
  <c r="CE95" i="193"/>
  <c r="CD95" i="193"/>
  <c r="CC95" i="193"/>
  <c r="CB95" i="193"/>
  <c r="CA95" i="193"/>
  <c r="BZ95" i="193"/>
  <c r="BY95" i="193"/>
  <c r="BX95" i="193"/>
  <c r="BW95" i="193"/>
  <c r="BV95" i="193"/>
  <c r="BU95" i="193"/>
  <c r="BT95" i="193"/>
  <c r="BS95" i="193"/>
  <c r="BR95" i="193"/>
  <c r="BQ95" i="193"/>
  <c r="BP95" i="193"/>
  <c r="BO95" i="193"/>
  <c r="BN95" i="193"/>
  <c r="BM95" i="193"/>
  <c r="BL95" i="193"/>
  <c r="BK95" i="193"/>
  <c r="BJ95" i="193"/>
  <c r="BI95" i="193"/>
  <c r="BH95" i="193"/>
  <c r="BD95" i="193"/>
  <c r="BC95" i="193"/>
  <c r="BB95" i="193"/>
  <c r="BA95" i="193"/>
  <c r="AZ95" i="193"/>
  <c r="AY95" i="193"/>
  <c r="AX95" i="193"/>
  <c r="AW95" i="193"/>
  <c r="AV95" i="193"/>
  <c r="AU95" i="193"/>
  <c r="AT95" i="193"/>
  <c r="AS95" i="193"/>
  <c r="AR95" i="193"/>
  <c r="AQ95" i="193"/>
  <c r="AP95" i="193"/>
  <c r="AO95" i="193"/>
  <c r="AN95" i="193"/>
  <c r="AM95" i="193"/>
  <c r="AL95" i="193"/>
  <c r="AK95" i="193"/>
  <c r="AJ95" i="193"/>
  <c r="AI95" i="193"/>
  <c r="AH95" i="193"/>
  <c r="AG95" i="193"/>
  <c r="AF95" i="193"/>
  <c r="AE95" i="193"/>
  <c r="AD95" i="193"/>
  <c r="AC95" i="193"/>
  <c r="AB95" i="193"/>
  <c r="AA95" i="193"/>
  <c r="Z95" i="193"/>
  <c r="Y95" i="193"/>
  <c r="X95" i="193"/>
  <c r="W95" i="193"/>
  <c r="V95" i="193"/>
  <c r="U95" i="193"/>
  <c r="T95" i="193"/>
  <c r="S95" i="193"/>
  <c r="R95" i="193"/>
  <c r="Q95" i="193"/>
  <c r="P95" i="193"/>
  <c r="O95" i="193"/>
  <c r="N95" i="193"/>
  <c r="M95" i="193"/>
  <c r="L95" i="193"/>
  <c r="K95" i="193"/>
  <c r="I95" i="193"/>
  <c r="H95" i="193"/>
  <c r="G95" i="193"/>
  <c r="F95" i="193"/>
  <c r="FZ94" i="193"/>
  <c r="FX94" i="193" s="1"/>
  <c r="FW94" i="193"/>
  <c r="ET94" i="193"/>
  <c r="ES94" i="193"/>
  <c r="CW94" i="193"/>
  <c r="CR94" i="193"/>
  <c r="CM94" i="193"/>
  <c r="CJ94" i="193"/>
  <c r="BG94" i="193"/>
  <c r="BG92" i="193" s="1"/>
  <c r="BF94" i="193"/>
  <c r="J94" i="193"/>
  <c r="E94" i="193"/>
  <c r="FX93" i="193"/>
  <c r="FW93" i="193"/>
  <c r="ET93" i="193"/>
  <c r="ET92" i="193" s="1"/>
  <c r="ES93" i="193"/>
  <c r="CW93" i="193"/>
  <c r="CS93" i="193"/>
  <c r="CR93" i="193" s="1"/>
  <c r="CK93" i="193"/>
  <c r="CJ93" i="193"/>
  <c r="CI93" i="193"/>
  <c r="BG93" i="193"/>
  <c r="BF93" i="193"/>
  <c r="BF92" i="193"/>
  <c r="J93" i="193"/>
  <c r="E93" i="193"/>
  <c r="GB92" i="193"/>
  <c r="GA92" i="193"/>
  <c r="FZ92" i="193"/>
  <c r="FY92" i="193"/>
  <c r="FU92" i="193"/>
  <c r="FT92" i="193"/>
  <c r="FS92" i="193"/>
  <c r="FR92" i="193"/>
  <c r="FQ92" i="193"/>
  <c r="FP92" i="193"/>
  <c r="FO92" i="193"/>
  <c r="FN92" i="193"/>
  <c r="FM92" i="193"/>
  <c r="FL92" i="193"/>
  <c r="FK92" i="193"/>
  <c r="FJ92" i="193"/>
  <c r="FI92" i="193"/>
  <c r="FH92" i="193"/>
  <c r="FG92" i="193"/>
  <c r="FF92" i="193"/>
  <c r="FE92" i="193"/>
  <c r="FD92" i="193"/>
  <c r="FC92" i="193"/>
  <c r="FB92" i="193"/>
  <c r="FA92" i="193"/>
  <c r="EZ92" i="193"/>
  <c r="EY92" i="193"/>
  <c r="EX92" i="193"/>
  <c r="EW92" i="193"/>
  <c r="EV92" i="193"/>
  <c r="EU92" i="193"/>
  <c r="EQ92" i="193"/>
  <c r="EP92" i="193"/>
  <c r="EO92" i="193"/>
  <c r="EN92" i="193"/>
  <c r="EM92" i="193"/>
  <c r="EL92" i="193"/>
  <c r="EK92" i="193"/>
  <c r="EJ92" i="193"/>
  <c r="EI92" i="193"/>
  <c r="EH92" i="193"/>
  <c r="EG92" i="193"/>
  <c r="EF92" i="193"/>
  <c r="EE92" i="193"/>
  <c r="ED92" i="193"/>
  <c r="EC92" i="193"/>
  <c r="EB92" i="193"/>
  <c r="EA92" i="193"/>
  <c r="DZ92" i="193"/>
  <c r="DY92" i="193"/>
  <c r="DX92" i="193"/>
  <c r="DW92" i="193"/>
  <c r="DV92" i="193"/>
  <c r="DU92" i="193"/>
  <c r="DT92" i="193"/>
  <c r="DS92" i="193"/>
  <c r="DR92" i="193"/>
  <c r="DQ92" i="193"/>
  <c r="DP92" i="193"/>
  <c r="DO92" i="193"/>
  <c r="DN92" i="193"/>
  <c r="DM92" i="193"/>
  <c r="DL92" i="193"/>
  <c r="DK92" i="193"/>
  <c r="DJ92" i="193"/>
  <c r="DI92" i="193"/>
  <c r="DH92" i="193"/>
  <c r="DG92" i="193"/>
  <c r="DF92" i="193"/>
  <c r="DE92" i="193"/>
  <c r="DD92" i="193"/>
  <c r="DC92" i="193"/>
  <c r="DB92" i="193"/>
  <c r="DA92" i="193"/>
  <c r="CZ92" i="193"/>
  <c r="CY92" i="193"/>
  <c r="CX92" i="193"/>
  <c r="CV92" i="193"/>
  <c r="CU92" i="193"/>
  <c r="CT92" i="193"/>
  <c r="CN92" i="193"/>
  <c r="CL92" i="193"/>
  <c r="CH92" i="193"/>
  <c r="CG92" i="193"/>
  <c r="CF92" i="193"/>
  <c r="CE92" i="193"/>
  <c r="CD92" i="193"/>
  <c r="CC92" i="193"/>
  <c r="CB92" i="193"/>
  <c r="CA92" i="193"/>
  <c r="BZ92" i="193"/>
  <c r="BY92" i="193"/>
  <c r="BX92" i="193"/>
  <c r="BW92" i="193"/>
  <c r="BV92" i="193"/>
  <c r="BU92" i="193"/>
  <c r="BT92" i="193"/>
  <c r="BS92" i="193"/>
  <c r="BR92" i="193"/>
  <c r="BQ92" i="193"/>
  <c r="BP92" i="193"/>
  <c r="BO92" i="193"/>
  <c r="BN92" i="193"/>
  <c r="BM92" i="193"/>
  <c r="BL92" i="193"/>
  <c r="BK92" i="193"/>
  <c r="BJ92" i="193"/>
  <c r="BI92" i="193"/>
  <c r="BH92" i="193"/>
  <c r="BD92" i="193"/>
  <c r="BC92" i="193"/>
  <c r="BB92" i="193"/>
  <c r="BA92" i="193"/>
  <c r="AZ92" i="193"/>
  <c r="AY92" i="193"/>
  <c r="AX92" i="193"/>
  <c r="AW92" i="193"/>
  <c r="AV92" i="193"/>
  <c r="AU92" i="193"/>
  <c r="AT92" i="193"/>
  <c r="AS92" i="193"/>
  <c r="AR92" i="193"/>
  <c r="AQ92" i="193"/>
  <c r="AP92" i="193"/>
  <c r="AO92" i="193"/>
  <c r="AN92" i="193"/>
  <c r="AM92" i="193"/>
  <c r="AL92" i="193"/>
  <c r="AK92" i="193"/>
  <c r="AJ92" i="193"/>
  <c r="AI92" i="193"/>
  <c r="AH92" i="193"/>
  <c r="AG92" i="193"/>
  <c r="AF92" i="193"/>
  <c r="AE92" i="193"/>
  <c r="AD92" i="193"/>
  <c r="AC92" i="193"/>
  <c r="AB92" i="193"/>
  <c r="AA92" i="193"/>
  <c r="Z92" i="193"/>
  <c r="Y92" i="193"/>
  <c r="X92" i="193"/>
  <c r="W92" i="193"/>
  <c r="V92" i="193"/>
  <c r="U92" i="193"/>
  <c r="T92" i="193"/>
  <c r="S92" i="193"/>
  <c r="R92" i="193"/>
  <c r="Q92" i="193"/>
  <c r="P92" i="193"/>
  <c r="O92" i="193"/>
  <c r="N92" i="193"/>
  <c r="M92" i="193"/>
  <c r="L92" i="193"/>
  <c r="K92" i="193"/>
  <c r="I92" i="193"/>
  <c r="H92" i="193"/>
  <c r="G92" i="193"/>
  <c r="F92" i="193"/>
  <c r="FX91" i="193"/>
  <c r="FV91" i="193" s="1"/>
  <c r="FW91" i="193"/>
  <c r="ET91" i="193"/>
  <c r="ES91" i="193"/>
  <c r="CW91" i="193"/>
  <c r="GE91" i="193"/>
  <c r="CR91" i="193"/>
  <c r="CK91" i="193"/>
  <c r="CJ91" i="193"/>
  <c r="BG91" i="193"/>
  <c r="BF91" i="193"/>
  <c r="BE91" i="193" s="1"/>
  <c r="J91" i="193"/>
  <c r="D91" i="193" s="1"/>
  <c r="E91" i="193"/>
  <c r="FX90" i="193"/>
  <c r="FV90" i="193" s="1"/>
  <c r="FV89" i="193" s="1"/>
  <c r="FW90" i="193"/>
  <c r="FW89" i="193" s="1"/>
  <c r="ET90" i="193"/>
  <c r="ES90" i="193"/>
  <c r="ES89" i="193"/>
  <c r="CW90" i="193"/>
  <c r="CR90" i="193"/>
  <c r="CK90" i="193"/>
  <c r="CJ90" i="193"/>
  <c r="BG90" i="193"/>
  <c r="BF90" i="193"/>
  <c r="J90" i="193"/>
  <c r="J89" i="193" s="1"/>
  <c r="E90" i="193"/>
  <c r="GB89" i="193"/>
  <c r="GA89" i="193"/>
  <c r="FZ89" i="193"/>
  <c r="FY89" i="193"/>
  <c r="FU89" i="193"/>
  <c r="FT89" i="193"/>
  <c r="FS89" i="193"/>
  <c r="FR89" i="193"/>
  <c r="FQ89" i="193"/>
  <c r="FP89" i="193"/>
  <c r="FO89" i="193"/>
  <c r="FN89" i="193"/>
  <c r="FM89" i="193"/>
  <c r="FL89" i="193"/>
  <c r="FK89" i="193"/>
  <c r="FJ89" i="193"/>
  <c r="FI89" i="193"/>
  <c r="FH89" i="193"/>
  <c r="FG89" i="193"/>
  <c r="FF89" i="193"/>
  <c r="FE89" i="193"/>
  <c r="FD89" i="193"/>
  <c r="FC89" i="193"/>
  <c r="FB89" i="193"/>
  <c r="FA89" i="193"/>
  <c r="EZ89" i="193"/>
  <c r="EY89" i="193"/>
  <c r="EX89" i="193"/>
  <c r="EW89" i="193"/>
  <c r="EV89" i="193"/>
  <c r="EU89" i="193"/>
  <c r="EQ89" i="193"/>
  <c r="EP89" i="193"/>
  <c r="EO89" i="193"/>
  <c r="EN89" i="193"/>
  <c r="EM89" i="193"/>
  <c r="EL89" i="193"/>
  <c r="EK89" i="193"/>
  <c r="EJ89" i="193"/>
  <c r="EI89" i="193"/>
  <c r="EH89" i="193"/>
  <c r="EG89" i="193"/>
  <c r="EF89" i="193"/>
  <c r="EE89" i="193"/>
  <c r="ED89" i="193"/>
  <c r="EC89" i="193"/>
  <c r="EB89" i="193"/>
  <c r="EA89" i="193"/>
  <c r="DZ89" i="193"/>
  <c r="DY89" i="193"/>
  <c r="DX89" i="193"/>
  <c r="DW89" i="193"/>
  <c r="DV89" i="193"/>
  <c r="DU89" i="193"/>
  <c r="DT89" i="193"/>
  <c r="DS89" i="193"/>
  <c r="DR89" i="193"/>
  <c r="DQ89" i="193"/>
  <c r="DP89" i="193"/>
  <c r="DO89" i="193"/>
  <c r="DN89" i="193"/>
  <c r="DM89" i="193"/>
  <c r="DL89" i="193"/>
  <c r="DK89" i="193"/>
  <c r="DJ89" i="193"/>
  <c r="DI89" i="193"/>
  <c r="DH89" i="193"/>
  <c r="DG89" i="193"/>
  <c r="DF89" i="193"/>
  <c r="DE89" i="193"/>
  <c r="DD89" i="193"/>
  <c r="DC89" i="193"/>
  <c r="DB89" i="193"/>
  <c r="DA89" i="193"/>
  <c r="CZ89" i="193"/>
  <c r="CY89" i="193"/>
  <c r="CX89" i="193"/>
  <c r="CV89" i="193"/>
  <c r="CU89" i="193"/>
  <c r="CT89" i="193"/>
  <c r="CS89" i="193"/>
  <c r="CN89" i="193"/>
  <c r="CM89" i="193"/>
  <c r="CL89" i="193"/>
  <c r="CH89" i="193"/>
  <c r="CG89" i="193"/>
  <c r="CF89" i="193"/>
  <c r="CE89" i="193"/>
  <c r="CD89" i="193"/>
  <c r="CC89" i="193"/>
  <c r="CB89" i="193"/>
  <c r="CA89" i="193"/>
  <c r="BZ89" i="193"/>
  <c r="BY89" i="193"/>
  <c r="BX89" i="193"/>
  <c r="BW89" i="193"/>
  <c r="BV89" i="193"/>
  <c r="BU89" i="193"/>
  <c r="BT89" i="193"/>
  <c r="BS89" i="193"/>
  <c r="BR89" i="193"/>
  <c r="BQ89" i="193"/>
  <c r="BP89" i="193"/>
  <c r="BO89" i="193"/>
  <c r="BN89" i="193"/>
  <c r="BM89" i="193"/>
  <c r="BL89" i="193"/>
  <c r="BK89" i="193"/>
  <c r="BJ89" i="193"/>
  <c r="BI89" i="193"/>
  <c r="BH89" i="193"/>
  <c r="BD89" i="193"/>
  <c r="BC89" i="193"/>
  <c r="BB89" i="193"/>
  <c r="BA89" i="193"/>
  <c r="AZ89" i="193"/>
  <c r="AY89" i="193"/>
  <c r="AX89" i="193"/>
  <c r="AW89" i="193"/>
  <c r="AV89" i="193"/>
  <c r="AU89" i="193"/>
  <c r="AT89" i="193"/>
  <c r="AS89" i="193"/>
  <c r="AR89" i="193"/>
  <c r="AQ89" i="193"/>
  <c r="AP89" i="193"/>
  <c r="AO89" i="193"/>
  <c r="AN89" i="193"/>
  <c r="AM89" i="193"/>
  <c r="AL89" i="193"/>
  <c r="AK89" i="193"/>
  <c r="AJ89" i="193"/>
  <c r="AI89" i="193"/>
  <c r="AH89" i="193"/>
  <c r="AG89" i="193"/>
  <c r="AF89" i="193"/>
  <c r="AE89" i="193"/>
  <c r="AD89" i="193"/>
  <c r="AC89" i="193"/>
  <c r="AB89" i="193"/>
  <c r="AA89" i="193"/>
  <c r="Z89" i="193"/>
  <c r="Y89" i="193"/>
  <c r="X89" i="193"/>
  <c r="W89" i="193"/>
  <c r="V89" i="193"/>
  <c r="U89" i="193"/>
  <c r="T89" i="193"/>
  <c r="S89" i="193"/>
  <c r="R89" i="193"/>
  <c r="Q89" i="193"/>
  <c r="P89" i="193"/>
  <c r="O89" i="193"/>
  <c r="N89" i="193"/>
  <c r="M89" i="193"/>
  <c r="L89" i="193"/>
  <c r="K89" i="193"/>
  <c r="I89" i="193"/>
  <c r="H89" i="193"/>
  <c r="G89" i="193"/>
  <c r="F89" i="193"/>
  <c r="FX88" i="193"/>
  <c r="FW88" i="193"/>
  <c r="ET88" i="193"/>
  <c r="ES88" i="193"/>
  <c r="CW88" i="193"/>
  <c r="CR88" i="193"/>
  <c r="CK88" i="193"/>
  <c r="CJ88" i="193"/>
  <c r="BG88" i="193"/>
  <c r="BF88" i="193"/>
  <c r="BE88" i="193" s="1"/>
  <c r="J88" i="193"/>
  <c r="E88" i="193"/>
  <c r="FX87" i="193"/>
  <c r="FX86" i="193" s="1"/>
  <c r="FW87" i="193"/>
  <c r="FW86" i="193" s="1"/>
  <c r="ET87" i="193"/>
  <c r="ES87" i="193"/>
  <c r="CW87" i="193"/>
  <c r="CR87" i="193"/>
  <c r="CR86" i="193" s="1"/>
  <c r="CK87" i="193"/>
  <c r="CJ87" i="193"/>
  <c r="CJ86" i="193" s="1"/>
  <c r="BG87" i="193"/>
  <c r="BG86" i="193" s="1"/>
  <c r="BF87" i="193"/>
  <c r="J87" i="193"/>
  <c r="J86" i="193" s="1"/>
  <c r="E87" i="193"/>
  <c r="E86" i="193" s="1"/>
  <c r="GB86" i="193"/>
  <c r="GA86" i="193"/>
  <c r="FZ86" i="193"/>
  <c r="FY86" i="193"/>
  <c r="FU86" i="193"/>
  <c r="FT86" i="193"/>
  <c r="FS86" i="193"/>
  <c r="FR86" i="193"/>
  <c r="FQ86" i="193"/>
  <c r="FP86" i="193"/>
  <c r="FP11" i="193" s="1"/>
  <c r="FO86" i="193"/>
  <c r="FN86" i="193"/>
  <c r="FM86" i="193"/>
  <c r="FL86" i="193"/>
  <c r="FK86" i="193"/>
  <c r="FJ86" i="193"/>
  <c r="FI86" i="193"/>
  <c r="FH86" i="193"/>
  <c r="FG86" i="193"/>
  <c r="FF86" i="193"/>
  <c r="FE86" i="193"/>
  <c r="FD86" i="193"/>
  <c r="FD11" i="193" s="1"/>
  <c r="FC86" i="193"/>
  <c r="FB86" i="193"/>
  <c r="FA86" i="193"/>
  <c r="EZ86" i="193"/>
  <c r="EY86" i="193"/>
  <c r="EX86" i="193"/>
  <c r="EW86" i="193"/>
  <c r="EV86" i="193"/>
  <c r="EU86" i="193"/>
  <c r="EQ86" i="193"/>
  <c r="EP86" i="193"/>
  <c r="EO86" i="193"/>
  <c r="EO11" i="193" s="1"/>
  <c r="EN86" i="193"/>
  <c r="EM86" i="193"/>
  <c r="EL86" i="193"/>
  <c r="EK86" i="193"/>
  <c r="EJ86" i="193"/>
  <c r="EI86" i="193"/>
  <c r="EH86" i="193"/>
  <c r="EG86" i="193"/>
  <c r="EF86" i="193"/>
  <c r="EE86" i="193"/>
  <c r="ED86" i="193"/>
  <c r="EC86" i="193"/>
  <c r="EC11" i="193" s="1"/>
  <c r="EB86" i="193"/>
  <c r="EA86" i="193"/>
  <c r="DZ86" i="193"/>
  <c r="DY86" i="193"/>
  <c r="DX86" i="193"/>
  <c r="DW86" i="193"/>
  <c r="DV86" i="193"/>
  <c r="DU86" i="193"/>
  <c r="DT86" i="193"/>
  <c r="DS86" i="193"/>
  <c r="DR86" i="193"/>
  <c r="DQ86" i="193"/>
  <c r="DQ11" i="193" s="1"/>
  <c r="DP86" i="193"/>
  <c r="DO86" i="193"/>
  <c r="DN86" i="193"/>
  <c r="DM86" i="193"/>
  <c r="DL86" i="193"/>
  <c r="DK86" i="193"/>
  <c r="DJ86" i="193"/>
  <c r="DI86" i="193"/>
  <c r="DH86" i="193"/>
  <c r="DG86" i="193"/>
  <c r="DF86" i="193"/>
  <c r="DE86" i="193"/>
  <c r="DE11" i="193" s="1"/>
  <c r="DD86" i="193"/>
  <c r="DC86" i="193"/>
  <c r="DB86" i="193"/>
  <c r="DA86" i="193"/>
  <c r="CZ86" i="193"/>
  <c r="CY86" i="193"/>
  <c r="CX86" i="193"/>
  <c r="CV86" i="193"/>
  <c r="CU86" i="193"/>
  <c r="CT86" i="193"/>
  <c r="CS86" i="193"/>
  <c r="CN86" i="193"/>
  <c r="CN11" i="193" s="1"/>
  <c r="CM86" i="193"/>
  <c r="CL86" i="193"/>
  <c r="CH86" i="193"/>
  <c r="CG86" i="193"/>
  <c r="CF86" i="193"/>
  <c r="CE86" i="193"/>
  <c r="CD86" i="193"/>
  <c r="CC86" i="193"/>
  <c r="CB86" i="193"/>
  <c r="CA86" i="193"/>
  <c r="BZ86" i="193"/>
  <c r="BY86" i="193"/>
  <c r="BX86" i="193"/>
  <c r="BW86" i="193"/>
  <c r="BV86" i="193"/>
  <c r="BU86" i="193"/>
  <c r="BT86" i="193"/>
  <c r="BS86" i="193"/>
  <c r="BR86" i="193"/>
  <c r="BQ86" i="193"/>
  <c r="BP86" i="193"/>
  <c r="BO86" i="193"/>
  <c r="BN86" i="193"/>
  <c r="BM86" i="193"/>
  <c r="BL86" i="193"/>
  <c r="BK86" i="193"/>
  <c r="BJ86" i="193"/>
  <c r="BI86" i="193"/>
  <c r="BH86" i="193"/>
  <c r="BD86" i="193"/>
  <c r="BC86" i="193"/>
  <c r="BB86" i="193"/>
  <c r="BA86" i="193"/>
  <c r="AZ86" i="193"/>
  <c r="AY86" i="193"/>
  <c r="AX86" i="193"/>
  <c r="AW86" i="193"/>
  <c r="AV86" i="193"/>
  <c r="AU86" i="193"/>
  <c r="AT86" i="193"/>
  <c r="AS86" i="193"/>
  <c r="AR86" i="193"/>
  <c r="AQ86" i="193"/>
  <c r="AP86" i="193"/>
  <c r="AO86" i="193"/>
  <c r="AN86" i="193"/>
  <c r="AM86" i="193"/>
  <c r="AL86" i="193"/>
  <c r="AK86" i="193"/>
  <c r="AJ86" i="193"/>
  <c r="AI86" i="193"/>
  <c r="AH86" i="193"/>
  <c r="AG86" i="193"/>
  <c r="AF86" i="193"/>
  <c r="AE86" i="193"/>
  <c r="AD86" i="193"/>
  <c r="AC86" i="193"/>
  <c r="AB86" i="193"/>
  <c r="AA86" i="193"/>
  <c r="Z86" i="193"/>
  <c r="Y86" i="193"/>
  <c r="X86" i="193"/>
  <c r="W86" i="193"/>
  <c r="V86" i="193"/>
  <c r="U86" i="193"/>
  <c r="T86" i="193"/>
  <c r="S86" i="193"/>
  <c r="R86" i="193"/>
  <c r="Q86" i="193"/>
  <c r="P86" i="193"/>
  <c r="O86" i="193"/>
  <c r="N86" i="193"/>
  <c r="M86" i="193"/>
  <c r="L86" i="193"/>
  <c r="K86" i="193"/>
  <c r="I86" i="193"/>
  <c r="H86" i="193"/>
  <c r="G86" i="193"/>
  <c r="F86" i="193"/>
  <c r="FX85" i="193"/>
  <c r="FW85" i="193"/>
  <c r="FV85" i="193" s="1"/>
  <c r="ET85" i="193"/>
  <c r="ES85" i="193"/>
  <c r="CW85" i="193"/>
  <c r="GE85" i="193" s="1"/>
  <c r="CR85" i="193"/>
  <c r="CK85" i="193"/>
  <c r="CJ85" i="193"/>
  <c r="BG85" i="193"/>
  <c r="BF85" i="193"/>
  <c r="J85" i="193"/>
  <c r="E85" i="193"/>
  <c r="D85" i="193" s="1"/>
  <c r="FX84" i="193"/>
  <c r="FX83" i="193" s="1"/>
  <c r="FW84" i="193"/>
  <c r="ET84" i="193"/>
  <c r="ES84" i="193"/>
  <c r="ER84" i="193" s="1"/>
  <c r="CW84" i="193"/>
  <c r="CR84" i="193"/>
  <c r="CK84" i="193"/>
  <c r="CJ84" i="193"/>
  <c r="CI84" i="193" s="1"/>
  <c r="BG84" i="193"/>
  <c r="BF84" i="193"/>
  <c r="J84" i="193"/>
  <c r="J83" i="193" s="1"/>
  <c r="E84" i="193"/>
  <c r="GB83" i="193"/>
  <c r="GA83" i="193"/>
  <c r="FZ83" i="193"/>
  <c r="FY83" i="193"/>
  <c r="FU83" i="193"/>
  <c r="FT83" i="193"/>
  <c r="FS83" i="193"/>
  <c r="FR83" i="193"/>
  <c r="FQ83" i="193"/>
  <c r="FP83" i="193"/>
  <c r="FO83" i="193"/>
  <c r="FN83" i="193"/>
  <c r="FM83" i="193"/>
  <c r="FL83" i="193"/>
  <c r="FK83" i="193"/>
  <c r="FJ83" i="193"/>
  <c r="FI83" i="193"/>
  <c r="FH83" i="193"/>
  <c r="FG83" i="193"/>
  <c r="FF83" i="193"/>
  <c r="FE83" i="193"/>
  <c r="FD83" i="193"/>
  <c r="FC83" i="193"/>
  <c r="FB83" i="193"/>
  <c r="FA83" i="193"/>
  <c r="EZ83" i="193"/>
  <c r="EY83" i="193"/>
  <c r="EX83" i="193"/>
  <c r="EW83" i="193"/>
  <c r="EV83" i="193"/>
  <c r="EU83" i="193"/>
  <c r="ES83" i="193"/>
  <c r="EQ83" i="193"/>
  <c r="EP83" i="193"/>
  <c r="EO83" i="193"/>
  <c r="EN83" i="193"/>
  <c r="EM83" i="193"/>
  <c r="EL83" i="193"/>
  <c r="EK83" i="193"/>
  <c r="EJ83" i="193"/>
  <c r="EI83" i="193"/>
  <c r="EH83" i="193"/>
  <c r="EG83" i="193"/>
  <c r="EF83" i="193"/>
  <c r="EE83" i="193"/>
  <c r="ED83" i="193"/>
  <c r="EC83" i="193"/>
  <c r="EB83" i="193"/>
  <c r="EA83" i="193"/>
  <c r="DZ83" i="193"/>
  <c r="DY83" i="193"/>
  <c r="DX83" i="193"/>
  <c r="DW83" i="193"/>
  <c r="DV83" i="193"/>
  <c r="DU83" i="193"/>
  <c r="DT83" i="193"/>
  <c r="DS83" i="193"/>
  <c r="DR83" i="193"/>
  <c r="DQ83" i="193"/>
  <c r="DP83" i="193"/>
  <c r="DO83" i="193"/>
  <c r="DN83" i="193"/>
  <c r="DM83" i="193"/>
  <c r="DL83" i="193"/>
  <c r="DK83" i="193"/>
  <c r="DJ83" i="193"/>
  <c r="DI83" i="193"/>
  <c r="DH83" i="193"/>
  <c r="DG83" i="193"/>
  <c r="DF83" i="193"/>
  <c r="DE83" i="193"/>
  <c r="DD83" i="193"/>
  <c r="DC83" i="193"/>
  <c r="DB83" i="193"/>
  <c r="DA83" i="193"/>
  <c r="CZ83" i="193"/>
  <c r="CY83" i="193"/>
  <c r="CX83" i="193"/>
  <c r="CV83" i="193"/>
  <c r="CU83" i="193"/>
  <c r="CT83" i="193"/>
  <c r="CS83" i="193"/>
  <c r="CN83" i="193"/>
  <c r="CM83" i="193"/>
  <c r="CL83" i="193"/>
  <c r="CJ83" i="193"/>
  <c r="CH83" i="193"/>
  <c r="CG83" i="193"/>
  <c r="CF83" i="193"/>
  <c r="CE83" i="193"/>
  <c r="CD83" i="193"/>
  <c r="CC83" i="193"/>
  <c r="CB83" i="193"/>
  <c r="CA83" i="193"/>
  <c r="BZ83" i="193"/>
  <c r="BY83" i="193"/>
  <c r="BX83" i="193"/>
  <c r="BW83" i="193"/>
  <c r="BV83" i="193"/>
  <c r="BU83" i="193"/>
  <c r="BT83" i="193"/>
  <c r="BS83" i="193"/>
  <c r="BR83" i="193"/>
  <c r="BQ83" i="193"/>
  <c r="BP83" i="193"/>
  <c r="BO83" i="193"/>
  <c r="BN83" i="193"/>
  <c r="BM83" i="193"/>
  <c r="BL83" i="193"/>
  <c r="BK83" i="193"/>
  <c r="BJ83" i="193"/>
  <c r="BI83" i="193"/>
  <c r="BH83" i="193"/>
  <c r="BD83" i="193"/>
  <c r="BC83" i="193"/>
  <c r="BB83" i="193"/>
  <c r="BA83" i="193"/>
  <c r="AZ83" i="193"/>
  <c r="AY83" i="193"/>
  <c r="AX83" i="193"/>
  <c r="AW83" i="193"/>
  <c r="AV83" i="193"/>
  <c r="AU83" i="193"/>
  <c r="AT83" i="193"/>
  <c r="AS83" i="193"/>
  <c r="AR83" i="193"/>
  <c r="AQ83" i="193"/>
  <c r="AP83" i="193"/>
  <c r="AO83" i="193"/>
  <c r="AN83" i="193"/>
  <c r="AM83" i="193"/>
  <c r="AL83" i="193"/>
  <c r="AK83" i="193"/>
  <c r="AJ83" i="193"/>
  <c r="AI83" i="193"/>
  <c r="AH83" i="193"/>
  <c r="AG83" i="193"/>
  <c r="AF83" i="193"/>
  <c r="AE83" i="193"/>
  <c r="AD83" i="193"/>
  <c r="AC83" i="193"/>
  <c r="AB83" i="193"/>
  <c r="AA83" i="193"/>
  <c r="Z83" i="193"/>
  <c r="Y83" i="193"/>
  <c r="X83" i="193"/>
  <c r="W83" i="193"/>
  <c r="V83" i="193"/>
  <c r="U83" i="193"/>
  <c r="T83" i="193"/>
  <c r="S83" i="193"/>
  <c r="R83" i="193"/>
  <c r="Q83" i="193"/>
  <c r="P83" i="193"/>
  <c r="O83" i="193"/>
  <c r="N83" i="193"/>
  <c r="M83" i="193"/>
  <c r="L83" i="193"/>
  <c r="K83" i="193"/>
  <c r="I83" i="193"/>
  <c r="H83" i="193"/>
  <c r="G83" i="193"/>
  <c r="F83" i="193"/>
  <c r="FX82" i="193"/>
  <c r="FW82" i="193"/>
  <c r="ET82" i="193"/>
  <c r="ES82" i="193"/>
  <c r="ER82" i="193" s="1"/>
  <c r="CW82" i="193"/>
  <c r="CR82" i="193"/>
  <c r="CK82" i="193"/>
  <c r="CJ82" i="193"/>
  <c r="BG82" i="193"/>
  <c r="BF82" i="193"/>
  <c r="J82" i="193"/>
  <c r="E82" i="193"/>
  <c r="FX81" i="193"/>
  <c r="FW81" i="193"/>
  <c r="ET81" i="193"/>
  <c r="ET80" i="193" s="1"/>
  <c r="ES81" i="193"/>
  <c r="CW81" i="193"/>
  <c r="CR81" i="193"/>
  <c r="CK81" i="193"/>
  <c r="CJ81" i="193"/>
  <c r="CJ80" i="193" s="1"/>
  <c r="BG81" i="193"/>
  <c r="BG80" i="193" s="1"/>
  <c r="BF81" i="193"/>
  <c r="J81" i="193"/>
  <c r="J80" i="193" s="1"/>
  <c r="E81" i="193"/>
  <c r="D81" i="193" s="1"/>
  <c r="GB80" i="193"/>
  <c r="GA80" i="193"/>
  <c r="FZ80" i="193"/>
  <c r="FY80" i="193"/>
  <c r="FU80" i="193"/>
  <c r="FT80" i="193"/>
  <c r="FS80" i="193"/>
  <c r="FR80" i="193"/>
  <c r="FQ80" i="193"/>
  <c r="FP80" i="193"/>
  <c r="FO80" i="193"/>
  <c r="FN80" i="193"/>
  <c r="FM80" i="193"/>
  <c r="FL80" i="193"/>
  <c r="FK80" i="193"/>
  <c r="FJ80" i="193"/>
  <c r="FI80" i="193"/>
  <c r="FH80" i="193"/>
  <c r="FG80" i="193"/>
  <c r="FF80" i="193"/>
  <c r="FE80" i="193"/>
  <c r="FD80" i="193"/>
  <c r="FC80" i="193"/>
  <c r="FB80" i="193"/>
  <c r="FA80" i="193"/>
  <c r="EZ80" i="193"/>
  <c r="EY80" i="193"/>
  <c r="EX80" i="193"/>
  <c r="EW80" i="193"/>
  <c r="EV80" i="193"/>
  <c r="EU80" i="193"/>
  <c r="EQ80" i="193"/>
  <c r="EP80" i="193"/>
  <c r="EO80" i="193"/>
  <c r="EN80" i="193"/>
  <c r="EM80" i="193"/>
  <c r="EL80" i="193"/>
  <c r="EK80" i="193"/>
  <c r="EJ80" i="193"/>
  <c r="EI80" i="193"/>
  <c r="EH80" i="193"/>
  <c r="EG80" i="193"/>
  <c r="EF80" i="193"/>
  <c r="EE80" i="193"/>
  <c r="ED80" i="193"/>
  <c r="EC80" i="193"/>
  <c r="EB80" i="193"/>
  <c r="EA80" i="193"/>
  <c r="DZ80" i="193"/>
  <c r="DY80" i="193"/>
  <c r="DX80" i="193"/>
  <c r="DW80" i="193"/>
  <c r="DV80" i="193"/>
  <c r="DU80" i="193"/>
  <c r="DT80" i="193"/>
  <c r="DS80" i="193"/>
  <c r="DR80" i="193"/>
  <c r="DQ80" i="193"/>
  <c r="DP80" i="193"/>
  <c r="DO80" i="193"/>
  <c r="DN80" i="193"/>
  <c r="DM80" i="193"/>
  <c r="DL80" i="193"/>
  <c r="DK80" i="193"/>
  <c r="DJ80" i="193"/>
  <c r="DI80" i="193"/>
  <c r="DH80" i="193"/>
  <c r="DG80" i="193"/>
  <c r="DF80" i="193"/>
  <c r="DE80" i="193"/>
  <c r="DD80" i="193"/>
  <c r="DC80" i="193"/>
  <c r="DB80" i="193"/>
  <c r="DA80" i="193"/>
  <c r="CZ80" i="193"/>
  <c r="CY80" i="193"/>
  <c r="CX80" i="193"/>
  <c r="CV80" i="193"/>
  <c r="CU80" i="193"/>
  <c r="CT80" i="193"/>
  <c r="CS80" i="193"/>
  <c r="CN80" i="193"/>
  <c r="CM80" i="193"/>
  <c r="CL80" i="193"/>
  <c r="CH80" i="193"/>
  <c r="CG80" i="193"/>
  <c r="CF80" i="193"/>
  <c r="CE80" i="193"/>
  <c r="CD80" i="193"/>
  <c r="CC80" i="193"/>
  <c r="CB80" i="193"/>
  <c r="CA80" i="193"/>
  <c r="BZ80" i="193"/>
  <c r="BY80" i="193"/>
  <c r="BX80" i="193"/>
  <c r="BW80" i="193"/>
  <c r="BV80" i="193"/>
  <c r="BU80" i="193"/>
  <c r="BT80" i="193"/>
  <c r="BS80" i="193"/>
  <c r="BR80" i="193"/>
  <c r="BQ80" i="193"/>
  <c r="BP80" i="193"/>
  <c r="BO80" i="193"/>
  <c r="BN80" i="193"/>
  <c r="BM80" i="193"/>
  <c r="BL80" i="193"/>
  <c r="BK80" i="193"/>
  <c r="BJ80" i="193"/>
  <c r="BI80" i="193"/>
  <c r="BH80" i="193"/>
  <c r="BD80" i="193"/>
  <c r="BC80" i="193"/>
  <c r="BB80" i="193"/>
  <c r="BA80" i="193"/>
  <c r="AZ80" i="193"/>
  <c r="AY80" i="193"/>
  <c r="AX80" i="193"/>
  <c r="AW80" i="193"/>
  <c r="AV80" i="193"/>
  <c r="AU80" i="193"/>
  <c r="AT80" i="193"/>
  <c r="AS80" i="193"/>
  <c r="AR80" i="193"/>
  <c r="AQ80" i="193"/>
  <c r="AP80" i="193"/>
  <c r="AO80" i="193"/>
  <c r="AN80" i="193"/>
  <c r="AM80" i="193"/>
  <c r="AL80" i="193"/>
  <c r="AK80" i="193"/>
  <c r="AJ80" i="193"/>
  <c r="AI80" i="193"/>
  <c r="AH80" i="193"/>
  <c r="AG80" i="193"/>
  <c r="AF80" i="193"/>
  <c r="AE80" i="193"/>
  <c r="AD80" i="193"/>
  <c r="AC80" i="193"/>
  <c r="AB80" i="193"/>
  <c r="AA80" i="193"/>
  <c r="Z80" i="193"/>
  <c r="Y80" i="193"/>
  <c r="X80" i="193"/>
  <c r="W80" i="193"/>
  <c r="V80" i="193"/>
  <c r="U80" i="193"/>
  <c r="T80" i="193"/>
  <c r="S80" i="193"/>
  <c r="R80" i="193"/>
  <c r="Q80" i="193"/>
  <c r="P80" i="193"/>
  <c r="O80" i="193"/>
  <c r="N80" i="193"/>
  <c r="M80" i="193"/>
  <c r="L80" i="193"/>
  <c r="K80" i="193"/>
  <c r="I80" i="193"/>
  <c r="H80" i="193"/>
  <c r="G80" i="193"/>
  <c r="F80" i="193"/>
  <c r="FX79" i="193"/>
  <c r="FW79" i="193"/>
  <c r="FV79" i="193" s="1"/>
  <c r="ET79" i="193"/>
  <c r="ES79" i="193"/>
  <c r="EN79" i="193"/>
  <c r="EN77" i="193" s="1"/>
  <c r="EH79" i="193"/>
  <c r="EB79" i="193"/>
  <c r="CR79" i="193"/>
  <c r="CK79" i="193"/>
  <c r="CJ79" i="193"/>
  <c r="BG79" i="193"/>
  <c r="BG77" i="193" s="1"/>
  <c r="BF79" i="193"/>
  <c r="BA79" i="193"/>
  <c r="BA77" i="193"/>
  <c r="AU79" i="193"/>
  <c r="AU77" i="193" s="1"/>
  <c r="AO79" i="193"/>
  <c r="E79" i="193"/>
  <c r="FX78" i="193"/>
  <c r="FW78" i="193"/>
  <c r="ET78" i="193"/>
  <c r="ES78" i="193"/>
  <c r="CW78" i="193"/>
  <c r="CR78" i="193"/>
  <c r="GD78" i="193" s="1"/>
  <c r="CK78" i="193"/>
  <c r="CJ78" i="193"/>
  <c r="BG78" i="193"/>
  <c r="BF78" i="193"/>
  <c r="BE78" i="193" s="1"/>
  <c r="J78" i="193"/>
  <c r="E78" i="193"/>
  <c r="GB77" i="193"/>
  <c r="O32" i="176" s="1"/>
  <c r="P32" i="176" s="1"/>
  <c r="GA77" i="193"/>
  <c r="FZ77" i="193"/>
  <c r="FY77" i="193"/>
  <c r="FU77" i="193"/>
  <c r="FT77" i="193"/>
  <c r="FS77" i="193"/>
  <c r="FR77" i="193"/>
  <c r="FQ77" i="193"/>
  <c r="FP77" i="193"/>
  <c r="FO77" i="193"/>
  <c r="FN77" i="193"/>
  <c r="FM77" i="193"/>
  <c r="FL77" i="193"/>
  <c r="FK77" i="193"/>
  <c r="FJ77" i="193"/>
  <c r="FI77" i="193"/>
  <c r="FH77" i="193"/>
  <c r="FG77" i="193"/>
  <c r="FF77" i="193"/>
  <c r="FE77" i="193"/>
  <c r="FD77" i="193"/>
  <c r="FC77" i="193"/>
  <c r="FB77" i="193"/>
  <c r="FA77" i="193"/>
  <c r="EZ77" i="193"/>
  <c r="EY77" i="193"/>
  <c r="EX77" i="193"/>
  <c r="EW77" i="193"/>
  <c r="EV77" i="193"/>
  <c r="EU77" i="193"/>
  <c r="EQ77" i="193"/>
  <c r="EP77" i="193"/>
  <c r="EO77" i="193"/>
  <c r="EM77" i="193"/>
  <c r="EL77" i="193"/>
  <c r="EK77" i="193"/>
  <c r="EJ77" i="193"/>
  <c r="EI77" i="193"/>
  <c r="EG77" i="193"/>
  <c r="EF77" i="193"/>
  <c r="EE77" i="193"/>
  <c r="ED77" i="193"/>
  <c r="EC77" i="193"/>
  <c r="EB77" i="193"/>
  <c r="EA77" i="193"/>
  <c r="DZ77" i="193"/>
  <c r="DY77" i="193"/>
  <c r="DX77" i="193"/>
  <c r="DW77" i="193"/>
  <c r="DV77" i="193"/>
  <c r="DU77" i="193"/>
  <c r="DT77" i="193"/>
  <c r="DS77" i="193"/>
  <c r="DR77" i="193"/>
  <c r="DQ77" i="193"/>
  <c r="DP77" i="193"/>
  <c r="DO77" i="193"/>
  <c r="DN77" i="193"/>
  <c r="DM77" i="193"/>
  <c r="DL77" i="193"/>
  <c r="DK77" i="193"/>
  <c r="DJ77" i="193"/>
  <c r="DI77" i="193"/>
  <c r="DH77" i="193"/>
  <c r="DG77" i="193"/>
  <c r="DF77" i="193"/>
  <c r="DE77" i="193"/>
  <c r="DD77" i="193"/>
  <c r="DC77" i="193"/>
  <c r="DB77" i="193"/>
  <c r="DA77" i="193"/>
  <c r="CZ77" i="193"/>
  <c r="CY77" i="193"/>
  <c r="CX77" i="193"/>
  <c r="CV77" i="193"/>
  <c r="CU77" i="193"/>
  <c r="CT77" i="193"/>
  <c r="CS77" i="193"/>
  <c r="CN77" i="193"/>
  <c r="CM77" i="193"/>
  <c r="CL77" i="193"/>
  <c r="CJ77" i="193"/>
  <c r="CH77" i="193"/>
  <c r="CG77" i="193"/>
  <c r="CF77" i="193"/>
  <c r="CE77" i="193"/>
  <c r="CD77" i="193"/>
  <c r="CC77" i="193"/>
  <c r="CB77" i="193"/>
  <c r="CA77" i="193"/>
  <c r="BZ77" i="193"/>
  <c r="BY77" i="193"/>
  <c r="BX77" i="193"/>
  <c r="BW77" i="193"/>
  <c r="BV77" i="193"/>
  <c r="BU77" i="193"/>
  <c r="BT77" i="193"/>
  <c r="BS77" i="193"/>
  <c r="BR77" i="193"/>
  <c r="BQ77" i="193"/>
  <c r="BP77" i="193"/>
  <c r="BO77" i="193"/>
  <c r="BN77" i="193"/>
  <c r="BM77" i="193"/>
  <c r="BL77" i="193"/>
  <c r="BK77" i="193"/>
  <c r="BJ77" i="193"/>
  <c r="BI77" i="193"/>
  <c r="BH77" i="193"/>
  <c r="BD77" i="193"/>
  <c r="BC77" i="193"/>
  <c r="BB77" i="193"/>
  <c r="AZ77" i="193"/>
  <c r="AY77" i="193"/>
  <c r="AX77" i="193"/>
  <c r="AW77" i="193"/>
  <c r="AV77" i="193"/>
  <c r="AT77" i="193"/>
  <c r="AS77" i="193"/>
  <c r="AR77" i="193"/>
  <c r="AQ77" i="193"/>
  <c r="AP77" i="193"/>
  <c r="AN77" i="193"/>
  <c r="AM77" i="193"/>
  <c r="AL77" i="193"/>
  <c r="AK77" i="193"/>
  <c r="AJ77" i="193"/>
  <c r="AI77" i="193"/>
  <c r="AH77" i="193"/>
  <c r="AG77" i="193"/>
  <c r="AF77" i="193"/>
  <c r="AE77" i="193"/>
  <c r="AD77" i="193"/>
  <c r="AC77" i="193"/>
  <c r="AB77" i="193"/>
  <c r="AA77" i="193"/>
  <c r="Z77" i="193"/>
  <c r="Y77" i="193"/>
  <c r="X77" i="193"/>
  <c r="W77" i="193"/>
  <c r="V77" i="193"/>
  <c r="U77" i="193"/>
  <c r="T77" i="193"/>
  <c r="S77" i="193"/>
  <c r="R77" i="193"/>
  <c r="Q77" i="193"/>
  <c r="P77" i="193"/>
  <c r="O77" i="193"/>
  <c r="N77" i="193"/>
  <c r="M77" i="193"/>
  <c r="L77" i="193"/>
  <c r="K77" i="193"/>
  <c r="I77" i="193"/>
  <c r="H77" i="193"/>
  <c r="G77" i="193"/>
  <c r="F77" i="193"/>
  <c r="FX76" i="193"/>
  <c r="FW76" i="193"/>
  <c r="ET76" i="193"/>
  <c r="ES76" i="193"/>
  <c r="CW76" i="193"/>
  <c r="CR76" i="193"/>
  <c r="CQ76" i="193"/>
  <c r="CK76" i="193"/>
  <c r="CJ76" i="193"/>
  <c r="BG76" i="193"/>
  <c r="BF76" i="193"/>
  <c r="J76" i="193"/>
  <c r="GE76" i="193" s="1"/>
  <c r="E76" i="193"/>
  <c r="D76" i="193" s="1"/>
  <c r="FX75" i="193"/>
  <c r="FW75" i="193"/>
  <c r="FV75" i="193" s="1"/>
  <c r="ET75" i="193"/>
  <c r="ES75" i="193"/>
  <c r="CW75" i="193"/>
  <c r="CW74" i="193" s="1"/>
  <c r="GE74" i="193" s="1"/>
  <c r="CR75" i="193"/>
  <c r="CQ75" i="193"/>
  <c r="CK75" i="193"/>
  <c r="CJ75" i="193"/>
  <c r="CJ74" i="193" s="1"/>
  <c r="BG75" i="193"/>
  <c r="BG74" i="193" s="1"/>
  <c r="BF75" i="193"/>
  <c r="J75" i="193"/>
  <c r="J74" i="193"/>
  <c r="E75" i="193"/>
  <c r="D75" i="193" s="1"/>
  <c r="GB74" i="193"/>
  <c r="GA74" i="193"/>
  <c r="FZ74" i="193"/>
  <c r="FY74" i="193"/>
  <c r="FU74" i="193"/>
  <c r="FT74" i="193"/>
  <c r="FS74" i="193"/>
  <c r="FR74" i="193"/>
  <c r="FQ74" i="193"/>
  <c r="FP74" i="193"/>
  <c r="FO74" i="193"/>
  <c r="FN74" i="193"/>
  <c r="FM74" i="193"/>
  <c r="FL74" i="193"/>
  <c r="FK74" i="193"/>
  <c r="FJ74" i="193"/>
  <c r="FI74" i="193"/>
  <c r="FH74" i="193"/>
  <c r="FG74" i="193"/>
  <c r="FF74" i="193"/>
  <c r="FE74" i="193"/>
  <c r="FD74" i="193"/>
  <c r="FC74" i="193"/>
  <c r="FB74" i="193"/>
  <c r="FA74" i="193"/>
  <c r="EZ74" i="193"/>
  <c r="EY74" i="193"/>
  <c r="EX74" i="193"/>
  <c r="EW74" i="193"/>
  <c r="EV74" i="193"/>
  <c r="EU74" i="193"/>
  <c r="EQ74" i="193"/>
  <c r="EP74" i="193"/>
  <c r="EO74" i="193"/>
  <c r="EN74" i="193"/>
  <c r="EM74" i="193"/>
  <c r="EL74" i="193"/>
  <c r="EK74" i="193"/>
  <c r="EJ74" i="193"/>
  <c r="EI74" i="193"/>
  <c r="EH74" i="193"/>
  <c r="EG74" i="193"/>
  <c r="EF74" i="193"/>
  <c r="EE74" i="193"/>
  <c r="ED74" i="193"/>
  <c r="EC74" i="193"/>
  <c r="EB74" i="193"/>
  <c r="EA74" i="193"/>
  <c r="DZ74" i="193"/>
  <c r="DY74" i="193"/>
  <c r="DX74" i="193"/>
  <c r="DW74" i="193"/>
  <c r="DV74" i="193"/>
  <c r="DU74" i="193"/>
  <c r="DT74" i="193"/>
  <c r="DS74" i="193"/>
  <c r="DR74" i="193"/>
  <c r="DQ74" i="193"/>
  <c r="DP74" i="193"/>
  <c r="DO74" i="193"/>
  <c r="DN74" i="193"/>
  <c r="DM74" i="193"/>
  <c r="DL74" i="193"/>
  <c r="DK74" i="193"/>
  <c r="DJ74" i="193"/>
  <c r="DI74" i="193"/>
  <c r="DH74" i="193"/>
  <c r="DG74" i="193"/>
  <c r="DF74" i="193"/>
  <c r="DE74" i="193"/>
  <c r="DD74" i="193"/>
  <c r="DC74" i="193"/>
  <c r="DB74" i="193"/>
  <c r="DA74" i="193"/>
  <c r="CZ74" i="193"/>
  <c r="CY74" i="193"/>
  <c r="CX74" i="193"/>
  <c r="CV74" i="193"/>
  <c r="CU74" i="193"/>
  <c r="CT74" i="193"/>
  <c r="CS74" i="193"/>
  <c r="CR74" i="193"/>
  <c r="CN74" i="193"/>
  <c r="CM74" i="193"/>
  <c r="CL74" i="193"/>
  <c r="CH74" i="193"/>
  <c r="CG74" i="193"/>
  <c r="CF74" i="193"/>
  <c r="CE74" i="193"/>
  <c r="CD74" i="193"/>
  <c r="CC74" i="193"/>
  <c r="CB74" i="193"/>
  <c r="CA74" i="193"/>
  <c r="BZ74" i="193"/>
  <c r="BY74" i="193"/>
  <c r="BX74" i="193"/>
  <c r="BW74" i="193"/>
  <c r="BV74" i="193"/>
  <c r="BU74" i="193"/>
  <c r="BT74" i="193"/>
  <c r="BS74" i="193"/>
  <c r="BR74" i="193"/>
  <c r="BQ74" i="193"/>
  <c r="BP74" i="193"/>
  <c r="BO74" i="193"/>
  <c r="BN74" i="193"/>
  <c r="BM74" i="193"/>
  <c r="BL74" i="193"/>
  <c r="BK74" i="193"/>
  <c r="BJ74" i="193"/>
  <c r="BI74" i="193"/>
  <c r="BH74" i="193"/>
  <c r="BD74" i="193"/>
  <c r="BC74" i="193"/>
  <c r="BB74" i="193"/>
  <c r="BA74" i="193"/>
  <c r="AZ74" i="193"/>
  <c r="AY74" i="193"/>
  <c r="AX74" i="193"/>
  <c r="AW74" i="193"/>
  <c r="AV74" i="193"/>
  <c r="AU74" i="193"/>
  <c r="AT74" i="193"/>
  <c r="AS74" i="193"/>
  <c r="AR74" i="193"/>
  <c r="AQ74" i="193"/>
  <c r="AP74" i="193"/>
  <c r="AO74" i="193"/>
  <c r="AN74" i="193"/>
  <c r="AM74" i="193"/>
  <c r="AL74" i="193"/>
  <c r="AK74" i="193"/>
  <c r="AJ74" i="193"/>
  <c r="AI74" i="193"/>
  <c r="AH74" i="193"/>
  <c r="AG74" i="193"/>
  <c r="AF74" i="193"/>
  <c r="AE74" i="193"/>
  <c r="AD74" i="193"/>
  <c r="AC74" i="193"/>
  <c r="AB74" i="193"/>
  <c r="AA74" i="193"/>
  <c r="Z74" i="193"/>
  <c r="Y74" i="193"/>
  <c r="X74" i="193"/>
  <c r="W74" i="193"/>
  <c r="V74" i="193"/>
  <c r="U74" i="193"/>
  <c r="T74" i="193"/>
  <c r="S74" i="193"/>
  <c r="R74" i="193"/>
  <c r="Q74" i="193"/>
  <c r="P74" i="193"/>
  <c r="O74" i="193"/>
  <c r="N74" i="193"/>
  <c r="M74" i="193"/>
  <c r="L74" i="193"/>
  <c r="K74" i="193"/>
  <c r="I74" i="193"/>
  <c r="H74" i="193"/>
  <c r="G74" i="193"/>
  <c r="F74" i="193"/>
  <c r="FX73" i="193"/>
  <c r="FW73" i="193"/>
  <c r="ET73" i="193"/>
  <c r="ES73" i="193"/>
  <c r="CW73" i="193"/>
  <c r="GE73" i="193"/>
  <c r="CR73" i="193"/>
  <c r="CK73" i="193"/>
  <c r="CJ73" i="193"/>
  <c r="CI73" i="193" s="1"/>
  <c r="BG73" i="193"/>
  <c r="BE73" i="193" s="1"/>
  <c r="BF73" i="193"/>
  <c r="J73" i="193"/>
  <c r="E73" i="193"/>
  <c r="D73" i="193" s="1"/>
  <c r="FX72" i="193"/>
  <c r="FX71" i="193" s="1"/>
  <c r="FW72" i="193"/>
  <c r="ET72" i="193"/>
  <c r="ES72" i="193"/>
  <c r="ES71" i="193" s="1"/>
  <c r="CW72" i="193"/>
  <c r="CW71" i="193" s="1"/>
  <c r="CR72" i="193"/>
  <c r="CK72" i="193"/>
  <c r="CK71" i="193"/>
  <c r="CJ72" i="193"/>
  <c r="CI72" i="193" s="1"/>
  <c r="BG72" i="193"/>
  <c r="BF72" i="193"/>
  <c r="BF71" i="193" s="1"/>
  <c r="J72" i="193"/>
  <c r="E72" i="193"/>
  <c r="GB71" i="193"/>
  <c r="GA71" i="193"/>
  <c r="FZ71" i="193"/>
  <c r="FY71" i="193"/>
  <c r="FU71" i="193"/>
  <c r="FT71" i="193"/>
  <c r="FS71" i="193"/>
  <c r="FR71" i="193"/>
  <c r="FQ71" i="193"/>
  <c r="FP71" i="193"/>
  <c r="FO71" i="193"/>
  <c r="FN71" i="193"/>
  <c r="FM71" i="193"/>
  <c r="FL71" i="193"/>
  <c r="FK71" i="193"/>
  <c r="FJ71" i="193"/>
  <c r="FI71" i="193"/>
  <c r="FH71" i="193"/>
  <c r="FG71" i="193"/>
  <c r="FF71" i="193"/>
  <c r="FE71" i="193"/>
  <c r="FD71" i="193"/>
  <c r="FC71" i="193"/>
  <c r="FB71" i="193"/>
  <c r="FA71" i="193"/>
  <c r="EZ71" i="193"/>
  <c r="EY71" i="193"/>
  <c r="EX71" i="193"/>
  <c r="EW71" i="193"/>
  <c r="EV71" i="193"/>
  <c r="EU71" i="193"/>
  <c r="EQ71" i="193"/>
  <c r="EP71" i="193"/>
  <c r="EO71" i="193"/>
  <c r="EN71" i="193"/>
  <c r="EM71" i="193"/>
  <c r="EL71" i="193"/>
  <c r="EK71" i="193"/>
  <c r="EJ71" i="193"/>
  <c r="EI71" i="193"/>
  <c r="EH71" i="193"/>
  <c r="EG71" i="193"/>
  <c r="EF71" i="193"/>
  <c r="EE71" i="193"/>
  <c r="ED71" i="193"/>
  <c r="EC71" i="193"/>
  <c r="EB71" i="193"/>
  <c r="EA71" i="193"/>
  <c r="DZ71" i="193"/>
  <c r="DY71" i="193"/>
  <c r="DX71" i="193"/>
  <c r="DW71" i="193"/>
  <c r="DV71" i="193"/>
  <c r="DU71" i="193"/>
  <c r="DT71" i="193"/>
  <c r="DS71" i="193"/>
  <c r="DR71" i="193"/>
  <c r="DQ71" i="193"/>
  <c r="DP71" i="193"/>
  <c r="DO71" i="193"/>
  <c r="DN71" i="193"/>
  <c r="DM71" i="193"/>
  <c r="DL71" i="193"/>
  <c r="DK71" i="193"/>
  <c r="DJ71" i="193"/>
  <c r="DI71" i="193"/>
  <c r="DH71" i="193"/>
  <c r="DG71" i="193"/>
  <c r="DF71" i="193"/>
  <c r="DE71" i="193"/>
  <c r="DD71" i="193"/>
  <c r="DC71" i="193"/>
  <c r="DB71" i="193"/>
  <c r="DA71" i="193"/>
  <c r="CZ71" i="193"/>
  <c r="CY71" i="193"/>
  <c r="CX71" i="193"/>
  <c r="CV71" i="193"/>
  <c r="CU71" i="193"/>
  <c r="CT71" i="193"/>
  <c r="CS71" i="193"/>
  <c r="CN71" i="193"/>
  <c r="CM71" i="193"/>
  <c r="CL71" i="193"/>
  <c r="CH71" i="193"/>
  <c r="CG71" i="193"/>
  <c r="CF71" i="193"/>
  <c r="CE71" i="193"/>
  <c r="CD71" i="193"/>
  <c r="CC71" i="193"/>
  <c r="CB71" i="193"/>
  <c r="CA71" i="193"/>
  <c r="BZ71" i="193"/>
  <c r="BY71" i="193"/>
  <c r="BX71" i="193"/>
  <c r="BW71" i="193"/>
  <c r="BV71" i="193"/>
  <c r="BU71" i="193"/>
  <c r="BT71" i="193"/>
  <c r="BS71" i="193"/>
  <c r="BR71" i="193"/>
  <c r="BQ71" i="193"/>
  <c r="BP71" i="193"/>
  <c r="BO71" i="193"/>
  <c r="BN71" i="193"/>
  <c r="BM71" i="193"/>
  <c r="BL71" i="193"/>
  <c r="BK71" i="193"/>
  <c r="BJ71" i="193"/>
  <c r="BI71" i="193"/>
  <c r="BH71" i="193"/>
  <c r="BD71" i="193"/>
  <c r="BC71" i="193"/>
  <c r="BB71" i="193"/>
  <c r="BA71" i="193"/>
  <c r="AZ71" i="193"/>
  <c r="AY71" i="193"/>
  <c r="AX71" i="193"/>
  <c r="AW71" i="193"/>
  <c r="AV71" i="193"/>
  <c r="AU71" i="193"/>
  <c r="AT71" i="193"/>
  <c r="AS71" i="193"/>
  <c r="AR71" i="193"/>
  <c r="AQ71" i="193"/>
  <c r="AP71" i="193"/>
  <c r="AO71" i="193"/>
  <c r="AN71" i="193"/>
  <c r="AM71" i="193"/>
  <c r="AL71" i="193"/>
  <c r="AK71" i="193"/>
  <c r="AJ71" i="193"/>
  <c r="AI71" i="193"/>
  <c r="AH71" i="193"/>
  <c r="AG71" i="193"/>
  <c r="AF71" i="193"/>
  <c r="AE71" i="193"/>
  <c r="AD71" i="193"/>
  <c r="AC71" i="193"/>
  <c r="AB71" i="193"/>
  <c r="AA71" i="193"/>
  <c r="Z71" i="193"/>
  <c r="Y71" i="193"/>
  <c r="X71" i="193"/>
  <c r="W71" i="193"/>
  <c r="V71" i="193"/>
  <c r="U71" i="193"/>
  <c r="T71" i="193"/>
  <c r="S71" i="193"/>
  <c r="R71" i="193"/>
  <c r="Q71" i="193"/>
  <c r="P71" i="193"/>
  <c r="O71" i="193"/>
  <c r="N71" i="193"/>
  <c r="M71" i="193"/>
  <c r="L71" i="193"/>
  <c r="K71" i="193"/>
  <c r="I71" i="193"/>
  <c r="H71" i="193"/>
  <c r="G71" i="193"/>
  <c r="F71" i="193"/>
  <c r="FX70" i="193"/>
  <c r="FW70" i="193"/>
  <c r="ET70" i="193"/>
  <c r="ES70" i="193"/>
  <c r="ER70" i="193" s="1"/>
  <c r="CW70" i="193"/>
  <c r="CR70" i="193"/>
  <c r="CQ70" i="193" s="1"/>
  <c r="CK70" i="193"/>
  <c r="CJ70" i="193"/>
  <c r="BG70" i="193"/>
  <c r="BF70" i="193"/>
  <c r="J70" i="193"/>
  <c r="E70" i="193"/>
  <c r="FX69" i="193"/>
  <c r="FW69" i="193"/>
  <c r="ET69" i="193"/>
  <c r="ET68" i="193" s="1"/>
  <c r="ES69" i="193"/>
  <c r="ES68" i="193" s="1"/>
  <c r="CW69" i="193"/>
  <c r="CW68" i="193" s="1"/>
  <c r="CR69" i="193"/>
  <c r="CK69" i="193"/>
  <c r="CK68" i="193" s="1"/>
  <c r="CJ69" i="193"/>
  <c r="BG69" i="193"/>
  <c r="BF69" i="193"/>
  <c r="BF68" i="193" s="1"/>
  <c r="J69" i="193"/>
  <c r="J68" i="193" s="1"/>
  <c r="E69" i="193"/>
  <c r="GB68" i="193"/>
  <c r="GA68" i="193"/>
  <c r="FZ68" i="193"/>
  <c r="FY68" i="193"/>
  <c r="FU68" i="193"/>
  <c r="FT68" i="193"/>
  <c r="FS68" i="193"/>
  <c r="FS11" i="193" s="1"/>
  <c r="FR68" i="193"/>
  <c r="FQ68" i="193"/>
  <c r="FP68" i="193"/>
  <c r="FO68" i="193"/>
  <c r="FN68" i="193"/>
  <c r="FM68" i="193"/>
  <c r="FL68" i="193"/>
  <c r="FK68" i="193"/>
  <c r="FJ68" i="193"/>
  <c r="FI68" i="193"/>
  <c r="FH68" i="193"/>
  <c r="FG68" i="193"/>
  <c r="FG11" i="193" s="1"/>
  <c r="FF68" i="193"/>
  <c r="FE68" i="193"/>
  <c r="FD68" i="193"/>
  <c r="FC68" i="193"/>
  <c r="FB68" i="193"/>
  <c r="FA68" i="193"/>
  <c r="EZ68" i="193"/>
  <c r="EY68" i="193"/>
  <c r="EX68" i="193"/>
  <c r="EW68" i="193"/>
  <c r="EV68" i="193"/>
  <c r="EU68" i="193"/>
  <c r="EU11" i="193" s="1"/>
  <c r="EQ68" i="193"/>
  <c r="EP68" i="193"/>
  <c r="EO68" i="193"/>
  <c r="EN68" i="193"/>
  <c r="EM68" i="193"/>
  <c r="EL68" i="193"/>
  <c r="EK68" i="193"/>
  <c r="EJ68" i="193"/>
  <c r="EI68" i="193"/>
  <c r="EH68" i="193"/>
  <c r="EG68" i="193"/>
  <c r="EF68" i="193"/>
  <c r="EF11" i="193" s="1"/>
  <c r="EE68" i="193"/>
  <c r="ED68" i="193"/>
  <c r="EC68" i="193"/>
  <c r="EB68" i="193"/>
  <c r="EA68" i="193"/>
  <c r="DZ68" i="193"/>
  <c r="DY68" i="193"/>
  <c r="DX68" i="193"/>
  <c r="DW68" i="193"/>
  <c r="DV68" i="193"/>
  <c r="DU68" i="193"/>
  <c r="DT68" i="193"/>
  <c r="DT11" i="193" s="1"/>
  <c r="DS68" i="193"/>
  <c r="DR68" i="193"/>
  <c r="DQ68" i="193"/>
  <c r="DP68" i="193"/>
  <c r="DO68" i="193"/>
  <c r="DN68" i="193"/>
  <c r="DM68" i="193"/>
  <c r="DL68" i="193"/>
  <c r="DK68" i="193"/>
  <c r="DJ68" i="193"/>
  <c r="DI68" i="193"/>
  <c r="DH68" i="193"/>
  <c r="DH11" i="193" s="1"/>
  <c r="DG68" i="193"/>
  <c r="DF68" i="193"/>
  <c r="DE68" i="193"/>
  <c r="DD68" i="193"/>
  <c r="DC68" i="193"/>
  <c r="DB68" i="193"/>
  <c r="DA68" i="193"/>
  <c r="CZ68" i="193"/>
  <c r="CY68" i="193"/>
  <c r="CX68" i="193"/>
  <c r="CV68" i="193"/>
  <c r="CU68" i="193"/>
  <c r="CU11" i="193" s="1"/>
  <c r="CT68" i="193"/>
  <c r="CS68" i="193"/>
  <c r="CN68" i="193"/>
  <c r="CM68" i="193"/>
  <c r="CL68" i="193"/>
  <c r="CH68" i="193"/>
  <c r="CG68" i="193"/>
  <c r="CF68" i="193"/>
  <c r="CE68" i="193"/>
  <c r="CD68" i="193"/>
  <c r="CC68" i="193"/>
  <c r="CB68" i="193"/>
  <c r="CA68" i="193"/>
  <c r="BZ68" i="193"/>
  <c r="BY68" i="193"/>
  <c r="BX68" i="193"/>
  <c r="BW68" i="193"/>
  <c r="BV68" i="193"/>
  <c r="BU68" i="193"/>
  <c r="BT68" i="193"/>
  <c r="BS68" i="193"/>
  <c r="BR68" i="193"/>
  <c r="BQ68" i="193"/>
  <c r="BP68" i="193"/>
  <c r="BO68" i="193"/>
  <c r="BN68" i="193"/>
  <c r="BM68" i="193"/>
  <c r="BL68" i="193"/>
  <c r="BK68" i="193"/>
  <c r="BJ68" i="193"/>
  <c r="BI68" i="193"/>
  <c r="BH68" i="193"/>
  <c r="BD68" i="193"/>
  <c r="BC68" i="193"/>
  <c r="BB68" i="193"/>
  <c r="BA68" i="193"/>
  <c r="AZ68" i="193"/>
  <c r="AY68" i="193"/>
  <c r="AX68" i="193"/>
  <c r="AW68" i="193"/>
  <c r="AV68" i="193"/>
  <c r="AU68" i="193"/>
  <c r="AT68" i="193"/>
  <c r="AS68" i="193"/>
  <c r="AR68" i="193"/>
  <c r="AQ68" i="193"/>
  <c r="AP68" i="193"/>
  <c r="AO68" i="193"/>
  <c r="AN68" i="193"/>
  <c r="AM68" i="193"/>
  <c r="AL68" i="193"/>
  <c r="AK68" i="193"/>
  <c r="AJ68" i="193"/>
  <c r="AI68" i="193"/>
  <c r="AH68" i="193"/>
  <c r="AG68" i="193"/>
  <c r="AF68" i="193"/>
  <c r="AE68" i="193"/>
  <c r="AD68" i="193"/>
  <c r="AC68" i="193"/>
  <c r="AB68" i="193"/>
  <c r="AA68" i="193"/>
  <c r="Z68" i="193"/>
  <c r="Y68" i="193"/>
  <c r="X68" i="193"/>
  <c r="W68" i="193"/>
  <c r="V68" i="193"/>
  <c r="U68" i="193"/>
  <c r="T68" i="193"/>
  <c r="S68" i="193"/>
  <c r="R68" i="193"/>
  <c r="Q68" i="193"/>
  <c r="P68" i="193"/>
  <c r="O68" i="193"/>
  <c r="N68" i="193"/>
  <c r="M68" i="193"/>
  <c r="L68" i="193"/>
  <c r="K68" i="193"/>
  <c r="I68" i="193"/>
  <c r="H68" i="193"/>
  <c r="G68" i="193"/>
  <c r="F68" i="193"/>
  <c r="FX67" i="193"/>
  <c r="FW67" i="193"/>
  <c r="FV67" i="193"/>
  <c r="ET67" i="193"/>
  <c r="ES67" i="193"/>
  <c r="CW67" i="193"/>
  <c r="GE67" i="193"/>
  <c r="CR67" i="193"/>
  <c r="CK67" i="193"/>
  <c r="CJ67" i="193"/>
  <c r="BG67" i="193"/>
  <c r="BF67" i="193"/>
  <c r="BE67" i="193" s="1"/>
  <c r="J67" i="193"/>
  <c r="E67" i="193"/>
  <c r="D67" i="193"/>
  <c r="FX66" i="193"/>
  <c r="FW66" i="193"/>
  <c r="FV66" i="193" s="1"/>
  <c r="ET66" i="193"/>
  <c r="ES66" i="193"/>
  <c r="CW66" i="193"/>
  <c r="CW65" i="193" s="1"/>
  <c r="GE65" i="193" s="1"/>
  <c r="CR66" i="193"/>
  <c r="CR65" i="193" s="1"/>
  <c r="CK66" i="193"/>
  <c r="CJ66" i="193"/>
  <c r="BG66" i="193"/>
  <c r="BG65" i="193" s="1"/>
  <c r="BF66" i="193"/>
  <c r="J66" i="193"/>
  <c r="J65" i="193"/>
  <c r="E66" i="193"/>
  <c r="D66" i="193" s="1"/>
  <c r="GB65" i="193"/>
  <c r="GA65" i="193"/>
  <c r="FZ65" i="193"/>
  <c r="FY65" i="193"/>
  <c r="FU65" i="193"/>
  <c r="FT65" i="193"/>
  <c r="FS65" i="193"/>
  <c r="FR65" i="193"/>
  <c r="FQ65" i="193"/>
  <c r="FP65" i="193"/>
  <c r="FO65" i="193"/>
  <c r="FN65" i="193"/>
  <c r="FM65" i="193"/>
  <c r="FL65" i="193"/>
  <c r="FK65" i="193"/>
  <c r="FJ65" i="193"/>
  <c r="FI65" i="193"/>
  <c r="FH65" i="193"/>
  <c r="FG65" i="193"/>
  <c r="FF65" i="193"/>
  <c r="FE65" i="193"/>
  <c r="FD65" i="193"/>
  <c r="FC65" i="193"/>
  <c r="FB65" i="193"/>
  <c r="FA65" i="193"/>
  <c r="EZ65" i="193"/>
  <c r="EY65" i="193"/>
  <c r="EX65" i="193"/>
  <c r="EW65" i="193"/>
  <c r="EV65" i="193"/>
  <c r="EU65" i="193"/>
  <c r="EQ65" i="193"/>
  <c r="EP65" i="193"/>
  <c r="EO65" i="193"/>
  <c r="EN65" i="193"/>
  <c r="EM65" i="193"/>
  <c r="EL65" i="193"/>
  <c r="EK65" i="193"/>
  <c r="EJ65" i="193"/>
  <c r="EI65" i="193"/>
  <c r="EH65" i="193"/>
  <c r="EG65" i="193"/>
  <c r="EF65" i="193"/>
  <c r="EE65" i="193"/>
  <c r="ED65" i="193"/>
  <c r="EC65" i="193"/>
  <c r="EB65" i="193"/>
  <c r="EA65" i="193"/>
  <c r="DZ65" i="193"/>
  <c r="DY65" i="193"/>
  <c r="DX65" i="193"/>
  <c r="DW65" i="193"/>
  <c r="DV65" i="193"/>
  <c r="DU65" i="193"/>
  <c r="DT65" i="193"/>
  <c r="DS65" i="193"/>
  <c r="DR65" i="193"/>
  <c r="DQ65" i="193"/>
  <c r="DP65" i="193"/>
  <c r="DO65" i="193"/>
  <c r="DN65" i="193"/>
  <c r="DM65" i="193"/>
  <c r="DL65" i="193"/>
  <c r="DK65" i="193"/>
  <c r="DJ65" i="193"/>
  <c r="DI65" i="193"/>
  <c r="DH65" i="193"/>
  <c r="DG65" i="193"/>
  <c r="DF65" i="193"/>
  <c r="DE65" i="193"/>
  <c r="DD65" i="193"/>
  <c r="DC65" i="193"/>
  <c r="DB65" i="193"/>
  <c r="DA65" i="193"/>
  <c r="CZ65" i="193"/>
  <c r="CY65" i="193"/>
  <c r="CX65" i="193"/>
  <c r="CV65" i="193"/>
  <c r="CU65" i="193"/>
  <c r="CT65" i="193"/>
  <c r="CS65" i="193"/>
  <c r="CN65" i="193"/>
  <c r="CM65" i="193"/>
  <c r="CL65" i="193"/>
  <c r="CH65" i="193"/>
  <c r="CG65" i="193"/>
  <c r="CF65" i="193"/>
  <c r="CE65" i="193"/>
  <c r="CD65" i="193"/>
  <c r="CC65" i="193"/>
  <c r="CB65" i="193"/>
  <c r="CA65" i="193"/>
  <c r="BZ65" i="193"/>
  <c r="BY65" i="193"/>
  <c r="BX65" i="193"/>
  <c r="BW65" i="193"/>
  <c r="BV65" i="193"/>
  <c r="BU65" i="193"/>
  <c r="BT65" i="193"/>
  <c r="BS65" i="193"/>
  <c r="BR65" i="193"/>
  <c r="BQ65" i="193"/>
  <c r="BP65" i="193"/>
  <c r="BO65" i="193"/>
  <c r="BN65" i="193"/>
  <c r="BM65" i="193"/>
  <c r="BL65" i="193"/>
  <c r="BK65" i="193"/>
  <c r="BJ65" i="193"/>
  <c r="BI65" i="193"/>
  <c r="BH65" i="193"/>
  <c r="BD65" i="193"/>
  <c r="BC65" i="193"/>
  <c r="BB65" i="193"/>
  <c r="BA65" i="193"/>
  <c r="AZ65" i="193"/>
  <c r="AY65" i="193"/>
  <c r="AX65" i="193"/>
  <c r="AW65" i="193"/>
  <c r="AV65" i="193"/>
  <c r="AU65" i="193"/>
  <c r="AT65" i="193"/>
  <c r="AS65" i="193"/>
  <c r="AR65" i="193"/>
  <c r="AQ65" i="193"/>
  <c r="AP65" i="193"/>
  <c r="AO65" i="193"/>
  <c r="AN65" i="193"/>
  <c r="AM65" i="193"/>
  <c r="AL65" i="193"/>
  <c r="AK65" i="193"/>
  <c r="AJ65" i="193"/>
  <c r="AI65" i="193"/>
  <c r="AH65" i="193"/>
  <c r="AG65" i="193"/>
  <c r="AF65" i="193"/>
  <c r="AE65" i="193"/>
  <c r="AD65" i="193"/>
  <c r="AC65" i="193"/>
  <c r="AB65" i="193"/>
  <c r="AA65" i="193"/>
  <c r="Z65" i="193"/>
  <c r="Y65" i="193"/>
  <c r="X65" i="193"/>
  <c r="W65" i="193"/>
  <c r="V65" i="193"/>
  <c r="U65" i="193"/>
  <c r="T65" i="193"/>
  <c r="S65" i="193"/>
  <c r="R65" i="193"/>
  <c r="Q65" i="193"/>
  <c r="P65" i="193"/>
  <c r="O65" i="193"/>
  <c r="N65" i="193"/>
  <c r="M65" i="193"/>
  <c r="L65" i="193"/>
  <c r="K65" i="193"/>
  <c r="I65" i="193"/>
  <c r="H65" i="193"/>
  <c r="G65" i="193"/>
  <c r="F65" i="193"/>
  <c r="FX64" i="193"/>
  <c r="FW64" i="193"/>
  <c r="FW62" i="193" s="1"/>
  <c r="FV64" i="193"/>
  <c r="ET64" i="193"/>
  <c r="ES64" i="193"/>
  <c r="ER64" i="193"/>
  <c r="CW64" i="193"/>
  <c r="GE64" i="193" s="1"/>
  <c r="CR64" i="193"/>
  <c r="CK64" i="193"/>
  <c r="CJ64" i="193"/>
  <c r="BG64" i="193"/>
  <c r="BF64" i="193"/>
  <c r="J64" i="193"/>
  <c r="E64" i="193"/>
  <c r="FX63" i="193"/>
  <c r="FX62" i="193" s="1"/>
  <c r="FW63" i="193"/>
  <c r="ET63" i="193"/>
  <c r="ET62" i="193"/>
  <c r="ES63" i="193"/>
  <c r="ES62" i="193" s="1"/>
  <c r="CW63" i="193"/>
  <c r="CW62" i="193" s="1"/>
  <c r="CR63" i="193"/>
  <c r="CQ63" i="193" s="1"/>
  <c r="CK63" i="193"/>
  <c r="CJ63" i="193"/>
  <c r="BG63" i="193"/>
  <c r="BF63" i="193"/>
  <c r="BE63" i="193" s="1"/>
  <c r="J63" i="193"/>
  <c r="J62" i="193" s="1"/>
  <c r="E63" i="193"/>
  <c r="E62" i="193" s="1"/>
  <c r="GB62" i="193"/>
  <c r="GA62" i="193"/>
  <c r="FZ62" i="193"/>
  <c r="FY62" i="193"/>
  <c r="FU62" i="193"/>
  <c r="FT62" i="193"/>
  <c r="FS62" i="193"/>
  <c r="FR62" i="193"/>
  <c r="FQ62" i="193"/>
  <c r="FP62" i="193"/>
  <c r="FO62" i="193"/>
  <c r="FN62" i="193"/>
  <c r="FM62" i="193"/>
  <c r="FL62" i="193"/>
  <c r="FK62" i="193"/>
  <c r="FJ62" i="193"/>
  <c r="FI62" i="193"/>
  <c r="FH62" i="193"/>
  <c r="FG62" i="193"/>
  <c r="FF62" i="193"/>
  <c r="FE62" i="193"/>
  <c r="FD62" i="193"/>
  <c r="FC62" i="193"/>
  <c r="FB62" i="193"/>
  <c r="FA62" i="193"/>
  <c r="EZ62" i="193"/>
  <c r="EY62" i="193"/>
  <c r="EX62" i="193"/>
  <c r="EW62" i="193"/>
  <c r="EV62" i="193"/>
  <c r="EU62" i="193"/>
  <c r="EQ62" i="193"/>
  <c r="EP62" i="193"/>
  <c r="EO62" i="193"/>
  <c r="EN62" i="193"/>
  <c r="EM62" i="193"/>
  <c r="EL62" i="193"/>
  <c r="EK62" i="193"/>
  <c r="EJ62" i="193"/>
  <c r="EI62" i="193"/>
  <c r="EH62" i="193"/>
  <c r="EG62" i="193"/>
  <c r="EF62" i="193"/>
  <c r="EE62" i="193"/>
  <c r="ED62" i="193"/>
  <c r="EC62" i="193"/>
  <c r="EB62" i="193"/>
  <c r="EA62" i="193"/>
  <c r="DZ62" i="193"/>
  <c r="DY62" i="193"/>
  <c r="DX62" i="193"/>
  <c r="DW62" i="193"/>
  <c r="DV62" i="193"/>
  <c r="DU62" i="193"/>
  <c r="DT62" i="193"/>
  <c r="DS62" i="193"/>
  <c r="DR62" i="193"/>
  <c r="DQ62" i="193"/>
  <c r="DP62" i="193"/>
  <c r="DO62" i="193"/>
  <c r="DN62" i="193"/>
  <c r="DM62" i="193"/>
  <c r="DL62" i="193"/>
  <c r="DK62" i="193"/>
  <c r="DJ62" i="193"/>
  <c r="DI62" i="193"/>
  <c r="DH62" i="193"/>
  <c r="DG62" i="193"/>
  <c r="DF62" i="193"/>
  <c r="DE62" i="193"/>
  <c r="DD62" i="193"/>
  <c r="DC62" i="193"/>
  <c r="DB62" i="193"/>
  <c r="DA62" i="193"/>
  <c r="CZ62" i="193"/>
  <c r="CY62" i="193"/>
  <c r="CX62" i="193"/>
  <c r="CV62" i="193"/>
  <c r="CU62" i="193"/>
  <c r="CT62" i="193"/>
  <c r="CS62" i="193"/>
  <c r="CN62" i="193"/>
  <c r="CM62" i="193"/>
  <c r="CL62" i="193"/>
  <c r="CH62" i="193"/>
  <c r="CG62" i="193"/>
  <c r="CF62" i="193"/>
  <c r="CE62" i="193"/>
  <c r="CD62" i="193"/>
  <c r="CC62" i="193"/>
  <c r="CB62" i="193"/>
  <c r="CA62" i="193"/>
  <c r="BZ62" i="193"/>
  <c r="BY62" i="193"/>
  <c r="BX62" i="193"/>
  <c r="BW62" i="193"/>
  <c r="BV62" i="193"/>
  <c r="BU62" i="193"/>
  <c r="BT62" i="193"/>
  <c r="BS62" i="193"/>
  <c r="BR62" i="193"/>
  <c r="BQ62" i="193"/>
  <c r="BP62" i="193"/>
  <c r="BO62" i="193"/>
  <c r="BN62" i="193"/>
  <c r="BM62" i="193"/>
  <c r="BL62" i="193"/>
  <c r="BK62" i="193"/>
  <c r="BJ62" i="193"/>
  <c r="BI62" i="193"/>
  <c r="BH62" i="193"/>
  <c r="BF62" i="193"/>
  <c r="BD62" i="193"/>
  <c r="BC62" i="193"/>
  <c r="BB62" i="193"/>
  <c r="BA62" i="193"/>
  <c r="AZ62" i="193"/>
  <c r="AY62" i="193"/>
  <c r="AX62" i="193"/>
  <c r="AW62" i="193"/>
  <c r="AV62" i="193"/>
  <c r="AU62" i="193"/>
  <c r="AT62" i="193"/>
  <c r="AS62" i="193"/>
  <c r="AR62" i="193"/>
  <c r="AQ62" i="193"/>
  <c r="AP62" i="193"/>
  <c r="AO62" i="193"/>
  <c r="AN62" i="193"/>
  <c r="AM62" i="193"/>
  <c r="AL62" i="193"/>
  <c r="AK62" i="193"/>
  <c r="AJ62" i="193"/>
  <c r="AI62" i="193"/>
  <c r="AH62" i="193"/>
  <c r="AG62" i="193"/>
  <c r="AF62" i="193"/>
  <c r="AE62" i="193"/>
  <c r="AD62" i="193"/>
  <c r="AC62" i="193"/>
  <c r="AB62" i="193"/>
  <c r="AA62" i="193"/>
  <c r="Z62" i="193"/>
  <c r="Y62" i="193"/>
  <c r="X62" i="193"/>
  <c r="W62" i="193"/>
  <c r="V62" i="193"/>
  <c r="U62" i="193"/>
  <c r="T62" i="193"/>
  <c r="S62" i="193"/>
  <c r="R62" i="193"/>
  <c r="Q62" i="193"/>
  <c r="P62" i="193"/>
  <c r="O62" i="193"/>
  <c r="N62" i="193"/>
  <c r="M62" i="193"/>
  <c r="L62" i="193"/>
  <c r="K62" i="193"/>
  <c r="I62" i="193"/>
  <c r="H62" i="193"/>
  <c r="G62" i="193"/>
  <c r="F62" i="193"/>
  <c r="FX61" i="193"/>
  <c r="FW61" i="193"/>
  <c r="ET61" i="193"/>
  <c r="ES61" i="193"/>
  <c r="CW61" i="193"/>
  <c r="GE61" i="193" s="1"/>
  <c r="CR61" i="193"/>
  <c r="CQ61" i="193" s="1"/>
  <c r="CK61" i="193"/>
  <c r="CJ61" i="193"/>
  <c r="CI61" i="193"/>
  <c r="BU61" i="193"/>
  <c r="BU59" i="193"/>
  <c r="BF61" i="193"/>
  <c r="J61" i="193"/>
  <c r="E61" i="193"/>
  <c r="FX60" i="193"/>
  <c r="FW60" i="193"/>
  <c r="ET60" i="193"/>
  <c r="ET59" i="193" s="1"/>
  <c r="ES60" i="193"/>
  <c r="CW60" i="193"/>
  <c r="CW59" i="193" s="1"/>
  <c r="CR60" i="193"/>
  <c r="CR59" i="193" s="1"/>
  <c r="CK60" i="193"/>
  <c r="CJ60" i="193"/>
  <c r="CI60" i="193"/>
  <c r="BG60" i="193"/>
  <c r="BF60" i="193"/>
  <c r="J60" i="193"/>
  <c r="E60" i="193"/>
  <c r="E59" i="193" s="1"/>
  <c r="GB59" i="193"/>
  <c r="GA59" i="193"/>
  <c r="FZ59" i="193"/>
  <c r="FY59" i="193"/>
  <c r="FX59" i="193"/>
  <c r="FU59" i="193"/>
  <c r="FT59" i="193"/>
  <c r="FS59" i="193"/>
  <c r="FR59" i="193"/>
  <c r="FQ59" i="193"/>
  <c r="FP59" i="193"/>
  <c r="FO59" i="193"/>
  <c r="FN59" i="193"/>
  <c r="FM59" i="193"/>
  <c r="FL59" i="193"/>
  <c r="FK59" i="193"/>
  <c r="FJ59" i="193"/>
  <c r="FJ11" i="193" s="1"/>
  <c r="FI59" i="193"/>
  <c r="FH59" i="193"/>
  <c r="FG59" i="193"/>
  <c r="FF59" i="193"/>
  <c r="FE59" i="193"/>
  <c r="FD59" i="193"/>
  <c r="FC59" i="193"/>
  <c r="FB59" i="193"/>
  <c r="FA59" i="193"/>
  <c r="EZ59" i="193"/>
  <c r="EY59" i="193"/>
  <c r="EX59" i="193"/>
  <c r="EX11" i="193" s="1"/>
  <c r="EW59" i="193"/>
  <c r="EV59" i="193"/>
  <c r="EU59" i="193"/>
  <c r="EQ59" i="193"/>
  <c r="EP59" i="193"/>
  <c r="EO59" i="193"/>
  <c r="EN59" i="193"/>
  <c r="EM59" i="193"/>
  <c r="EL59" i="193"/>
  <c r="EK59" i="193"/>
  <c r="EJ59" i="193"/>
  <c r="EI59" i="193"/>
  <c r="EI11" i="193" s="1"/>
  <c r="EH59" i="193"/>
  <c r="EG59" i="193"/>
  <c r="EF59" i="193"/>
  <c r="EE59" i="193"/>
  <c r="ED59" i="193"/>
  <c r="EC59" i="193"/>
  <c r="EB59" i="193"/>
  <c r="EA59" i="193"/>
  <c r="DZ59" i="193"/>
  <c r="DY59" i="193"/>
  <c r="DX59" i="193"/>
  <c r="DW59" i="193"/>
  <c r="DW11" i="193" s="1"/>
  <c r="DV59" i="193"/>
  <c r="DU59" i="193"/>
  <c r="DT59" i="193"/>
  <c r="DS59" i="193"/>
  <c r="DR59" i="193"/>
  <c r="DQ59" i="193"/>
  <c r="DP59" i="193"/>
  <c r="DO59" i="193"/>
  <c r="DN59" i="193"/>
  <c r="DM59" i="193"/>
  <c r="DL59" i="193"/>
  <c r="DK59" i="193"/>
  <c r="DK11" i="193" s="1"/>
  <c r="DJ59" i="193"/>
  <c r="DI59" i="193"/>
  <c r="DH59" i="193"/>
  <c r="DG59" i="193"/>
  <c r="DF59" i="193"/>
  <c r="DE59" i="193"/>
  <c r="DD59" i="193"/>
  <c r="DC59" i="193"/>
  <c r="DB59" i="193"/>
  <c r="DA59" i="193"/>
  <c r="CZ59" i="193"/>
  <c r="CY59" i="193"/>
  <c r="CY11" i="193" s="1"/>
  <c r="CX59" i="193"/>
  <c r="CV59" i="193"/>
  <c r="CU59" i="193"/>
  <c r="CT59" i="193"/>
  <c r="CS59" i="193"/>
  <c r="CN59" i="193"/>
  <c r="CM59" i="193"/>
  <c r="CL59" i="193"/>
  <c r="CH59" i="193"/>
  <c r="CG59" i="193"/>
  <c r="CF59" i="193"/>
  <c r="CE59" i="193"/>
  <c r="CE11" i="193" s="1"/>
  <c r="CD59" i="193"/>
  <c r="CC59" i="193"/>
  <c r="CB59" i="193"/>
  <c r="CA59" i="193"/>
  <c r="BZ59" i="193"/>
  <c r="BY59" i="193"/>
  <c r="BX59" i="193"/>
  <c r="BW59" i="193"/>
  <c r="BV59" i="193"/>
  <c r="BT59" i="193"/>
  <c r="BS59" i="193"/>
  <c r="BR59" i="193"/>
  <c r="BQ59" i="193"/>
  <c r="BP59" i="193"/>
  <c r="BO59" i="193"/>
  <c r="BN59" i="193"/>
  <c r="BM59" i="193"/>
  <c r="BL59" i="193"/>
  <c r="BK59" i="193"/>
  <c r="BJ59" i="193"/>
  <c r="BI59" i="193"/>
  <c r="BH59" i="193"/>
  <c r="BD59" i="193"/>
  <c r="BC59" i="193"/>
  <c r="BC11" i="193" s="1"/>
  <c r="BB59" i="193"/>
  <c r="BA59" i="193"/>
  <c r="AZ59" i="193"/>
  <c r="AY59" i="193"/>
  <c r="AX59" i="193"/>
  <c r="AW59" i="193"/>
  <c r="AV59" i="193"/>
  <c r="AU59" i="193"/>
  <c r="AT59" i="193"/>
  <c r="AS59" i="193"/>
  <c r="AR59" i="193"/>
  <c r="AQ59" i="193"/>
  <c r="AQ11" i="193" s="1"/>
  <c r="AP59" i="193"/>
  <c r="AO59" i="193"/>
  <c r="AN59" i="193"/>
  <c r="AM59" i="193"/>
  <c r="AL59" i="193"/>
  <c r="AK59" i="193"/>
  <c r="AJ59" i="193"/>
  <c r="AI59" i="193"/>
  <c r="AH59" i="193"/>
  <c r="AG59" i="193"/>
  <c r="AF59" i="193"/>
  <c r="AE59" i="193"/>
  <c r="AE11" i="193" s="1"/>
  <c r="AD59" i="193"/>
  <c r="AC59" i="193"/>
  <c r="AB59" i="193"/>
  <c r="AA59" i="193"/>
  <c r="Z59" i="193"/>
  <c r="Y59" i="193"/>
  <c r="X59" i="193"/>
  <c r="W59" i="193"/>
  <c r="V59" i="193"/>
  <c r="U59" i="193"/>
  <c r="T59" i="193"/>
  <c r="S59" i="193"/>
  <c r="S11" i="193" s="1"/>
  <c r="R59" i="193"/>
  <c r="Q59" i="193"/>
  <c r="P59" i="193"/>
  <c r="O59" i="193"/>
  <c r="N59" i="193"/>
  <c r="M59" i="193"/>
  <c r="L59" i="193"/>
  <c r="K59" i="193"/>
  <c r="I59" i="193"/>
  <c r="H59" i="193"/>
  <c r="G59" i="193"/>
  <c r="F59" i="193"/>
  <c r="FX58" i="193"/>
  <c r="FW58" i="193"/>
  <c r="ET58" i="193"/>
  <c r="ES58" i="193"/>
  <c r="ER58" i="193" s="1"/>
  <c r="DR58" i="193"/>
  <c r="DR56" i="193" s="1"/>
  <c r="DQ58" i="193"/>
  <c r="CW58" i="193" s="1"/>
  <c r="DP58" i="193"/>
  <c r="DP56" i="193"/>
  <c r="CR58" i="193"/>
  <c r="CK58" i="193"/>
  <c r="CJ58" i="193"/>
  <c r="BG58" i="193"/>
  <c r="BF58" i="193"/>
  <c r="AE58" i="193"/>
  <c r="AD58" i="193"/>
  <c r="AC58" i="193"/>
  <c r="AC56" i="193" s="1"/>
  <c r="E58" i="193"/>
  <c r="FX57" i="193"/>
  <c r="FW57" i="193"/>
  <c r="FV57" i="193" s="1"/>
  <c r="ET57" i="193"/>
  <c r="ET56" i="193" s="1"/>
  <c r="ES57" i="193"/>
  <c r="CW57" i="193"/>
  <c r="CR57" i="193"/>
  <c r="CK57" i="193"/>
  <c r="CJ57" i="193"/>
  <c r="BG57" i="193"/>
  <c r="BF57" i="193"/>
  <c r="BF56" i="193" s="1"/>
  <c r="J57" i="193"/>
  <c r="E57" i="193"/>
  <c r="D57" i="193"/>
  <c r="GB56" i="193"/>
  <c r="GA56" i="193"/>
  <c r="FZ56" i="193"/>
  <c r="FY56" i="193"/>
  <c r="FU56" i="193"/>
  <c r="FT56" i="193"/>
  <c r="FS56" i="193"/>
  <c r="FR56" i="193"/>
  <c r="FQ56" i="193"/>
  <c r="FP56" i="193"/>
  <c r="FO56" i="193"/>
  <c r="FN56" i="193"/>
  <c r="FM56" i="193"/>
  <c r="FL56" i="193"/>
  <c r="FK56" i="193"/>
  <c r="FJ56" i="193"/>
  <c r="FI56" i="193"/>
  <c r="FH56" i="193"/>
  <c r="FG56" i="193"/>
  <c r="FF56" i="193"/>
  <c r="FE56" i="193"/>
  <c r="FD56" i="193"/>
  <c r="FC56" i="193"/>
  <c r="FB56" i="193"/>
  <c r="FA56" i="193"/>
  <c r="EZ56" i="193"/>
  <c r="EY56" i="193"/>
  <c r="EX56" i="193"/>
  <c r="EW56" i="193"/>
  <c r="EV56" i="193"/>
  <c r="EU56" i="193"/>
  <c r="EQ56" i="193"/>
  <c r="EP56" i="193"/>
  <c r="EO56" i="193"/>
  <c r="EN56" i="193"/>
  <c r="EM56" i="193"/>
  <c r="EL56" i="193"/>
  <c r="EK56" i="193"/>
  <c r="EJ56" i="193"/>
  <c r="EI56" i="193"/>
  <c r="EH56" i="193"/>
  <c r="EG56" i="193"/>
  <c r="EF56" i="193"/>
  <c r="EE56" i="193"/>
  <c r="ED56" i="193"/>
  <c r="EC56" i="193"/>
  <c r="EB56" i="193"/>
  <c r="EA56" i="193"/>
  <c r="DZ56" i="193"/>
  <c r="DY56" i="193"/>
  <c r="DX56" i="193"/>
  <c r="DW56" i="193"/>
  <c r="DV56" i="193"/>
  <c r="DU56" i="193"/>
  <c r="DT56" i="193"/>
  <c r="DS56" i="193"/>
  <c r="DQ56" i="193"/>
  <c r="DO56" i="193"/>
  <c r="DN56" i="193"/>
  <c r="DM56" i="193"/>
  <c r="DL56" i="193"/>
  <c r="DK56" i="193"/>
  <c r="DJ56" i="193"/>
  <c r="DI56" i="193"/>
  <c r="DH56" i="193"/>
  <c r="DG56" i="193"/>
  <c r="DF56" i="193"/>
  <c r="DE56" i="193"/>
  <c r="DD56" i="193"/>
  <c r="DC56" i="193"/>
  <c r="DB56" i="193"/>
  <c r="DA56" i="193"/>
  <c r="CZ56" i="193"/>
  <c r="CY56" i="193"/>
  <c r="CX56" i="193"/>
  <c r="CV56" i="193"/>
  <c r="CU56" i="193"/>
  <c r="CT56" i="193"/>
  <c r="CS56" i="193"/>
  <c r="CN56" i="193"/>
  <c r="CM56" i="193"/>
  <c r="CL56" i="193"/>
  <c r="CH56" i="193"/>
  <c r="CG56" i="193"/>
  <c r="CF56" i="193"/>
  <c r="CE56" i="193"/>
  <c r="CD56" i="193"/>
  <c r="CC56" i="193"/>
  <c r="CB56" i="193"/>
  <c r="CA56" i="193"/>
  <c r="BZ56" i="193"/>
  <c r="BY56" i="193"/>
  <c r="BX56" i="193"/>
  <c r="BW56" i="193"/>
  <c r="BV56" i="193"/>
  <c r="BU56" i="193"/>
  <c r="BT56" i="193"/>
  <c r="BS56" i="193"/>
  <c r="BR56" i="193"/>
  <c r="BQ56" i="193"/>
  <c r="BP56" i="193"/>
  <c r="BO56" i="193"/>
  <c r="BN56" i="193"/>
  <c r="BM56" i="193"/>
  <c r="BL56" i="193"/>
  <c r="BK56" i="193"/>
  <c r="BJ56" i="193"/>
  <c r="BI56" i="193"/>
  <c r="BH56" i="193"/>
  <c r="BG56" i="193"/>
  <c r="BD56" i="193"/>
  <c r="BC56" i="193"/>
  <c r="BB56" i="193"/>
  <c r="BA56" i="193"/>
  <c r="AZ56" i="193"/>
  <c r="AY56" i="193"/>
  <c r="AX56" i="193"/>
  <c r="AW56" i="193"/>
  <c r="AV56" i="193"/>
  <c r="AU56" i="193"/>
  <c r="AT56" i="193"/>
  <c r="AS56" i="193"/>
  <c r="AR56" i="193"/>
  <c r="AQ56" i="193"/>
  <c r="AP56" i="193"/>
  <c r="AO56" i="193"/>
  <c r="AN56" i="193"/>
  <c r="AM56" i="193"/>
  <c r="AL56" i="193"/>
  <c r="AK56" i="193"/>
  <c r="AJ56" i="193"/>
  <c r="AI56" i="193"/>
  <c r="AH56" i="193"/>
  <c r="AG56" i="193"/>
  <c r="AF56" i="193"/>
  <c r="AE56" i="193"/>
  <c r="AD56" i="193"/>
  <c r="AB56" i="193"/>
  <c r="AA56" i="193"/>
  <c r="Z56" i="193"/>
  <c r="Y56" i="193"/>
  <c r="X56" i="193"/>
  <c r="W56" i="193"/>
  <c r="V56" i="193"/>
  <c r="U56" i="193"/>
  <c r="T56" i="193"/>
  <c r="S56" i="193"/>
  <c r="R56" i="193"/>
  <c r="Q56" i="193"/>
  <c r="P56" i="193"/>
  <c r="O56" i="193"/>
  <c r="N56" i="193"/>
  <c r="M56" i="193"/>
  <c r="L56" i="193"/>
  <c r="K56" i="193"/>
  <c r="I56" i="193"/>
  <c r="H56" i="193"/>
  <c r="G56" i="193"/>
  <c r="F56" i="193"/>
  <c r="E56" i="193"/>
  <c r="FX55" i="193"/>
  <c r="FW55" i="193"/>
  <c r="FV55" i="193" s="1"/>
  <c r="ET55" i="193"/>
  <c r="ES55" i="193"/>
  <c r="CW55" i="193"/>
  <c r="GE55" i="193" s="1"/>
  <c r="CR55" i="193"/>
  <c r="CK55" i="193"/>
  <c r="CK53" i="193" s="1"/>
  <c r="CJ55" i="193"/>
  <c r="BG55" i="193"/>
  <c r="BF55" i="193"/>
  <c r="BF53" i="193"/>
  <c r="J55" i="193"/>
  <c r="E55" i="193"/>
  <c r="D55" i="193"/>
  <c r="FX54" i="193"/>
  <c r="FX53" i="193" s="1"/>
  <c r="FW54" i="193"/>
  <c r="ET54" i="193"/>
  <c r="ES54" i="193"/>
  <c r="ES53" i="193" s="1"/>
  <c r="CW54" i="193"/>
  <c r="CR54" i="193"/>
  <c r="CK54" i="193"/>
  <c r="CJ54" i="193"/>
  <c r="BG54" i="193"/>
  <c r="BF54" i="193"/>
  <c r="BE54" i="193"/>
  <c r="J54" i="193"/>
  <c r="J53" i="193" s="1"/>
  <c r="E54" i="193"/>
  <c r="GB53" i="193"/>
  <c r="GA53" i="193"/>
  <c r="FZ53" i="193"/>
  <c r="FY53" i="193"/>
  <c r="FU53" i="193"/>
  <c r="FT53" i="193"/>
  <c r="FS53" i="193"/>
  <c r="FR53" i="193"/>
  <c r="FQ53" i="193"/>
  <c r="FP53" i="193"/>
  <c r="FO53" i="193"/>
  <c r="FN53" i="193"/>
  <c r="FM53" i="193"/>
  <c r="FL53" i="193"/>
  <c r="FK53" i="193"/>
  <c r="FJ53" i="193"/>
  <c r="FI53" i="193"/>
  <c r="FH53" i="193"/>
  <c r="FG53" i="193"/>
  <c r="FF53" i="193"/>
  <c r="FE53" i="193"/>
  <c r="FD53" i="193"/>
  <c r="FC53" i="193"/>
  <c r="FB53" i="193"/>
  <c r="FA53" i="193"/>
  <c r="EZ53" i="193"/>
  <c r="EY53" i="193"/>
  <c r="EX53" i="193"/>
  <c r="EW53" i="193"/>
  <c r="EV53" i="193"/>
  <c r="EU53" i="193"/>
  <c r="EQ53" i="193"/>
  <c r="EP53" i="193"/>
  <c r="EO53" i="193"/>
  <c r="EN53" i="193"/>
  <c r="EM53" i="193"/>
  <c r="EL53" i="193"/>
  <c r="EK53" i="193"/>
  <c r="EJ53" i="193"/>
  <c r="EI53" i="193"/>
  <c r="EH53" i="193"/>
  <c r="EG53" i="193"/>
  <c r="EF53" i="193"/>
  <c r="EE53" i="193"/>
  <c r="ED53" i="193"/>
  <c r="EC53" i="193"/>
  <c r="EB53" i="193"/>
  <c r="EA53" i="193"/>
  <c r="DZ53" i="193"/>
  <c r="DY53" i="193"/>
  <c r="DX53" i="193"/>
  <c r="DW53" i="193"/>
  <c r="DV53" i="193"/>
  <c r="DU53" i="193"/>
  <c r="DT53" i="193"/>
  <c r="DS53" i="193"/>
  <c r="DR53" i="193"/>
  <c r="DQ53" i="193"/>
  <c r="DP53" i="193"/>
  <c r="DO53" i="193"/>
  <c r="DN53" i="193"/>
  <c r="DM53" i="193"/>
  <c r="DL53" i="193"/>
  <c r="DK53" i="193"/>
  <c r="DJ53" i="193"/>
  <c r="DI53" i="193"/>
  <c r="DH53" i="193"/>
  <c r="DG53" i="193"/>
  <c r="DF53" i="193"/>
  <c r="DE53" i="193"/>
  <c r="DD53" i="193"/>
  <c r="DC53" i="193"/>
  <c r="DB53" i="193"/>
  <c r="DA53" i="193"/>
  <c r="CZ53" i="193"/>
  <c r="CY53" i="193"/>
  <c r="CX53" i="193"/>
  <c r="CV53" i="193"/>
  <c r="CU53" i="193"/>
  <c r="CT53" i="193"/>
  <c r="CS53" i="193"/>
  <c r="CN53" i="193"/>
  <c r="CM53" i="193"/>
  <c r="CL53" i="193"/>
  <c r="CH53" i="193"/>
  <c r="CG53" i="193"/>
  <c r="CF53" i="193"/>
  <c r="CE53" i="193"/>
  <c r="CD53" i="193"/>
  <c r="CC53" i="193"/>
  <c r="CB53" i="193"/>
  <c r="CA53" i="193"/>
  <c r="BZ53" i="193"/>
  <c r="BY53" i="193"/>
  <c r="BX53" i="193"/>
  <c r="BW53" i="193"/>
  <c r="BV53" i="193"/>
  <c r="BU53" i="193"/>
  <c r="BT53" i="193"/>
  <c r="BS53" i="193"/>
  <c r="BR53" i="193"/>
  <c r="BQ53" i="193"/>
  <c r="BP53" i="193"/>
  <c r="BO53" i="193"/>
  <c r="BN53" i="193"/>
  <c r="BM53" i="193"/>
  <c r="BL53" i="193"/>
  <c r="BK53" i="193"/>
  <c r="BJ53" i="193"/>
  <c r="BI53" i="193"/>
  <c r="BH53" i="193"/>
  <c r="BD53" i="193"/>
  <c r="BC53" i="193"/>
  <c r="BB53" i="193"/>
  <c r="BA53" i="193"/>
  <c r="AZ53" i="193"/>
  <c r="AY53" i="193"/>
  <c r="AX53" i="193"/>
  <c r="AW53" i="193"/>
  <c r="AV53" i="193"/>
  <c r="AU53" i="193"/>
  <c r="AT53" i="193"/>
  <c r="AS53" i="193"/>
  <c r="AR53" i="193"/>
  <c r="AQ53" i="193"/>
  <c r="AP53" i="193"/>
  <c r="AO53" i="193"/>
  <c r="AN53" i="193"/>
  <c r="AM53" i="193"/>
  <c r="AL53" i="193"/>
  <c r="AK53" i="193"/>
  <c r="AJ53" i="193"/>
  <c r="AI53" i="193"/>
  <c r="AH53" i="193"/>
  <c r="AG53" i="193"/>
  <c r="AF53" i="193"/>
  <c r="AE53" i="193"/>
  <c r="AD53" i="193"/>
  <c r="AC53" i="193"/>
  <c r="AB53" i="193"/>
  <c r="AA53" i="193"/>
  <c r="Z53" i="193"/>
  <c r="Y53" i="193"/>
  <c r="X53" i="193"/>
  <c r="W53" i="193"/>
  <c r="V53" i="193"/>
  <c r="U53" i="193"/>
  <c r="T53" i="193"/>
  <c r="S53" i="193"/>
  <c r="R53" i="193"/>
  <c r="Q53" i="193"/>
  <c r="P53" i="193"/>
  <c r="O53" i="193"/>
  <c r="N53" i="193"/>
  <c r="M53" i="193"/>
  <c r="L53" i="193"/>
  <c r="K53" i="193"/>
  <c r="I53" i="193"/>
  <c r="H53" i="193"/>
  <c r="G53" i="193"/>
  <c r="F53" i="193"/>
  <c r="FX52" i="193"/>
  <c r="FW52" i="193"/>
  <c r="FV52" i="193" s="1"/>
  <c r="ET52" i="193"/>
  <c r="ES52" i="193"/>
  <c r="ER52" i="193"/>
  <c r="CW52" i="193"/>
  <c r="GE52" i="193"/>
  <c r="CR52" i="193"/>
  <c r="CK52" i="193"/>
  <c r="CJ52" i="193"/>
  <c r="BG52" i="193"/>
  <c r="BF52" i="193"/>
  <c r="BE52" i="193"/>
  <c r="J52" i="193"/>
  <c r="E52" i="193"/>
  <c r="D52" i="193"/>
  <c r="FX51" i="193"/>
  <c r="FW51" i="193"/>
  <c r="ET51" i="193"/>
  <c r="ET50" i="193" s="1"/>
  <c r="ES51" i="193"/>
  <c r="CW51" i="193"/>
  <c r="CQ51" i="193"/>
  <c r="CR51" i="193"/>
  <c r="CK51" i="193"/>
  <c r="CJ51" i="193"/>
  <c r="BG51" i="193"/>
  <c r="BF51" i="193"/>
  <c r="J51" i="193"/>
  <c r="E51" i="193"/>
  <c r="GB50" i="193"/>
  <c r="GA50" i="193"/>
  <c r="FZ50" i="193"/>
  <c r="FY50" i="193"/>
  <c r="FU50" i="193"/>
  <c r="FT50" i="193"/>
  <c r="FS50" i="193"/>
  <c r="FR50" i="193"/>
  <c r="FQ50" i="193"/>
  <c r="FP50" i="193"/>
  <c r="FO50" i="193"/>
  <c r="FN50" i="193"/>
  <c r="FM50" i="193"/>
  <c r="FL50" i="193"/>
  <c r="FK50" i="193"/>
  <c r="FJ50" i="193"/>
  <c r="FI50" i="193"/>
  <c r="FH50" i="193"/>
  <c r="FG50" i="193"/>
  <c r="FF50" i="193"/>
  <c r="FE50" i="193"/>
  <c r="FD50" i="193"/>
  <c r="FC50" i="193"/>
  <c r="FB50" i="193"/>
  <c r="FA50" i="193"/>
  <c r="EZ50" i="193"/>
  <c r="EY50" i="193"/>
  <c r="EX50" i="193"/>
  <c r="EW50" i="193"/>
  <c r="EV50" i="193"/>
  <c r="EU50" i="193"/>
  <c r="EQ50" i="193"/>
  <c r="EP50" i="193"/>
  <c r="EO50" i="193"/>
  <c r="EN50" i="193"/>
  <c r="EM50" i="193"/>
  <c r="EL50" i="193"/>
  <c r="EK50" i="193"/>
  <c r="EJ50" i="193"/>
  <c r="EI50" i="193"/>
  <c r="EH50" i="193"/>
  <c r="EG50" i="193"/>
  <c r="EF50" i="193"/>
  <c r="EE50" i="193"/>
  <c r="ED50" i="193"/>
  <c r="EC50" i="193"/>
  <c r="EB50" i="193"/>
  <c r="EA50" i="193"/>
  <c r="DZ50" i="193"/>
  <c r="DY50" i="193"/>
  <c r="DX50" i="193"/>
  <c r="DW50" i="193"/>
  <c r="DV50" i="193"/>
  <c r="DU50" i="193"/>
  <c r="DT50" i="193"/>
  <c r="DS50" i="193"/>
  <c r="DR50" i="193"/>
  <c r="DQ50" i="193"/>
  <c r="DP50" i="193"/>
  <c r="DO50" i="193"/>
  <c r="DN50" i="193"/>
  <c r="DM50" i="193"/>
  <c r="DL50" i="193"/>
  <c r="DK50" i="193"/>
  <c r="DJ50" i="193"/>
  <c r="DI50" i="193"/>
  <c r="DH50" i="193"/>
  <c r="DG50" i="193"/>
  <c r="DF50" i="193"/>
  <c r="DE50" i="193"/>
  <c r="DD50" i="193"/>
  <c r="DC50" i="193"/>
  <c r="DB50" i="193"/>
  <c r="DA50" i="193"/>
  <c r="CZ50" i="193"/>
  <c r="CY50" i="193"/>
  <c r="CX50" i="193"/>
  <c r="CV50" i="193"/>
  <c r="CU50" i="193"/>
  <c r="CT50" i="193"/>
  <c r="CS50" i="193"/>
  <c r="CR50" i="193"/>
  <c r="CN50" i="193"/>
  <c r="CM50" i="193"/>
  <c r="CL50" i="193"/>
  <c r="CH50" i="193"/>
  <c r="CG50" i="193"/>
  <c r="CF50" i="193"/>
  <c r="CE50" i="193"/>
  <c r="CD50" i="193"/>
  <c r="CC50" i="193"/>
  <c r="CB50" i="193"/>
  <c r="CA50" i="193"/>
  <c r="BZ50" i="193"/>
  <c r="BY50" i="193"/>
  <c r="BX50" i="193"/>
  <c r="BW50" i="193"/>
  <c r="BV50" i="193"/>
  <c r="BU50" i="193"/>
  <c r="BT50" i="193"/>
  <c r="BS50" i="193"/>
  <c r="BR50" i="193"/>
  <c r="BQ50" i="193"/>
  <c r="BP50" i="193"/>
  <c r="BO50" i="193"/>
  <c r="BN50" i="193"/>
  <c r="BM50" i="193"/>
  <c r="BL50" i="193"/>
  <c r="BK50" i="193"/>
  <c r="BJ50" i="193"/>
  <c r="BI50" i="193"/>
  <c r="BH50" i="193"/>
  <c r="BG50" i="193"/>
  <c r="BD50" i="193"/>
  <c r="BC50" i="193"/>
  <c r="BB50" i="193"/>
  <c r="BA50" i="193"/>
  <c r="AZ50" i="193"/>
  <c r="AY50" i="193"/>
  <c r="AX50" i="193"/>
  <c r="AW50" i="193"/>
  <c r="AV50" i="193"/>
  <c r="AU50" i="193"/>
  <c r="AT50" i="193"/>
  <c r="AS50" i="193"/>
  <c r="AR50" i="193"/>
  <c r="AQ50" i="193"/>
  <c r="AP50" i="193"/>
  <c r="AO50" i="193"/>
  <c r="AN50" i="193"/>
  <c r="AM50" i="193"/>
  <c r="AL50" i="193"/>
  <c r="AK50" i="193"/>
  <c r="AJ50" i="193"/>
  <c r="AI50" i="193"/>
  <c r="AH50" i="193"/>
  <c r="AG50" i="193"/>
  <c r="AF50" i="193"/>
  <c r="AE50" i="193"/>
  <c r="AD50" i="193"/>
  <c r="AC50" i="193"/>
  <c r="AB50" i="193"/>
  <c r="AA50" i="193"/>
  <c r="Z50" i="193"/>
  <c r="Y50" i="193"/>
  <c r="X50" i="193"/>
  <c r="W50" i="193"/>
  <c r="V50" i="193"/>
  <c r="U50" i="193"/>
  <c r="T50" i="193"/>
  <c r="S50" i="193"/>
  <c r="R50" i="193"/>
  <c r="Q50" i="193"/>
  <c r="P50" i="193"/>
  <c r="O50" i="193"/>
  <c r="N50" i="193"/>
  <c r="M50" i="193"/>
  <c r="L50" i="193"/>
  <c r="K50" i="193"/>
  <c r="J50" i="193"/>
  <c r="I50" i="193"/>
  <c r="H50" i="193"/>
  <c r="G50" i="193"/>
  <c r="F50" i="193"/>
  <c r="FX49" i="193"/>
  <c r="FW49" i="193"/>
  <c r="FV49" i="193" s="1"/>
  <c r="ET49" i="193"/>
  <c r="ET47" i="193"/>
  <c r="ES49" i="193"/>
  <c r="ER49" i="193"/>
  <c r="CW49" i="193"/>
  <c r="GE49" i="193" s="1"/>
  <c r="CR49" i="193"/>
  <c r="CQ49" i="193" s="1"/>
  <c r="CK49" i="193"/>
  <c r="CI49" i="193"/>
  <c r="CJ49" i="193"/>
  <c r="BG49" i="193"/>
  <c r="BF49" i="193"/>
  <c r="J49" i="193"/>
  <c r="E49" i="193"/>
  <c r="FX48" i="193"/>
  <c r="FX47" i="193" s="1"/>
  <c r="FW48" i="193"/>
  <c r="FW47" i="193"/>
  <c r="ET48" i="193"/>
  <c r="ES48" i="193"/>
  <c r="ER48" i="193"/>
  <c r="ER47" i="193" s="1"/>
  <c r="CW48" i="193"/>
  <c r="CR48" i="193"/>
  <c r="CK48" i="193"/>
  <c r="CJ48" i="193"/>
  <c r="CJ47" i="193" s="1"/>
  <c r="BG48" i="193"/>
  <c r="BF48" i="193"/>
  <c r="J48" i="193"/>
  <c r="E48" i="193"/>
  <c r="D48" i="193" s="1"/>
  <c r="D47" i="193" s="1"/>
  <c r="GB47" i="193"/>
  <c r="GA47" i="193"/>
  <c r="FZ47" i="193"/>
  <c r="FY47" i="193"/>
  <c r="FU47" i="193"/>
  <c r="FT47" i="193"/>
  <c r="FS47" i="193"/>
  <c r="FR47" i="193"/>
  <c r="FQ47" i="193"/>
  <c r="FP47" i="193"/>
  <c r="FO47" i="193"/>
  <c r="FN47" i="193"/>
  <c r="FN11" i="193" s="1"/>
  <c r="FM47" i="193"/>
  <c r="FL47" i="193"/>
  <c r="FK47" i="193"/>
  <c r="FJ47" i="193"/>
  <c r="FI47" i="193"/>
  <c r="FH47" i="193"/>
  <c r="FG47" i="193"/>
  <c r="FF47" i="193"/>
  <c r="FE47" i="193"/>
  <c r="FD47" i="193"/>
  <c r="FC47" i="193"/>
  <c r="FB47" i="193"/>
  <c r="FB11" i="193" s="1"/>
  <c r="FA47" i="193"/>
  <c r="EZ47" i="193"/>
  <c r="EY47" i="193"/>
  <c r="EX47" i="193"/>
  <c r="EW47" i="193"/>
  <c r="EV47" i="193"/>
  <c r="EU47" i="193"/>
  <c r="EQ47" i="193"/>
  <c r="EP47" i="193"/>
  <c r="EO47" i="193"/>
  <c r="EN47" i="193"/>
  <c r="EM47" i="193"/>
  <c r="EM11" i="193" s="1"/>
  <c r="EL47" i="193"/>
  <c r="EK47" i="193"/>
  <c r="EJ47" i="193"/>
  <c r="EI47" i="193"/>
  <c r="EH47" i="193"/>
  <c r="EG47" i="193"/>
  <c r="EF47" i="193"/>
  <c r="EE47" i="193"/>
  <c r="ED47" i="193"/>
  <c r="EC47" i="193"/>
  <c r="EB47" i="193"/>
  <c r="EA47" i="193"/>
  <c r="DZ47" i="193"/>
  <c r="DY47" i="193"/>
  <c r="DX47" i="193"/>
  <c r="DW47" i="193"/>
  <c r="DV47" i="193"/>
  <c r="DU47" i="193"/>
  <c r="DT47" i="193"/>
  <c r="DS47" i="193"/>
  <c r="DR47" i="193"/>
  <c r="DQ47" i="193"/>
  <c r="DP47" i="193"/>
  <c r="DO47" i="193"/>
  <c r="DO11" i="193" s="1"/>
  <c r="DN47" i="193"/>
  <c r="DM47" i="193"/>
  <c r="DL47" i="193"/>
  <c r="DK47" i="193"/>
  <c r="DJ47" i="193"/>
  <c r="DI47" i="193"/>
  <c r="DH47" i="193"/>
  <c r="DG47" i="193"/>
  <c r="DF47" i="193"/>
  <c r="DE47" i="193"/>
  <c r="DD47" i="193"/>
  <c r="DC47" i="193"/>
  <c r="DC11" i="193" s="1"/>
  <c r="DB47" i="193"/>
  <c r="DA47" i="193"/>
  <c r="CZ47" i="193"/>
  <c r="CY47" i="193"/>
  <c r="CX47" i="193"/>
  <c r="CV47" i="193"/>
  <c r="CU47" i="193"/>
  <c r="CT47" i="193"/>
  <c r="CS47" i="193"/>
  <c r="CN47" i="193"/>
  <c r="CM47" i="193"/>
  <c r="CL47" i="193"/>
  <c r="CH47" i="193"/>
  <c r="CG47" i="193"/>
  <c r="CF47" i="193"/>
  <c r="CE47" i="193"/>
  <c r="CD47" i="193"/>
  <c r="CC47" i="193"/>
  <c r="CB47" i="193"/>
  <c r="CA47" i="193"/>
  <c r="BZ47" i="193"/>
  <c r="BY47" i="193"/>
  <c r="BX47" i="193"/>
  <c r="BW47" i="193"/>
  <c r="BW11" i="193" s="1"/>
  <c r="BV47" i="193"/>
  <c r="BU47" i="193"/>
  <c r="BT47" i="193"/>
  <c r="BS47" i="193"/>
  <c r="BR47" i="193"/>
  <c r="BQ47" i="193"/>
  <c r="BP47" i="193"/>
  <c r="BO47" i="193"/>
  <c r="BN47" i="193"/>
  <c r="BM47" i="193"/>
  <c r="BL47" i="193"/>
  <c r="BK47" i="193"/>
  <c r="BK11" i="193" s="1"/>
  <c r="BJ47" i="193"/>
  <c r="BI47" i="193"/>
  <c r="BH47" i="193"/>
  <c r="BD47" i="193"/>
  <c r="BC47" i="193"/>
  <c r="BB47" i="193"/>
  <c r="BA47" i="193"/>
  <c r="AZ47" i="193"/>
  <c r="AY47" i="193"/>
  <c r="AX47" i="193"/>
  <c r="AW47" i="193"/>
  <c r="AV47" i="193"/>
  <c r="AV11" i="193" s="1"/>
  <c r="AU47" i="193"/>
  <c r="AT47" i="193"/>
  <c r="AS47" i="193"/>
  <c r="AR47" i="193"/>
  <c r="AQ47" i="193"/>
  <c r="AP47" i="193"/>
  <c r="AO47" i="193"/>
  <c r="AN47" i="193"/>
  <c r="AM47" i="193"/>
  <c r="AL47" i="193"/>
  <c r="AK47" i="193"/>
  <c r="AJ47" i="193"/>
  <c r="AJ11" i="193" s="1"/>
  <c r="AI47" i="193"/>
  <c r="AH47" i="193"/>
  <c r="AG47" i="193"/>
  <c r="AF47" i="193"/>
  <c r="AE47" i="193"/>
  <c r="AD47" i="193"/>
  <c r="AC47" i="193"/>
  <c r="AB47" i="193"/>
  <c r="AA47" i="193"/>
  <c r="Z47" i="193"/>
  <c r="Y47" i="193"/>
  <c r="X47" i="193"/>
  <c r="X11" i="193" s="1"/>
  <c r="W47" i="193"/>
  <c r="V47" i="193"/>
  <c r="U47" i="193"/>
  <c r="T47" i="193"/>
  <c r="S47" i="193"/>
  <c r="R47" i="193"/>
  <c r="Q47" i="193"/>
  <c r="P47" i="193"/>
  <c r="O47" i="193"/>
  <c r="N47" i="193"/>
  <c r="M47" i="193"/>
  <c r="L47" i="193"/>
  <c r="L11" i="193" s="1"/>
  <c r="K47" i="193"/>
  <c r="I47" i="193"/>
  <c r="H47" i="193"/>
  <c r="G47" i="193"/>
  <c r="F47" i="193"/>
  <c r="FX46" i="193"/>
  <c r="FW46" i="193"/>
  <c r="ET46" i="193"/>
  <c r="ES46" i="193"/>
  <c r="CW46" i="193"/>
  <c r="CR46" i="193"/>
  <c r="CQ46" i="193"/>
  <c r="CK46" i="193"/>
  <c r="CI46" i="193" s="1"/>
  <c r="CJ46" i="193"/>
  <c r="BG46" i="193"/>
  <c r="BF46" i="193"/>
  <c r="J46" i="193"/>
  <c r="J44" i="193" s="1"/>
  <c r="GE46" i="193"/>
  <c r="E46" i="193"/>
  <c r="FX45" i="193"/>
  <c r="FX44" i="193" s="1"/>
  <c r="FW45" i="193"/>
  <c r="ET45" i="193"/>
  <c r="ES45" i="193"/>
  <c r="CW45" i="193"/>
  <c r="CQ45" i="193" s="1"/>
  <c r="CW44" i="193"/>
  <c r="CR45" i="193"/>
  <c r="CK45" i="193"/>
  <c r="CJ45" i="193"/>
  <c r="BG45" i="193"/>
  <c r="BF45" i="193"/>
  <c r="BE45" i="193"/>
  <c r="J45" i="193"/>
  <c r="E45" i="193"/>
  <c r="GB44" i="193"/>
  <c r="GA44" i="193"/>
  <c r="FZ44" i="193"/>
  <c r="FY44" i="193"/>
  <c r="FU44" i="193"/>
  <c r="FT44" i="193"/>
  <c r="FS44" i="193"/>
  <c r="FR44" i="193"/>
  <c r="FQ44" i="193"/>
  <c r="FP44" i="193"/>
  <c r="FO44" i="193"/>
  <c r="FN44" i="193"/>
  <c r="FM44" i="193"/>
  <c r="FL44" i="193"/>
  <c r="FK44" i="193"/>
  <c r="FJ44" i="193"/>
  <c r="FI44" i="193"/>
  <c r="FH44" i="193"/>
  <c r="FG44" i="193"/>
  <c r="FF44" i="193"/>
  <c r="FE44" i="193"/>
  <c r="FD44" i="193"/>
  <c r="FC44" i="193"/>
  <c r="FB44" i="193"/>
  <c r="FA44" i="193"/>
  <c r="EZ44" i="193"/>
  <c r="EY44" i="193"/>
  <c r="EX44" i="193"/>
  <c r="EW44" i="193"/>
  <c r="EV44" i="193"/>
  <c r="EU44" i="193"/>
  <c r="EQ44" i="193"/>
  <c r="EP44" i="193"/>
  <c r="EO44" i="193"/>
  <c r="EN44" i="193"/>
  <c r="EM44" i="193"/>
  <c r="EL44" i="193"/>
  <c r="EK44" i="193"/>
  <c r="EJ44" i="193"/>
  <c r="EI44" i="193"/>
  <c r="EH44" i="193"/>
  <c r="EG44" i="193"/>
  <c r="EF44" i="193"/>
  <c r="EE44" i="193"/>
  <c r="ED44" i="193"/>
  <c r="EC44" i="193"/>
  <c r="EB44" i="193"/>
  <c r="EA44" i="193"/>
  <c r="DZ44" i="193"/>
  <c r="DY44" i="193"/>
  <c r="DX44" i="193"/>
  <c r="DW44" i="193"/>
  <c r="DV44" i="193"/>
  <c r="DU44" i="193"/>
  <c r="DT44" i="193"/>
  <c r="DS44" i="193"/>
  <c r="DR44" i="193"/>
  <c r="DQ44" i="193"/>
  <c r="DP44" i="193"/>
  <c r="DO44" i="193"/>
  <c r="DN44" i="193"/>
  <c r="DM44" i="193"/>
  <c r="DL44" i="193"/>
  <c r="DK44" i="193"/>
  <c r="DJ44" i="193"/>
  <c r="DI44" i="193"/>
  <c r="DH44" i="193"/>
  <c r="DG44" i="193"/>
  <c r="DF44" i="193"/>
  <c r="DE44" i="193"/>
  <c r="DD44" i="193"/>
  <c r="DC44" i="193"/>
  <c r="DB44" i="193"/>
  <c r="DA44" i="193"/>
  <c r="CZ44" i="193"/>
  <c r="CY44" i="193"/>
  <c r="CX44" i="193"/>
  <c r="CV44" i="193"/>
  <c r="CU44" i="193"/>
  <c r="CT44" i="193"/>
  <c r="CS44" i="193"/>
  <c r="CN44" i="193"/>
  <c r="CM44" i="193"/>
  <c r="CL44" i="193"/>
  <c r="CH44" i="193"/>
  <c r="CG44" i="193"/>
  <c r="CF44" i="193"/>
  <c r="CE44" i="193"/>
  <c r="CD44" i="193"/>
  <c r="CC44" i="193"/>
  <c r="CB44" i="193"/>
  <c r="CA44" i="193"/>
  <c r="BZ44" i="193"/>
  <c r="BY44" i="193"/>
  <c r="BX44" i="193"/>
  <c r="BW44" i="193"/>
  <c r="BV44" i="193"/>
  <c r="BU44" i="193"/>
  <c r="BT44" i="193"/>
  <c r="BS44" i="193"/>
  <c r="BR44" i="193"/>
  <c r="BQ44" i="193"/>
  <c r="BP44" i="193"/>
  <c r="BO44" i="193"/>
  <c r="BN44" i="193"/>
  <c r="BM44" i="193"/>
  <c r="BL44" i="193"/>
  <c r="BK44" i="193"/>
  <c r="BJ44" i="193"/>
  <c r="BI44" i="193"/>
  <c r="BH44" i="193"/>
  <c r="BF44" i="193"/>
  <c r="BD44" i="193"/>
  <c r="BC44" i="193"/>
  <c r="BB44" i="193"/>
  <c r="BA44" i="193"/>
  <c r="AZ44" i="193"/>
  <c r="AY44" i="193"/>
  <c r="AX44" i="193"/>
  <c r="AW44" i="193"/>
  <c r="AV44" i="193"/>
  <c r="AU44" i="193"/>
  <c r="AT44" i="193"/>
  <c r="AS44" i="193"/>
  <c r="AR44" i="193"/>
  <c r="AQ44" i="193"/>
  <c r="AP44" i="193"/>
  <c r="AO44" i="193"/>
  <c r="AN44" i="193"/>
  <c r="AM44" i="193"/>
  <c r="AL44" i="193"/>
  <c r="AK44" i="193"/>
  <c r="AJ44" i="193"/>
  <c r="AI44" i="193"/>
  <c r="AH44" i="193"/>
  <c r="AG44" i="193"/>
  <c r="AF44" i="193"/>
  <c r="AE44" i="193"/>
  <c r="AD44" i="193"/>
  <c r="AC44" i="193"/>
  <c r="AB44" i="193"/>
  <c r="AA44" i="193"/>
  <c r="Z44" i="193"/>
  <c r="Y44" i="193"/>
  <c r="X44" i="193"/>
  <c r="W44" i="193"/>
  <c r="V44" i="193"/>
  <c r="U44" i="193"/>
  <c r="T44" i="193"/>
  <c r="S44" i="193"/>
  <c r="R44" i="193"/>
  <c r="Q44" i="193"/>
  <c r="P44" i="193"/>
  <c r="O44" i="193"/>
  <c r="N44" i="193"/>
  <c r="M44" i="193"/>
  <c r="L44" i="193"/>
  <c r="K44" i="193"/>
  <c r="I44" i="193"/>
  <c r="H44" i="193"/>
  <c r="G44" i="193"/>
  <c r="F44" i="193"/>
  <c r="E44" i="193"/>
  <c r="FX43" i="193"/>
  <c r="FW43" i="193"/>
  <c r="ET43" i="193"/>
  <c r="ES43" i="193"/>
  <c r="ER43" i="193" s="1"/>
  <c r="DS43" i="193"/>
  <c r="DS13" i="193" s="1"/>
  <c r="CR43" i="193"/>
  <c r="CK43" i="193"/>
  <c r="CJ43" i="193"/>
  <c r="CI43" i="193" s="1"/>
  <c r="BG43" i="193"/>
  <c r="BF43" i="193"/>
  <c r="AI43" i="193"/>
  <c r="AH43" i="193"/>
  <c r="AH41" i="193" s="1"/>
  <c r="AF43" i="193"/>
  <c r="AF41" i="193" s="1"/>
  <c r="E43" i="193"/>
  <c r="FX42" i="193"/>
  <c r="FX41" i="193"/>
  <c r="FW42" i="193"/>
  <c r="FW41" i="193" s="1"/>
  <c r="ET42" i="193"/>
  <c r="ES42" i="193"/>
  <c r="CW42" i="193"/>
  <c r="CR42" i="193"/>
  <c r="CK42" i="193"/>
  <c r="CK41" i="193" s="1"/>
  <c r="CJ42" i="193"/>
  <c r="BG42" i="193"/>
  <c r="BF42" i="193"/>
  <c r="J42" i="193"/>
  <c r="E42" i="193"/>
  <c r="E41" i="193" s="1"/>
  <c r="GB41" i="193"/>
  <c r="GA41" i="193"/>
  <c r="FZ41" i="193"/>
  <c r="FY41" i="193"/>
  <c r="FU41" i="193"/>
  <c r="FT41" i="193"/>
  <c r="FS41" i="193"/>
  <c r="FR41" i="193"/>
  <c r="FQ41" i="193"/>
  <c r="FP41" i="193"/>
  <c r="FO41" i="193"/>
  <c r="FN41" i="193"/>
  <c r="FM41" i="193"/>
  <c r="FL41" i="193"/>
  <c r="FK41" i="193"/>
  <c r="FJ41" i="193"/>
  <c r="FI41" i="193"/>
  <c r="FH41" i="193"/>
  <c r="FG41" i="193"/>
  <c r="FF41" i="193"/>
  <c r="FE41" i="193"/>
  <c r="FD41" i="193"/>
  <c r="FC41" i="193"/>
  <c r="FB41" i="193"/>
  <c r="FA41" i="193"/>
  <c r="EZ41" i="193"/>
  <c r="EY41" i="193"/>
  <c r="EX41" i="193"/>
  <c r="EW41" i="193"/>
  <c r="EV41" i="193"/>
  <c r="EU41" i="193"/>
  <c r="ET41" i="193"/>
  <c r="ES41" i="193"/>
  <c r="EQ41" i="193"/>
  <c r="EP41" i="193"/>
  <c r="EO41" i="193"/>
  <c r="EN41" i="193"/>
  <c r="EM41" i="193"/>
  <c r="EL41" i="193"/>
  <c r="EK41" i="193"/>
  <c r="EJ41" i="193"/>
  <c r="EI41" i="193"/>
  <c r="EH41" i="193"/>
  <c r="EG41" i="193"/>
  <c r="EF41" i="193"/>
  <c r="EE41" i="193"/>
  <c r="ED41" i="193"/>
  <c r="EC41" i="193"/>
  <c r="EB41" i="193"/>
  <c r="EA41" i="193"/>
  <c r="DZ41" i="193"/>
  <c r="DY41" i="193"/>
  <c r="DX41" i="193"/>
  <c r="DW41" i="193"/>
  <c r="DV41" i="193"/>
  <c r="DU41" i="193"/>
  <c r="DT41" i="193"/>
  <c r="DR41" i="193"/>
  <c r="DQ41" i="193"/>
  <c r="DP41" i="193"/>
  <c r="DO41" i="193"/>
  <c r="DN41" i="193"/>
  <c r="DM41" i="193"/>
  <c r="DL41" i="193"/>
  <c r="DK41" i="193"/>
  <c r="DJ41" i="193"/>
  <c r="DI41" i="193"/>
  <c r="DH41" i="193"/>
  <c r="DG41" i="193"/>
  <c r="DF41" i="193"/>
  <c r="DE41" i="193"/>
  <c r="DD41" i="193"/>
  <c r="DC41" i="193"/>
  <c r="DB41" i="193"/>
  <c r="DA41" i="193"/>
  <c r="CZ41" i="193"/>
  <c r="CY41" i="193"/>
  <c r="CX41" i="193"/>
  <c r="CV41" i="193"/>
  <c r="CU41" i="193"/>
  <c r="CT41" i="193"/>
  <c r="CS41" i="193"/>
  <c r="CR41" i="193"/>
  <c r="CN41" i="193"/>
  <c r="CM41" i="193"/>
  <c r="CL41" i="193"/>
  <c r="CH41" i="193"/>
  <c r="CG41" i="193"/>
  <c r="CF41" i="193"/>
  <c r="CE41" i="193"/>
  <c r="CD41" i="193"/>
  <c r="CC41" i="193"/>
  <c r="CB41" i="193"/>
  <c r="CA41" i="193"/>
  <c r="BZ41" i="193"/>
  <c r="BY41" i="193"/>
  <c r="BX41" i="193"/>
  <c r="BW41" i="193"/>
  <c r="BV41" i="193"/>
  <c r="BU41" i="193"/>
  <c r="BT41" i="193"/>
  <c r="BS41" i="193"/>
  <c r="BR41" i="193"/>
  <c r="BQ41" i="193"/>
  <c r="BP41" i="193"/>
  <c r="BO41" i="193"/>
  <c r="BN41" i="193"/>
  <c r="BM41" i="193"/>
  <c r="BL41" i="193"/>
  <c r="BK41" i="193"/>
  <c r="BJ41" i="193"/>
  <c r="BI41" i="193"/>
  <c r="BH41" i="193"/>
  <c r="BD41" i="193"/>
  <c r="BC41" i="193"/>
  <c r="BB41" i="193"/>
  <c r="BA41" i="193"/>
  <c r="AZ41" i="193"/>
  <c r="AY41" i="193"/>
  <c r="AX41" i="193"/>
  <c r="AW41" i="193"/>
  <c r="AV41" i="193"/>
  <c r="AU41" i="193"/>
  <c r="AT41" i="193"/>
  <c r="AS41" i="193"/>
  <c r="AR41" i="193"/>
  <c r="AQ41" i="193"/>
  <c r="AP41" i="193"/>
  <c r="AO41" i="193"/>
  <c r="AN41" i="193"/>
  <c r="AM41" i="193"/>
  <c r="AL41" i="193"/>
  <c r="AK41" i="193"/>
  <c r="AJ41" i="193"/>
  <c r="AI41" i="193"/>
  <c r="AG41" i="193"/>
  <c r="AE41" i="193"/>
  <c r="AD41" i="193"/>
  <c r="AC41" i="193"/>
  <c r="AB41" i="193"/>
  <c r="AA41" i="193"/>
  <c r="Z41" i="193"/>
  <c r="Y41" i="193"/>
  <c r="X41" i="193"/>
  <c r="W41" i="193"/>
  <c r="V41" i="193"/>
  <c r="U41" i="193"/>
  <c r="T41" i="193"/>
  <c r="S41" i="193"/>
  <c r="R41" i="193"/>
  <c r="Q41" i="193"/>
  <c r="P41" i="193"/>
  <c r="O41" i="193"/>
  <c r="N41" i="193"/>
  <c r="M41" i="193"/>
  <c r="L41" i="193"/>
  <c r="K41" i="193"/>
  <c r="I41" i="193"/>
  <c r="H41" i="193"/>
  <c r="G41" i="193"/>
  <c r="F41" i="193"/>
  <c r="FX40" i="193"/>
  <c r="FW40" i="193"/>
  <c r="ET40" i="193"/>
  <c r="ES40" i="193"/>
  <c r="ER40" i="193" s="1"/>
  <c r="CW40" i="193"/>
  <c r="GE40" i="193" s="1"/>
  <c r="CR40" i="193"/>
  <c r="CK40" i="193"/>
  <c r="CI40" i="193" s="1"/>
  <c r="CJ40" i="193"/>
  <c r="BG40" i="193"/>
  <c r="BF40" i="193"/>
  <c r="J40" i="193"/>
  <c r="E40" i="193"/>
  <c r="FX39" i="193"/>
  <c r="FW39" i="193"/>
  <c r="FV39" i="193" s="1"/>
  <c r="ET39" i="193"/>
  <c r="ET38" i="193"/>
  <c r="ES39" i="193"/>
  <c r="CW39" i="193"/>
  <c r="CR39" i="193"/>
  <c r="CK39" i="193"/>
  <c r="CK38" i="193" s="1"/>
  <c r="CJ39" i="193"/>
  <c r="BG39" i="193"/>
  <c r="BF39" i="193"/>
  <c r="BF38" i="193" s="1"/>
  <c r="J39" i="193"/>
  <c r="E39" i="193"/>
  <c r="GB38" i="193"/>
  <c r="GA38" i="193"/>
  <c r="FZ38" i="193"/>
  <c r="FY38" i="193"/>
  <c r="FU38" i="193"/>
  <c r="FT38" i="193"/>
  <c r="FS38" i="193"/>
  <c r="FR38" i="193"/>
  <c r="FQ38" i="193"/>
  <c r="FP38" i="193"/>
  <c r="FO38" i="193"/>
  <c r="FN38" i="193"/>
  <c r="FM38" i="193"/>
  <c r="FL38" i="193"/>
  <c r="FK38" i="193"/>
  <c r="FJ38" i="193"/>
  <c r="FI38" i="193"/>
  <c r="FH38" i="193"/>
  <c r="FG38" i="193"/>
  <c r="FF38" i="193"/>
  <c r="FE38" i="193"/>
  <c r="FD38" i="193"/>
  <c r="FC38" i="193"/>
  <c r="FB38" i="193"/>
  <c r="FA38" i="193"/>
  <c r="EZ38" i="193"/>
  <c r="EY38" i="193"/>
  <c r="EX38" i="193"/>
  <c r="EW38" i="193"/>
  <c r="EV38" i="193"/>
  <c r="EU38" i="193"/>
  <c r="EQ38" i="193"/>
  <c r="EP38" i="193"/>
  <c r="EO38" i="193"/>
  <c r="EN38" i="193"/>
  <c r="EM38" i="193"/>
  <c r="EL38" i="193"/>
  <c r="EK38" i="193"/>
  <c r="EJ38" i="193"/>
  <c r="EI38" i="193"/>
  <c r="EH38" i="193"/>
  <c r="EG38" i="193"/>
  <c r="EF38" i="193"/>
  <c r="EE38" i="193"/>
  <c r="ED38" i="193"/>
  <c r="EC38" i="193"/>
  <c r="EB38" i="193"/>
  <c r="EA38" i="193"/>
  <c r="DZ38" i="193"/>
  <c r="DY38" i="193"/>
  <c r="DX38" i="193"/>
  <c r="DW38" i="193"/>
  <c r="DV38" i="193"/>
  <c r="DU38" i="193"/>
  <c r="DT38" i="193"/>
  <c r="DS38" i="193"/>
  <c r="DR38" i="193"/>
  <c r="DQ38" i="193"/>
  <c r="DP38" i="193"/>
  <c r="DO38" i="193"/>
  <c r="DN38" i="193"/>
  <c r="DM38" i="193"/>
  <c r="DL38" i="193"/>
  <c r="DK38" i="193"/>
  <c r="DJ38" i="193"/>
  <c r="DI38" i="193"/>
  <c r="DH38" i="193"/>
  <c r="DG38" i="193"/>
  <c r="DF38" i="193"/>
  <c r="DE38" i="193"/>
  <c r="DD38" i="193"/>
  <c r="DC38" i="193"/>
  <c r="DB38" i="193"/>
  <c r="DA38" i="193"/>
  <c r="CZ38" i="193"/>
  <c r="CY38" i="193"/>
  <c r="CX38" i="193"/>
  <c r="CV38" i="193"/>
  <c r="CU38" i="193"/>
  <c r="CT38" i="193"/>
  <c r="CS38" i="193"/>
  <c r="CN38" i="193"/>
  <c r="CM38" i="193"/>
  <c r="CL38" i="193"/>
  <c r="CH38" i="193"/>
  <c r="CG38" i="193"/>
  <c r="CF38" i="193"/>
  <c r="CE38" i="193"/>
  <c r="CD38" i="193"/>
  <c r="CC38" i="193"/>
  <c r="CB38" i="193"/>
  <c r="CA38" i="193"/>
  <c r="BZ38" i="193"/>
  <c r="BY38" i="193"/>
  <c r="BX38" i="193"/>
  <c r="BW38" i="193"/>
  <c r="BV38" i="193"/>
  <c r="BU38" i="193"/>
  <c r="BT38" i="193"/>
  <c r="BS38" i="193"/>
  <c r="BR38" i="193"/>
  <c r="BQ38" i="193"/>
  <c r="BP38" i="193"/>
  <c r="BO38" i="193"/>
  <c r="BN38" i="193"/>
  <c r="BM38" i="193"/>
  <c r="BL38" i="193"/>
  <c r="BK38" i="193"/>
  <c r="BJ38" i="193"/>
  <c r="BI38" i="193"/>
  <c r="BH38" i="193"/>
  <c r="BG38" i="193"/>
  <c r="BD38" i="193"/>
  <c r="BC38" i="193"/>
  <c r="BB38" i="193"/>
  <c r="BA38" i="193"/>
  <c r="AZ38" i="193"/>
  <c r="AY38" i="193"/>
  <c r="AX38" i="193"/>
  <c r="AW38" i="193"/>
  <c r="AV38" i="193"/>
  <c r="AU38" i="193"/>
  <c r="AT38" i="193"/>
  <c r="AS38" i="193"/>
  <c r="AR38" i="193"/>
  <c r="AQ38" i="193"/>
  <c r="AP38" i="193"/>
  <c r="AO38" i="193"/>
  <c r="AN38" i="193"/>
  <c r="AM38" i="193"/>
  <c r="AL38" i="193"/>
  <c r="AK38" i="193"/>
  <c r="AJ38" i="193"/>
  <c r="AI38" i="193"/>
  <c r="AH38" i="193"/>
  <c r="AG38" i="193"/>
  <c r="AF38" i="193"/>
  <c r="AE38" i="193"/>
  <c r="AD38" i="193"/>
  <c r="AC38" i="193"/>
  <c r="AB38" i="193"/>
  <c r="AA38" i="193"/>
  <c r="Z38" i="193"/>
  <c r="Y38" i="193"/>
  <c r="X38" i="193"/>
  <c r="W38" i="193"/>
  <c r="V38" i="193"/>
  <c r="U38" i="193"/>
  <c r="T38" i="193"/>
  <c r="S38" i="193"/>
  <c r="R38" i="193"/>
  <c r="Q38" i="193"/>
  <c r="P38" i="193"/>
  <c r="O38" i="193"/>
  <c r="N38" i="193"/>
  <c r="M38" i="193"/>
  <c r="L38" i="193"/>
  <c r="K38" i="193"/>
  <c r="I38" i="193"/>
  <c r="H38" i="193"/>
  <c r="G38" i="193"/>
  <c r="F38" i="193"/>
  <c r="FX37" i="193"/>
  <c r="FV37" i="193" s="1"/>
  <c r="FW37" i="193"/>
  <c r="ET37" i="193"/>
  <c r="ES37" i="193"/>
  <c r="ER37" i="193" s="1"/>
  <c r="CZ37" i="193"/>
  <c r="CW37" i="193"/>
  <c r="CR37" i="193"/>
  <c r="CK37" i="193"/>
  <c r="CJ37" i="193"/>
  <c r="BG37" i="193"/>
  <c r="BF37" i="193"/>
  <c r="M37" i="193"/>
  <c r="J37" i="193" s="1"/>
  <c r="E37" i="193"/>
  <c r="FX36" i="193"/>
  <c r="FX35" i="193" s="1"/>
  <c r="FW36" i="193"/>
  <c r="FW35" i="193"/>
  <c r="ET36" i="193"/>
  <c r="ER36" i="193" s="1"/>
  <c r="ES36" i="193"/>
  <c r="CW36" i="193"/>
  <c r="CW35" i="193" s="1"/>
  <c r="CR36" i="193"/>
  <c r="CR35" i="193" s="1"/>
  <c r="CK36" i="193"/>
  <c r="CK35" i="193" s="1"/>
  <c r="CJ36" i="193"/>
  <c r="BG36" i="193"/>
  <c r="BG35" i="193" s="1"/>
  <c r="BF36" i="193"/>
  <c r="J36" i="193"/>
  <c r="E36" i="193"/>
  <c r="GB35" i="193"/>
  <c r="GA35" i="193"/>
  <c r="FZ35" i="193"/>
  <c r="FY35" i="193"/>
  <c r="FU35" i="193"/>
  <c r="FT35" i="193"/>
  <c r="FS35" i="193"/>
  <c r="FR35" i="193"/>
  <c r="FQ35" i="193"/>
  <c r="FP35" i="193"/>
  <c r="FO35" i="193"/>
  <c r="FN35" i="193"/>
  <c r="FM35" i="193"/>
  <c r="FL35" i="193"/>
  <c r="FK35" i="193"/>
  <c r="FJ35" i="193"/>
  <c r="FI35" i="193"/>
  <c r="FH35" i="193"/>
  <c r="FG35" i="193"/>
  <c r="FF35" i="193"/>
  <c r="FE35" i="193"/>
  <c r="FD35" i="193"/>
  <c r="FC35" i="193"/>
  <c r="FB35" i="193"/>
  <c r="FA35" i="193"/>
  <c r="EZ35" i="193"/>
  <c r="EY35" i="193"/>
  <c r="EX35" i="193"/>
  <c r="EW35" i="193"/>
  <c r="EV35" i="193"/>
  <c r="EU35" i="193"/>
  <c r="ES35" i="193"/>
  <c r="EQ35" i="193"/>
  <c r="EP35" i="193"/>
  <c r="EO35" i="193"/>
  <c r="EN35" i="193"/>
  <c r="EM35" i="193"/>
  <c r="EL35" i="193"/>
  <c r="EK35" i="193"/>
  <c r="EJ35" i="193"/>
  <c r="EI35" i="193"/>
  <c r="EH35" i="193"/>
  <c r="EG35" i="193"/>
  <c r="EF35" i="193"/>
  <c r="EE35" i="193"/>
  <c r="ED35" i="193"/>
  <c r="EC35" i="193"/>
  <c r="EB35" i="193"/>
  <c r="EA35" i="193"/>
  <c r="DZ35" i="193"/>
  <c r="DY35" i="193"/>
  <c r="DX35" i="193"/>
  <c r="DW35" i="193"/>
  <c r="DV35" i="193"/>
  <c r="DU35" i="193"/>
  <c r="DT35" i="193"/>
  <c r="DS35" i="193"/>
  <c r="DR35" i="193"/>
  <c r="DQ35" i="193"/>
  <c r="DP35" i="193"/>
  <c r="DO35" i="193"/>
  <c r="DN35" i="193"/>
  <c r="DM35" i="193"/>
  <c r="DL35" i="193"/>
  <c r="DK35" i="193"/>
  <c r="DJ35" i="193"/>
  <c r="DI35" i="193"/>
  <c r="DH35" i="193"/>
  <c r="DG35" i="193"/>
  <c r="DF35" i="193"/>
  <c r="DE35" i="193"/>
  <c r="DD35" i="193"/>
  <c r="DC35" i="193"/>
  <c r="DB35" i="193"/>
  <c r="DA35" i="193"/>
  <c r="CY35" i="193"/>
  <c r="CX35" i="193"/>
  <c r="CV35" i="193"/>
  <c r="CU35" i="193"/>
  <c r="CT35" i="193"/>
  <c r="CS35" i="193"/>
  <c r="CN35" i="193"/>
  <c r="CM35" i="193"/>
  <c r="CL35" i="193"/>
  <c r="CH35" i="193"/>
  <c r="CG35" i="193"/>
  <c r="CF35" i="193"/>
  <c r="CE35" i="193"/>
  <c r="CD35" i="193"/>
  <c r="CC35" i="193"/>
  <c r="CB35" i="193"/>
  <c r="CA35" i="193"/>
  <c r="BZ35" i="193"/>
  <c r="BY35" i="193"/>
  <c r="BX35" i="193"/>
  <c r="BW35" i="193"/>
  <c r="BV35" i="193"/>
  <c r="BU35" i="193"/>
  <c r="BT35" i="193"/>
  <c r="BS35" i="193"/>
  <c r="BR35" i="193"/>
  <c r="BQ35" i="193"/>
  <c r="BP35" i="193"/>
  <c r="BO35" i="193"/>
  <c r="BN35" i="193"/>
  <c r="BM35" i="193"/>
  <c r="BL35" i="193"/>
  <c r="BK35" i="193"/>
  <c r="BJ35" i="193"/>
  <c r="BI35" i="193"/>
  <c r="BH35" i="193"/>
  <c r="BD35" i="193"/>
  <c r="BC35" i="193"/>
  <c r="BB35" i="193"/>
  <c r="BA35" i="193"/>
  <c r="AZ35" i="193"/>
  <c r="AY35" i="193"/>
  <c r="AX35" i="193"/>
  <c r="AW35" i="193"/>
  <c r="AV35" i="193"/>
  <c r="AU35" i="193"/>
  <c r="AT35" i="193"/>
  <c r="AS35" i="193"/>
  <c r="AR35" i="193"/>
  <c r="AQ35" i="193"/>
  <c r="AP35" i="193"/>
  <c r="AO35" i="193"/>
  <c r="AN35" i="193"/>
  <c r="AM35" i="193"/>
  <c r="AL35" i="193"/>
  <c r="AK35" i="193"/>
  <c r="AJ35" i="193"/>
  <c r="AI35" i="193"/>
  <c r="AH35" i="193"/>
  <c r="AG35" i="193"/>
  <c r="AF35" i="193"/>
  <c r="AE35" i="193"/>
  <c r="AD35" i="193"/>
  <c r="AC35" i="193"/>
  <c r="AB35" i="193"/>
  <c r="AA35" i="193"/>
  <c r="Z35" i="193"/>
  <c r="Y35" i="193"/>
  <c r="X35" i="193"/>
  <c r="W35" i="193"/>
  <c r="V35" i="193"/>
  <c r="U35" i="193"/>
  <c r="T35" i="193"/>
  <c r="S35" i="193"/>
  <c r="R35" i="193"/>
  <c r="Q35" i="193"/>
  <c r="P35" i="193"/>
  <c r="O35" i="193"/>
  <c r="N35" i="193"/>
  <c r="L35" i="193"/>
  <c r="K35" i="193"/>
  <c r="I35" i="193"/>
  <c r="H35" i="193"/>
  <c r="G35" i="193"/>
  <c r="F35" i="193"/>
  <c r="FX34" i="193"/>
  <c r="FW34" i="193"/>
  <c r="ET34" i="193"/>
  <c r="ES34" i="193"/>
  <c r="CW34" i="193"/>
  <c r="GE34" i="193" s="1"/>
  <c r="CR34" i="193"/>
  <c r="CK34" i="193"/>
  <c r="CJ34" i="193"/>
  <c r="BG34" i="193"/>
  <c r="BF34" i="193"/>
  <c r="J34" i="193"/>
  <c r="E34" i="193"/>
  <c r="FX33" i="193"/>
  <c r="FV33" i="193" s="1"/>
  <c r="FW33" i="193"/>
  <c r="FW32" i="193" s="1"/>
  <c r="ET33" i="193"/>
  <c r="ES33" i="193"/>
  <c r="ER33" i="193" s="1"/>
  <c r="CW33" i="193"/>
  <c r="CW32" i="193" s="1"/>
  <c r="CR33" i="193"/>
  <c r="CK33" i="193"/>
  <c r="CK32" i="193" s="1"/>
  <c r="CJ33" i="193"/>
  <c r="BG33" i="193"/>
  <c r="BF33" i="193"/>
  <c r="J33" i="193"/>
  <c r="J32" i="193" s="1"/>
  <c r="E33" i="193"/>
  <c r="D33" i="193" s="1"/>
  <c r="GB32" i="193"/>
  <c r="GA32" i="193"/>
  <c r="FZ32" i="193"/>
  <c r="FY32" i="193"/>
  <c r="FU32" i="193"/>
  <c r="FT32" i="193"/>
  <c r="FS32" i="193"/>
  <c r="FR32" i="193"/>
  <c r="FQ32" i="193"/>
  <c r="FP32" i="193"/>
  <c r="FO32" i="193"/>
  <c r="FN32" i="193"/>
  <c r="FM32" i="193"/>
  <c r="FL32" i="193"/>
  <c r="FK32" i="193"/>
  <c r="FJ32" i="193"/>
  <c r="FI32" i="193"/>
  <c r="FH32" i="193"/>
  <c r="FG32" i="193"/>
  <c r="FF32" i="193"/>
  <c r="FE32" i="193"/>
  <c r="FD32" i="193"/>
  <c r="FC32" i="193"/>
  <c r="FB32" i="193"/>
  <c r="FA32" i="193"/>
  <c r="EZ32" i="193"/>
  <c r="EY32" i="193"/>
  <c r="EX32" i="193"/>
  <c r="EW32" i="193"/>
  <c r="EV32" i="193"/>
  <c r="EU32" i="193"/>
  <c r="EQ32" i="193"/>
  <c r="EP32" i="193"/>
  <c r="EO32" i="193"/>
  <c r="EN32" i="193"/>
  <c r="EM32" i="193"/>
  <c r="EL32" i="193"/>
  <c r="EK32" i="193"/>
  <c r="EJ32" i="193"/>
  <c r="EI32" i="193"/>
  <c r="EH32" i="193"/>
  <c r="EG32" i="193"/>
  <c r="EF32" i="193"/>
  <c r="EE32" i="193"/>
  <c r="ED32" i="193"/>
  <c r="EC32" i="193"/>
  <c r="EB32" i="193"/>
  <c r="EA32" i="193"/>
  <c r="DZ32" i="193"/>
  <c r="DY32" i="193"/>
  <c r="DX32" i="193"/>
  <c r="DW32" i="193"/>
  <c r="DV32" i="193"/>
  <c r="DU32" i="193"/>
  <c r="DT32" i="193"/>
  <c r="DS32" i="193"/>
  <c r="DR32" i="193"/>
  <c r="DQ32" i="193"/>
  <c r="DP32" i="193"/>
  <c r="DO32" i="193"/>
  <c r="DN32" i="193"/>
  <c r="DM32" i="193"/>
  <c r="DL32" i="193"/>
  <c r="DK32" i="193"/>
  <c r="DJ32" i="193"/>
  <c r="DI32" i="193"/>
  <c r="DH32" i="193"/>
  <c r="DG32" i="193"/>
  <c r="DF32" i="193"/>
  <c r="DE32" i="193"/>
  <c r="DD32" i="193"/>
  <c r="DC32" i="193"/>
  <c r="DB32" i="193"/>
  <c r="DA32" i="193"/>
  <c r="CZ32" i="193"/>
  <c r="CY32" i="193"/>
  <c r="CX32" i="193"/>
  <c r="CV32" i="193"/>
  <c r="CU32" i="193"/>
  <c r="CT32" i="193"/>
  <c r="CS32" i="193"/>
  <c r="CR32" i="193"/>
  <c r="CN32" i="193"/>
  <c r="CM32" i="193"/>
  <c r="CL32" i="193"/>
  <c r="CH32" i="193"/>
  <c r="CG32" i="193"/>
  <c r="CF32" i="193"/>
  <c r="CE32" i="193"/>
  <c r="CD32" i="193"/>
  <c r="CC32" i="193"/>
  <c r="CB32" i="193"/>
  <c r="CA32" i="193"/>
  <c r="BZ32" i="193"/>
  <c r="BY32" i="193"/>
  <c r="BX32" i="193"/>
  <c r="BW32" i="193"/>
  <c r="BV32" i="193"/>
  <c r="BU32" i="193"/>
  <c r="BT32" i="193"/>
  <c r="BS32" i="193"/>
  <c r="BR32" i="193"/>
  <c r="BQ32" i="193"/>
  <c r="BP32" i="193"/>
  <c r="BO32" i="193"/>
  <c r="BN32" i="193"/>
  <c r="BM32" i="193"/>
  <c r="BL32" i="193"/>
  <c r="BK32" i="193"/>
  <c r="BJ32" i="193"/>
  <c r="BI32" i="193"/>
  <c r="BH32" i="193"/>
  <c r="BD32" i="193"/>
  <c r="BC32" i="193"/>
  <c r="BB32" i="193"/>
  <c r="BA32" i="193"/>
  <c r="AZ32" i="193"/>
  <c r="AY32" i="193"/>
  <c r="AX32" i="193"/>
  <c r="AW32" i="193"/>
  <c r="AV32" i="193"/>
  <c r="AU32" i="193"/>
  <c r="AT32" i="193"/>
  <c r="AS32" i="193"/>
  <c r="AR32" i="193"/>
  <c r="AQ32" i="193"/>
  <c r="AP32" i="193"/>
  <c r="AO32" i="193"/>
  <c r="AN32" i="193"/>
  <c r="AM32" i="193"/>
  <c r="AL32" i="193"/>
  <c r="AK32" i="193"/>
  <c r="AJ32" i="193"/>
  <c r="AI32" i="193"/>
  <c r="AH32" i="193"/>
  <c r="AG32" i="193"/>
  <c r="AF32" i="193"/>
  <c r="AE32" i="193"/>
  <c r="AD32" i="193"/>
  <c r="AC32" i="193"/>
  <c r="AB32" i="193"/>
  <c r="AA32" i="193"/>
  <c r="Z32" i="193"/>
  <c r="Y32" i="193"/>
  <c r="X32" i="193"/>
  <c r="W32" i="193"/>
  <c r="V32" i="193"/>
  <c r="U32" i="193"/>
  <c r="T32" i="193"/>
  <c r="S32" i="193"/>
  <c r="R32" i="193"/>
  <c r="Q32" i="193"/>
  <c r="P32" i="193"/>
  <c r="O32" i="193"/>
  <c r="N32" i="193"/>
  <c r="M32" i="193"/>
  <c r="L32" i="193"/>
  <c r="K32" i="193"/>
  <c r="I32" i="193"/>
  <c r="H32" i="193"/>
  <c r="G32" i="193"/>
  <c r="F32" i="193"/>
  <c r="FX31" i="193"/>
  <c r="FW31" i="193"/>
  <c r="FV31" i="193" s="1"/>
  <c r="ET31" i="193"/>
  <c r="ES31" i="193"/>
  <c r="ER31" i="193" s="1"/>
  <c r="CW31" i="193"/>
  <c r="CR31" i="193"/>
  <c r="CQ31" i="193" s="1"/>
  <c r="CK31" i="193"/>
  <c r="CJ31" i="193"/>
  <c r="BG31" i="193"/>
  <c r="BE31" i="193" s="1"/>
  <c r="BF31" i="193"/>
  <c r="J31" i="193"/>
  <c r="GE31" i="193" s="1"/>
  <c r="E31" i="193"/>
  <c r="D31" i="193" s="1"/>
  <c r="FX30" i="193"/>
  <c r="FX29" i="193" s="1"/>
  <c r="FW30" i="193"/>
  <c r="ET30" i="193"/>
  <c r="ET29" i="193" s="1"/>
  <c r="ES30" i="193"/>
  <c r="ES29" i="193" s="1"/>
  <c r="CW30" i="193"/>
  <c r="CW29" i="193" s="1"/>
  <c r="CR30" i="193"/>
  <c r="CK30" i="193"/>
  <c r="CK29" i="193" s="1"/>
  <c r="CJ30" i="193"/>
  <c r="CJ29" i="193"/>
  <c r="BG30" i="193"/>
  <c r="BG29" i="193" s="1"/>
  <c r="BF30" i="193"/>
  <c r="J30" i="193"/>
  <c r="J29" i="193" s="1"/>
  <c r="E30" i="193"/>
  <c r="GB29" i="193"/>
  <c r="GA29" i="193"/>
  <c r="FZ29" i="193"/>
  <c r="FY29" i="193"/>
  <c r="FU29" i="193"/>
  <c r="FT29" i="193"/>
  <c r="FS29" i="193"/>
  <c r="FR29" i="193"/>
  <c r="FQ29" i="193"/>
  <c r="FP29" i="193"/>
  <c r="FO29" i="193"/>
  <c r="FN29" i="193"/>
  <c r="FM29" i="193"/>
  <c r="FL29" i="193"/>
  <c r="FK29" i="193"/>
  <c r="FJ29" i="193"/>
  <c r="FI29" i="193"/>
  <c r="FH29" i="193"/>
  <c r="FG29" i="193"/>
  <c r="FF29" i="193"/>
  <c r="FE29" i="193"/>
  <c r="FD29" i="193"/>
  <c r="FC29" i="193"/>
  <c r="FB29" i="193"/>
  <c r="FA29" i="193"/>
  <c r="EZ29" i="193"/>
  <c r="EY29" i="193"/>
  <c r="EX29" i="193"/>
  <c r="EW29" i="193"/>
  <c r="EV29" i="193"/>
  <c r="EU29" i="193"/>
  <c r="EQ29" i="193"/>
  <c r="EP29" i="193"/>
  <c r="EO29" i="193"/>
  <c r="EN29" i="193"/>
  <c r="EM29" i="193"/>
  <c r="EL29" i="193"/>
  <c r="EK29" i="193"/>
  <c r="EJ29" i="193"/>
  <c r="EI29" i="193"/>
  <c r="EH29" i="193"/>
  <c r="EG29" i="193"/>
  <c r="EF29" i="193"/>
  <c r="EE29" i="193"/>
  <c r="ED29" i="193"/>
  <c r="EC29" i="193"/>
  <c r="EB29" i="193"/>
  <c r="EA29" i="193"/>
  <c r="DZ29" i="193"/>
  <c r="DY29" i="193"/>
  <c r="DX29" i="193"/>
  <c r="DW29" i="193"/>
  <c r="DV29" i="193"/>
  <c r="DU29" i="193"/>
  <c r="DT29" i="193"/>
  <c r="DS29" i="193"/>
  <c r="DR29" i="193"/>
  <c r="DQ29" i="193"/>
  <c r="DP29" i="193"/>
  <c r="DO29" i="193"/>
  <c r="DN29" i="193"/>
  <c r="DM29" i="193"/>
  <c r="DL29" i="193"/>
  <c r="DK29" i="193"/>
  <c r="DJ29" i="193"/>
  <c r="DI29" i="193"/>
  <c r="DH29" i="193"/>
  <c r="DG29" i="193"/>
  <c r="DF29" i="193"/>
  <c r="DE29" i="193"/>
  <c r="DD29" i="193"/>
  <c r="DC29" i="193"/>
  <c r="DB29" i="193"/>
  <c r="DA29" i="193"/>
  <c r="CZ29" i="193"/>
  <c r="CY29" i="193"/>
  <c r="CX29" i="193"/>
  <c r="CV29" i="193"/>
  <c r="CU29" i="193"/>
  <c r="CT29" i="193"/>
  <c r="CS29" i="193"/>
  <c r="CN29" i="193"/>
  <c r="CM29" i="193"/>
  <c r="CL29" i="193"/>
  <c r="CH29" i="193"/>
  <c r="CG29" i="193"/>
  <c r="CF29" i="193"/>
  <c r="CE29" i="193"/>
  <c r="CD29" i="193"/>
  <c r="CC29" i="193"/>
  <c r="CB29" i="193"/>
  <c r="CA29" i="193"/>
  <c r="BZ29" i="193"/>
  <c r="BY29" i="193"/>
  <c r="BX29" i="193"/>
  <c r="BW29" i="193"/>
  <c r="BV29" i="193"/>
  <c r="BU29" i="193"/>
  <c r="BT29" i="193"/>
  <c r="BS29" i="193"/>
  <c r="BR29" i="193"/>
  <c r="BQ29" i="193"/>
  <c r="BP29" i="193"/>
  <c r="BO29" i="193"/>
  <c r="BN29" i="193"/>
  <c r="BM29" i="193"/>
  <c r="BL29" i="193"/>
  <c r="BK29" i="193"/>
  <c r="BJ29" i="193"/>
  <c r="BI29" i="193"/>
  <c r="BH29" i="193"/>
  <c r="BD29" i="193"/>
  <c r="BC29" i="193"/>
  <c r="BB29" i="193"/>
  <c r="BA29" i="193"/>
  <c r="AZ29" i="193"/>
  <c r="AY29" i="193"/>
  <c r="AX29" i="193"/>
  <c r="AW29" i="193"/>
  <c r="AV29" i="193"/>
  <c r="AU29" i="193"/>
  <c r="AT29" i="193"/>
  <c r="AS29" i="193"/>
  <c r="AR29" i="193"/>
  <c r="AQ29" i="193"/>
  <c r="AP29" i="193"/>
  <c r="AO29" i="193"/>
  <c r="AN29" i="193"/>
  <c r="AM29" i="193"/>
  <c r="AL29" i="193"/>
  <c r="AK29" i="193"/>
  <c r="AJ29" i="193"/>
  <c r="AI29" i="193"/>
  <c r="AH29" i="193"/>
  <c r="AG29" i="193"/>
  <c r="AF29" i="193"/>
  <c r="AE29" i="193"/>
  <c r="AD29" i="193"/>
  <c r="AC29" i="193"/>
  <c r="AB29" i="193"/>
  <c r="AA29" i="193"/>
  <c r="Z29" i="193"/>
  <c r="Y29" i="193"/>
  <c r="X29" i="193"/>
  <c r="W29" i="193"/>
  <c r="V29" i="193"/>
  <c r="U29" i="193"/>
  <c r="T29" i="193"/>
  <c r="S29" i="193"/>
  <c r="R29" i="193"/>
  <c r="Q29" i="193"/>
  <c r="P29" i="193"/>
  <c r="O29" i="193"/>
  <c r="N29" i="193"/>
  <c r="M29" i="193"/>
  <c r="L29" i="193"/>
  <c r="K29" i="193"/>
  <c r="I29" i="193"/>
  <c r="H29" i="193"/>
  <c r="G29" i="193"/>
  <c r="F29" i="193"/>
  <c r="FX28" i="193"/>
  <c r="FW28" i="193"/>
  <c r="ET28" i="193"/>
  <c r="ET26" i="193" s="1"/>
  <c r="ES28" i="193"/>
  <c r="CW28" i="193"/>
  <c r="CR28" i="193"/>
  <c r="CQ28" i="193" s="1"/>
  <c r="CK28" i="193"/>
  <c r="CJ28" i="193"/>
  <c r="CI28" i="193" s="1"/>
  <c r="BG28" i="193"/>
  <c r="BF28" i="193"/>
  <c r="J28" i="193"/>
  <c r="E28" i="193"/>
  <c r="FX27" i="193"/>
  <c r="FX26" i="193" s="1"/>
  <c r="FW27" i="193"/>
  <c r="ET27" i="193"/>
  <c r="ES27" i="193"/>
  <c r="ER27" i="193" s="1"/>
  <c r="CW27" i="193"/>
  <c r="CR27" i="193"/>
  <c r="CQ27" i="193"/>
  <c r="CK27" i="193"/>
  <c r="CJ27" i="193"/>
  <c r="CI27" i="193" s="1"/>
  <c r="CI26" i="193" s="1"/>
  <c r="BG27" i="193"/>
  <c r="BF27" i="193"/>
  <c r="BF26" i="193" s="1"/>
  <c r="J27" i="193"/>
  <c r="J26" i="193" s="1"/>
  <c r="E27" i="193"/>
  <c r="E26" i="193"/>
  <c r="GB26" i="193"/>
  <c r="GA26" i="193"/>
  <c r="FZ26" i="193"/>
  <c r="FY26" i="193"/>
  <c r="FU26" i="193"/>
  <c r="FT26" i="193"/>
  <c r="FS26" i="193"/>
  <c r="FR26" i="193"/>
  <c r="FQ26" i="193"/>
  <c r="FQ11" i="193" s="1"/>
  <c r="FP26" i="193"/>
  <c r="FO26" i="193"/>
  <c r="FN26" i="193"/>
  <c r="FM26" i="193"/>
  <c r="FL26" i="193"/>
  <c r="FK26" i="193"/>
  <c r="FJ26" i="193"/>
  <c r="FI26" i="193"/>
  <c r="FH26" i="193"/>
  <c r="FG26" i="193"/>
  <c r="FF26" i="193"/>
  <c r="FE26" i="193"/>
  <c r="FE11" i="193" s="1"/>
  <c r="FD26" i="193"/>
  <c r="FC26" i="193"/>
  <c r="FB26" i="193"/>
  <c r="FA26" i="193"/>
  <c r="EZ26" i="193"/>
  <c r="EY26" i="193"/>
  <c r="EX26" i="193"/>
  <c r="EW26" i="193"/>
  <c r="EV26" i="193"/>
  <c r="EU26" i="193"/>
  <c r="EQ26" i="193"/>
  <c r="EP26" i="193"/>
  <c r="EO26" i="193"/>
  <c r="EN26" i="193"/>
  <c r="EM26" i="193"/>
  <c r="EL26" i="193"/>
  <c r="EK26" i="193"/>
  <c r="EJ26" i="193"/>
  <c r="EI26" i="193"/>
  <c r="EH26" i="193"/>
  <c r="EG26" i="193"/>
  <c r="EF26" i="193"/>
  <c r="EE26" i="193"/>
  <c r="ED26" i="193"/>
  <c r="EC26" i="193"/>
  <c r="EB26" i="193"/>
  <c r="EA26" i="193"/>
  <c r="DZ26" i="193"/>
  <c r="DY26" i="193"/>
  <c r="DX26" i="193"/>
  <c r="DW26" i="193"/>
  <c r="DV26" i="193"/>
  <c r="DU26" i="193"/>
  <c r="DT26" i="193"/>
  <c r="DS26" i="193"/>
  <c r="DR26" i="193"/>
  <c r="DQ26" i="193"/>
  <c r="DP26" i="193"/>
  <c r="DO26" i="193"/>
  <c r="DN26" i="193"/>
  <c r="DM26" i="193"/>
  <c r="DL26" i="193"/>
  <c r="DK26" i="193"/>
  <c r="DJ26" i="193"/>
  <c r="DI26" i="193"/>
  <c r="DH26" i="193"/>
  <c r="DG26" i="193"/>
  <c r="DF26" i="193"/>
  <c r="DE26" i="193"/>
  <c r="DD26" i="193"/>
  <c r="DC26" i="193"/>
  <c r="DB26" i="193"/>
  <c r="DA26" i="193"/>
  <c r="CZ26" i="193"/>
  <c r="CY26" i="193"/>
  <c r="CX26" i="193"/>
  <c r="CW26" i="193"/>
  <c r="CV26" i="193"/>
  <c r="CU26" i="193"/>
  <c r="CT26" i="193"/>
  <c r="CS26" i="193"/>
  <c r="CN26" i="193"/>
  <c r="CM26" i="193"/>
  <c r="CL26" i="193"/>
  <c r="CJ26" i="193"/>
  <c r="CH26" i="193"/>
  <c r="CG26" i="193"/>
  <c r="CF26" i="193"/>
  <c r="CE26" i="193"/>
  <c r="CD26" i="193"/>
  <c r="CC26" i="193"/>
  <c r="CB26" i="193"/>
  <c r="CA26" i="193"/>
  <c r="BZ26" i="193"/>
  <c r="BY26" i="193"/>
  <c r="BX26" i="193"/>
  <c r="BW26" i="193"/>
  <c r="BV26" i="193"/>
  <c r="BU26" i="193"/>
  <c r="BT26" i="193"/>
  <c r="BS26" i="193"/>
  <c r="BR26" i="193"/>
  <c r="BQ26" i="193"/>
  <c r="BP26" i="193"/>
  <c r="BO26" i="193"/>
  <c r="BN26" i="193"/>
  <c r="BM26" i="193"/>
  <c r="BL26" i="193"/>
  <c r="BK26" i="193"/>
  <c r="BJ26" i="193"/>
  <c r="BI26" i="193"/>
  <c r="BH26" i="193"/>
  <c r="BD26" i="193"/>
  <c r="BC26" i="193"/>
  <c r="BB26" i="193"/>
  <c r="BA26" i="193"/>
  <c r="AZ26" i="193"/>
  <c r="AY26" i="193"/>
  <c r="AX26" i="193"/>
  <c r="AW26" i="193"/>
  <c r="AV26" i="193"/>
  <c r="AU26" i="193"/>
  <c r="AT26" i="193"/>
  <c r="AS26" i="193"/>
  <c r="AR26" i="193"/>
  <c r="AQ26" i="193"/>
  <c r="AP26" i="193"/>
  <c r="AO26" i="193"/>
  <c r="AN26" i="193"/>
  <c r="AM26" i="193"/>
  <c r="AL26" i="193"/>
  <c r="AK26" i="193"/>
  <c r="AJ26" i="193"/>
  <c r="AI26" i="193"/>
  <c r="AH26" i="193"/>
  <c r="AG26" i="193"/>
  <c r="AF26" i="193"/>
  <c r="AE26" i="193"/>
  <c r="AD26" i="193"/>
  <c r="AC26" i="193"/>
  <c r="AB26" i="193"/>
  <c r="AA26" i="193"/>
  <c r="Z26" i="193"/>
  <c r="Y26" i="193"/>
  <c r="X26" i="193"/>
  <c r="W26" i="193"/>
  <c r="V26" i="193"/>
  <c r="U26" i="193"/>
  <c r="T26" i="193"/>
  <c r="S26" i="193"/>
  <c r="R26" i="193"/>
  <c r="Q26" i="193"/>
  <c r="P26" i="193"/>
  <c r="O26" i="193"/>
  <c r="N26" i="193"/>
  <c r="M26" i="193"/>
  <c r="L26" i="193"/>
  <c r="K26" i="193"/>
  <c r="I26" i="193"/>
  <c r="H26" i="193"/>
  <c r="G26" i="193"/>
  <c r="F26" i="193"/>
  <c r="GB25" i="193"/>
  <c r="GB23" i="193" s="1"/>
  <c r="FX25" i="193"/>
  <c r="FW25" i="193"/>
  <c r="FU25" i="193"/>
  <c r="FT25" i="193"/>
  <c r="ET25" i="193"/>
  <c r="ES25" i="193"/>
  <c r="EN25" i="193"/>
  <c r="EI25" i="193"/>
  <c r="EI23" i="193" s="1"/>
  <c r="CR25" i="193"/>
  <c r="CK25" i="193"/>
  <c r="CJ25" i="193"/>
  <c r="CH25" i="193"/>
  <c r="CH23" i="193" s="1"/>
  <c r="BG25" i="193"/>
  <c r="BF25" i="193"/>
  <c r="BA25" i="193"/>
  <c r="AV25" i="193"/>
  <c r="AV23" i="193" s="1"/>
  <c r="E25" i="193"/>
  <c r="FX24" i="193"/>
  <c r="FW24" i="193"/>
  <c r="FV24" i="193" s="1"/>
  <c r="ET24" i="193"/>
  <c r="ES24" i="193"/>
  <c r="CW24" i="193"/>
  <c r="CR24" i="193"/>
  <c r="CK24" i="193"/>
  <c r="CJ24" i="193"/>
  <c r="BG24" i="193"/>
  <c r="BF24" i="193"/>
  <c r="BF23" i="193" s="1"/>
  <c r="J24" i="193"/>
  <c r="E24" i="193"/>
  <c r="D24" i="193"/>
  <c r="GA23" i="193"/>
  <c r="FZ23" i="193"/>
  <c r="FY23" i="193"/>
  <c r="FX23" i="193"/>
  <c r="FU23" i="193"/>
  <c r="FT23" i="193"/>
  <c r="FS23" i="193"/>
  <c r="FR23" i="193"/>
  <c r="FQ23" i="193"/>
  <c r="FP23" i="193"/>
  <c r="FO23" i="193"/>
  <c r="FN23" i="193"/>
  <c r="FM23" i="193"/>
  <c r="FL23" i="193"/>
  <c r="FK23" i="193"/>
  <c r="FJ23" i="193"/>
  <c r="FI23" i="193"/>
  <c r="FH23" i="193"/>
  <c r="FG23" i="193"/>
  <c r="FF23" i="193"/>
  <c r="FE23" i="193"/>
  <c r="FD23" i="193"/>
  <c r="FC23" i="193"/>
  <c r="FB23" i="193"/>
  <c r="FA23" i="193"/>
  <c r="EZ23" i="193"/>
  <c r="EY23" i="193"/>
  <c r="EX23" i="193"/>
  <c r="EW23" i="193"/>
  <c r="EV23" i="193"/>
  <c r="EU23" i="193"/>
  <c r="EQ23" i="193"/>
  <c r="EP23" i="193"/>
  <c r="EO23" i="193"/>
  <c r="EN23" i="193"/>
  <c r="EM23" i="193"/>
  <c r="EL23" i="193"/>
  <c r="EK23" i="193"/>
  <c r="EJ23" i="193"/>
  <c r="EH23" i="193"/>
  <c r="EG23" i="193"/>
  <c r="EF23" i="193"/>
  <c r="EE23" i="193"/>
  <c r="ED23" i="193"/>
  <c r="EC23" i="193"/>
  <c r="EB23" i="193"/>
  <c r="EA23" i="193"/>
  <c r="DZ23" i="193"/>
  <c r="DY23" i="193"/>
  <c r="DX23" i="193"/>
  <c r="DW23" i="193"/>
  <c r="DV23" i="193"/>
  <c r="DU23" i="193"/>
  <c r="DT23" i="193"/>
  <c r="DS23" i="193"/>
  <c r="DR23" i="193"/>
  <c r="DQ23" i="193"/>
  <c r="DP23" i="193"/>
  <c r="DO23" i="193"/>
  <c r="DN23" i="193"/>
  <c r="DM23" i="193"/>
  <c r="DL23" i="193"/>
  <c r="DK23" i="193"/>
  <c r="DJ23" i="193"/>
  <c r="DI23" i="193"/>
  <c r="DH23" i="193"/>
  <c r="DG23" i="193"/>
  <c r="DF23" i="193"/>
  <c r="DE23" i="193"/>
  <c r="DD23" i="193"/>
  <c r="DC23" i="193"/>
  <c r="DB23" i="193"/>
  <c r="DA23" i="193"/>
  <c r="CZ23" i="193"/>
  <c r="CY23" i="193"/>
  <c r="CX23" i="193"/>
  <c r="CV23" i="193"/>
  <c r="CU23" i="193"/>
  <c r="CT23" i="193"/>
  <c r="CS23" i="193"/>
  <c r="CN23" i="193"/>
  <c r="CM23" i="193"/>
  <c r="CL23" i="193"/>
  <c r="CJ23" i="193"/>
  <c r="CG23" i="193"/>
  <c r="CF23" i="193"/>
  <c r="CE23" i="193"/>
  <c r="CD23" i="193"/>
  <c r="CC23" i="193"/>
  <c r="CB23" i="193"/>
  <c r="CA23" i="193"/>
  <c r="BZ23" i="193"/>
  <c r="BY23" i="193"/>
  <c r="BX23" i="193"/>
  <c r="BW23" i="193"/>
  <c r="BV23" i="193"/>
  <c r="BU23" i="193"/>
  <c r="BT23" i="193"/>
  <c r="BS23" i="193"/>
  <c r="BR23" i="193"/>
  <c r="BQ23" i="193"/>
  <c r="BP23" i="193"/>
  <c r="BO23" i="193"/>
  <c r="BN23" i="193"/>
  <c r="BM23" i="193"/>
  <c r="BL23" i="193"/>
  <c r="BK23" i="193"/>
  <c r="BJ23" i="193"/>
  <c r="BI23" i="193"/>
  <c r="BH23" i="193"/>
  <c r="BD23" i="193"/>
  <c r="BC23" i="193"/>
  <c r="BB23" i="193"/>
  <c r="BA23" i="193"/>
  <c r="AZ23" i="193"/>
  <c r="AY23" i="193"/>
  <c r="AX23" i="193"/>
  <c r="AW23" i="193"/>
  <c r="AU23" i="193"/>
  <c r="AT23" i="193"/>
  <c r="AS23" i="193"/>
  <c r="AR23" i="193"/>
  <c r="AQ23" i="193"/>
  <c r="AP23" i="193"/>
  <c r="AO23" i="193"/>
  <c r="AN23" i="193"/>
  <c r="AM23" i="193"/>
  <c r="AL23" i="193"/>
  <c r="AK23" i="193"/>
  <c r="AJ23" i="193"/>
  <c r="AI23" i="193"/>
  <c r="AH23" i="193"/>
  <c r="AG23" i="193"/>
  <c r="AF23" i="193"/>
  <c r="AE23" i="193"/>
  <c r="AD23" i="193"/>
  <c r="AC23" i="193"/>
  <c r="AB23" i="193"/>
  <c r="AA23" i="193"/>
  <c r="Z23" i="193"/>
  <c r="Y23" i="193"/>
  <c r="X23" i="193"/>
  <c r="W23" i="193"/>
  <c r="V23" i="193"/>
  <c r="U23" i="193"/>
  <c r="T23" i="193"/>
  <c r="S23" i="193"/>
  <c r="R23" i="193"/>
  <c r="Q23" i="193"/>
  <c r="P23" i="193"/>
  <c r="O23" i="193"/>
  <c r="N23" i="193"/>
  <c r="M23" i="193"/>
  <c r="L23" i="193"/>
  <c r="K23" i="193"/>
  <c r="I23" i="193"/>
  <c r="H23" i="193"/>
  <c r="G23" i="193"/>
  <c r="F23" i="193"/>
  <c r="E23" i="193"/>
  <c r="FX22" i="193"/>
  <c r="FW22" i="193"/>
  <c r="FV22" i="193"/>
  <c r="ET22" i="193"/>
  <c r="ER22" i="193" s="1"/>
  <c r="ES22" i="193"/>
  <c r="CW22" i="193"/>
  <c r="CQ22" i="193" s="1"/>
  <c r="CR22" i="193"/>
  <c r="CK22" i="193"/>
  <c r="CK20" i="193" s="1"/>
  <c r="CJ22" i="193"/>
  <c r="BG22" i="193"/>
  <c r="BF22" i="193"/>
  <c r="BE22" i="193" s="1"/>
  <c r="J22" i="193"/>
  <c r="E22" i="193"/>
  <c r="D22" i="193"/>
  <c r="FX21" i="193"/>
  <c r="FW21" i="193"/>
  <c r="ET21" i="193"/>
  <c r="ES21" i="193"/>
  <c r="ER21" i="193" s="1"/>
  <c r="CW21" i="193"/>
  <c r="CW20" i="193" s="1"/>
  <c r="CR21" i="193"/>
  <c r="CK21" i="193"/>
  <c r="CJ21" i="193"/>
  <c r="CI21" i="193" s="1"/>
  <c r="BG21" i="193"/>
  <c r="BF21" i="193"/>
  <c r="J21" i="193"/>
  <c r="J20" i="193" s="1"/>
  <c r="E21" i="193"/>
  <c r="GB20" i="193"/>
  <c r="GA20" i="193"/>
  <c r="FZ20" i="193"/>
  <c r="FY20" i="193"/>
  <c r="FU20" i="193"/>
  <c r="FT20" i="193"/>
  <c r="FS20" i="193"/>
  <c r="FR20" i="193"/>
  <c r="FQ20" i="193"/>
  <c r="FP20" i="193"/>
  <c r="FO20" i="193"/>
  <c r="FN20" i="193"/>
  <c r="FM20" i="193"/>
  <c r="FL20" i="193"/>
  <c r="FK20" i="193"/>
  <c r="FJ20" i="193"/>
  <c r="FI20" i="193"/>
  <c r="FH20" i="193"/>
  <c r="FG20" i="193"/>
  <c r="FF20" i="193"/>
  <c r="FE20" i="193"/>
  <c r="FD20" i="193"/>
  <c r="FC20" i="193"/>
  <c r="FB20" i="193"/>
  <c r="FA20" i="193"/>
  <c r="EZ20" i="193"/>
  <c r="EY20" i="193"/>
  <c r="EX20" i="193"/>
  <c r="EW20" i="193"/>
  <c r="EV20" i="193"/>
  <c r="EU20" i="193"/>
  <c r="ES20" i="193"/>
  <c r="EQ20" i="193"/>
  <c r="EP20" i="193"/>
  <c r="EO20" i="193"/>
  <c r="EN20" i="193"/>
  <c r="EM20" i="193"/>
  <c r="EL20" i="193"/>
  <c r="EK20" i="193"/>
  <c r="EJ20" i="193"/>
  <c r="EI20" i="193"/>
  <c r="EH20" i="193"/>
  <c r="EG20" i="193"/>
  <c r="EF20" i="193"/>
  <c r="EE20" i="193"/>
  <c r="ED20" i="193"/>
  <c r="EC20" i="193"/>
  <c r="EB20" i="193"/>
  <c r="EA20" i="193"/>
  <c r="DZ20" i="193"/>
  <c r="DY20" i="193"/>
  <c r="DX20" i="193"/>
  <c r="DW20" i="193"/>
  <c r="DV20" i="193"/>
  <c r="DU20" i="193"/>
  <c r="DT20" i="193"/>
  <c r="DS20" i="193"/>
  <c r="DR20" i="193"/>
  <c r="DQ20" i="193"/>
  <c r="DP20" i="193"/>
  <c r="DO20" i="193"/>
  <c r="DN20" i="193"/>
  <c r="DM20" i="193"/>
  <c r="DL20" i="193"/>
  <c r="DK20" i="193"/>
  <c r="DJ20" i="193"/>
  <c r="DI20" i="193"/>
  <c r="DH20" i="193"/>
  <c r="DG20" i="193"/>
  <c r="DF20" i="193"/>
  <c r="DE20" i="193"/>
  <c r="DD20" i="193"/>
  <c r="DC20" i="193"/>
  <c r="DB20" i="193"/>
  <c r="DA20" i="193"/>
  <c r="CZ20" i="193"/>
  <c r="CY20" i="193"/>
  <c r="CX20" i="193"/>
  <c r="CV20" i="193"/>
  <c r="CU20" i="193"/>
  <c r="CT20" i="193"/>
  <c r="CS20" i="193"/>
  <c r="CN20" i="193"/>
  <c r="CM20" i="193"/>
  <c r="CL20" i="193"/>
  <c r="CJ20" i="193"/>
  <c r="CH20" i="193"/>
  <c r="CG20" i="193"/>
  <c r="CF20" i="193"/>
  <c r="CE20" i="193"/>
  <c r="CD20" i="193"/>
  <c r="CC20" i="193"/>
  <c r="CB20" i="193"/>
  <c r="CA20" i="193"/>
  <c r="BZ20" i="193"/>
  <c r="BY20" i="193"/>
  <c r="BX20" i="193"/>
  <c r="BW20" i="193"/>
  <c r="BV20" i="193"/>
  <c r="BU20" i="193"/>
  <c r="BT20" i="193"/>
  <c r="BS20" i="193"/>
  <c r="BR20" i="193"/>
  <c r="BQ20" i="193"/>
  <c r="BP20" i="193"/>
  <c r="BO20" i="193"/>
  <c r="BN20" i="193"/>
  <c r="BM20" i="193"/>
  <c r="BL20" i="193"/>
  <c r="BK20" i="193"/>
  <c r="BJ20" i="193"/>
  <c r="BI20" i="193"/>
  <c r="BH20" i="193"/>
  <c r="BD20" i="193"/>
  <c r="BC20" i="193"/>
  <c r="BB20" i="193"/>
  <c r="BA20" i="193"/>
  <c r="AZ20" i="193"/>
  <c r="AY20" i="193"/>
  <c r="AX20" i="193"/>
  <c r="AW20" i="193"/>
  <c r="AV20" i="193"/>
  <c r="AU20" i="193"/>
  <c r="AT20" i="193"/>
  <c r="AS20" i="193"/>
  <c r="AR20" i="193"/>
  <c r="AQ20" i="193"/>
  <c r="AP20" i="193"/>
  <c r="AO20" i="193"/>
  <c r="AN20" i="193"/>
  <c r="AM20" i="193"/>
  <c r="AL20" i="193"/>
  <c r="AK20" i="193"/>
  <c r="AJ20" i="193"/>
  <c r="AI20" i="193"/>
  <c r="AH20" i="193"/>
  <c r="AG20" i="193"/>
  <c r="AF20" i="193"/>
  <c r="AE20" i="193"/>
  <c r="AD20" i="193"/>
  <c r="AC20" i="193"/>
  <c r="AB20" i="193"/>
  <c r="AA20" i="193"/>
  <c r="Z20" i="193"/>
  <c r="Y20" i="193"/>
  <c r="X20" i="193"/>
  <c r="W20" i="193"/>
  <c r="V20" i="193"/>
  <c r="U20" i="193"/>
  <c r="T20" i="193"/>
  <c r="S20" i="193"/>
  <c r="R20" i="193"/>
  <c r="Q20" i="193"/>
  <c r="P20" i="193"/>
  <c r="O20" i="193"/>
  <c r="N20" i="193"/>
  <c r="M20" i="193"/>
  <c r="L20" i="193"/>
  <c r="K20" i="193"/>
  <c r="I20" i="193"/>
  <c r="H20" i="193"/>
  <c r="G20" i="193"/>
  <c r="F20" i="193"/>
  <c r="E20" i="193"/>
  <c r="FX19" i="193"/>
  <c r="FW19" i="193"/>
  <c r="ET19" i="193"/>
  <c r="ES19" i="193"/>
  <c r="ER19" i="193" s="1"/>
  <c r="CW19" i="193"/>
  <c r="CR19" i="193"/>
  <c r="CQ19" i="193" s="1"/>
  <c r="CK19" i="193"/>
  <c r="CJ19" i="193"/>
  <c r="BG19" i="193"/>
  <c r="BF19" i="193"/>
  <c r="BE19" i="193" s="1"/>
  <c r="J19" i="193"/>
  <c r="E19" i="193"/>
  <c r="FX18" i="193"/>
  <c r="FW18" i="193"/>
  <c r="FW17" i="193"/>
  <c r="ET18" i="193"/>
  <c r="ES18" i="193"/>
  <c r="ER18" i="193"/>
  <c r="CW18" i="193"/>
  <c r="CW17" i="193" s="1"/>
  <c r="CR18" i="193"/>
  <c r="CK18" i="193"/>
  <c r="CK17" i="193" s="1"/>
  <c r="CJ18" i="193"/>
  <c r="BG18" i="193"/>
  <c r="BF18" i="193"/>
  <c r="BE18" i="193" s="1"/>
  <c r="J18" i="193"/>
  <c r="E18" i="193"/>
  <c r="E17" i="193" s="1"/>
  <c r="GB17" i="193"/>
  <c r="GA17" i="193"/>
  <c r="FZ17" i="193"/>
  <c r="FZ11" i="193" s="1"/>
  <c r="FY17" i="193"/>
  <c r="FU17" i="193"/>
  <c r="FT17" i="193"/>
  <c r="FS17" i="193"/>
  <c r="FR17" i="193"/>
  <c r="FQ17" i="193"/>
  <c r="FP17" i="193"/>
  <c r="FO17" i="193"/>
  <c r="FN17" i="193"/>
  <c r="FM17" i="193"/>
  <c r="FL17" i="193"/>
  <c r="FK17" i="193"/>
  <c r="FK11" i="193" s="1"/>
  <c r="FJ17" i="193"/>
  <c r="FI17" i="193"/>
  <c r="FH17" i="193"/>
  <c r="FG17" i="193"/>
  <c r="FF17" i="193"/>
  <c r="FE17" i="193"/>
  <c r="FD17" i="193"/>
  <c r="FC17" i="193"/>
  <c r="FB17" i="193"/>
  <c r="FA17" i="193"/>
  <c r="EZ17" i="193"/>
  <c r="EY17" i="193"/>
  <c r="EY11" i="193" s="1"/>
  <c r="EX17" i="193"/>
  <c r="EW17" i="193"/>
  <c r="EV17" i="193"/>
  <c r="EU17" i="193"/>
  <c r="ET17" i="193"/>
  <c r="EQ17" i="193"/>
  <c r="EP17" i="193"/>
  <c r="EO17" i="193"/>
  <c r="EN17" i="193"/>
  <c r="EM17" i="193"/>
  <c r="EL17" i="193"/>
  <c r="EK17" i="193"/>
  <c r="EK11" i="193" s="1"/>
  <c r="EJ17" i="193"/>
  <c r="EI17" i="193"/>
  <c r="EH17" i="193"/>
  <c r="EG17" i="193"/>
  <c r="EF17" i="193"/>
  <c r="EE17" i="193"/>
  <c r="ED17" i="193"/>
  <c r="EC17" i="193"/>
  <c r="EB17" i="193"/>
  <c r="EA17" i="193"/>
  <c r="DZ17" i="193"/>
  <c r="DY17" i="193"/>
  <c r="DY11" i="193" s="1"/>
  <c r="DX17" i="193"/>
  <c r="DW17" i="193"/>
  <c r="DV17" i="193"/>
  <c r="DU17" i="193"/>
  <c r="DT17" i="193"/>
  <c r="DS17" i="193"/>
  <c r="DR17" i="193"/>
  <c r="DQ17" i="193"/>
  <c r="DP17" i="193"/>
  <c r="DO17" i="193"/>
  <c r="DN17" i="193"/>
  <c r="DM17" i="193"/>
  <c r="DM11" i="193" s="1"/>
  <c r="DL17" i="193"/>
  <c r="DK17" i="193"/>
  <c r="DJ17" i="193"/>
  <c r="DI17" i="193"/>
  <c r="DH17" i="193"/>
  <c r="DG17" i="193"/>
  <c r="DF17" i="193"/>
  <c r="DE17" i="193"/>
  <c r="DD17" i="193"/>
  <c r="DC17" i="193"/>
  <c r="DB17" i="193"/>
  <c r="DA17" i="193"/>
  <c r="DA11" i="193" s="1"/>
  <c r="CZ17" i="193"/>
  <c r="CY17" i="193"/>
  <c r="CX17" i="193"/>
  <c r="CV17" i="193"/>
  <c r="CU17" i="193"/>
  <c r="CT17" i="193"/>
  <c r="CS17" i="193"/>
  <c r="CN17" i="193"/>
  <c r="CM17" i="193"/>
  <c r="CL17" i="193"/>
  <c r="CH17" i="193"/>
  <c r="CG17" i="193"/>
  <c r="CG11" i="193" s="1"/>
  <c r="CF17" i="193"/>
  <c r="CE17" i="193"/>
  <c r="CD17" i="193"/>
  <c r="CC17" i="193"/>
  <c r="CB17" i="193"/>
  <c r="CA17" i="193"/>
  <c r="BZ17" i="193"/>
  <c r="BY17" i="193"/>
  <c r="BX17" i="193"/>
  <c r="BW17" i="193"/>
  <c r="BV17" i="193"/>
  <c r="BU17" i="193"/>
  <c r="BU11" i="193" s="1"/>
  <c r="BT17" i="193"/>
  <c r="BS17" i="193"/>
  <c r="BR17" i="193"/>
  <c r="BQ17" i="193"/>
  <c r="BP17" i="193"/>
  <c r="BO17" i="193"/>
  <c r="BN17" i="193"/>
  <c r="BM17" i="193"/>
  <c r="BL17" i="193"/>
  <c r="BK17" i="193"/>
  <c r="BJ17" i="193"/>
  <c r="BI17" i="193"/>
  <c r="BI11" i="193" s="1"/>
  <c r="BH17" i="193"/>
  <c r="BG17" i="193"/>
  <c r="BD17" i="193"/>
  <c r="BC17" i="193"/>
  <c r="BB17" i="193"/>
  <c r="BA17" i="193"/>
  <c r="AZ17" i="193"/>
  <c r="AY17" i="193"/>
  <c r="AX17" i="193"/>
  <c r="AW17" i="193"/>
  <c r="AV17" i="193"/>
  <c r="AU17" i="193"/>
  <c r="AU11" i="193" s="1"/>
  <c r="AT17" i="193"/>
  <c r="AS17" i="193"/>
  <c r="AR17" i="193"/>
  <c r="AQ17" i="193"/>
  <c r="AP17" i="193"/>
  <c r="AO17" i="193"/>
  <c r="AN17" i="193"/>
  <c r="AM17" i="193"/>
  <c r="AL17" i="193"/>
  <c r="AK17" i="193"/>
  <c r="AJ17" i="193"/>
  <c r="AI17" i="193"/>
  <c r="AH17" i="193"/>
  <c r="AG17" i="193"/>
  <c r="AF17" i="193"/>
  <c r="AE17" i="193"/>
  <c r="AD17" i="193"/>
  <c r="AC17" i="193"/>
  <c r="AB17" i="193"/>
  <c r="AA17" i="193"/>
  <c r="Z17" i="193"/>
  <c r="Y17" i="193"/>
  <c r="X17" i="193"/>
  <c r="W17" i="193"/>
  <c r="W11" i="193" s="1"/>
  <c r="V17" i="193"/>
  <c r="U17" i="193"/>
  <c r="T17" i="193"/>
  <c r="S17" i="193"/>
  <c r="R17" i="193"/>
  <c r="Q17" i="193"/>
  <c r="P17" i="193"/>
  <c r="O17" i="193"/>
  <c r="N17" i="193"/>
  <c r="M17" i="193"/>
  <c r="L17" i="193"/>
  <c r="K17" i="193"/>
  <c r="K11" i="193" s="1"/>
  <c r="J17" i="193"/>
  <c r="I17" i="193"/>
  <c r="H17" i="193"/>
  <c r="G17" i="193"/>
  <c r="F17" i="193"/>
  <c r="FX16" i="193"/>
  <c r="FW16" i="193"/>
  <c r="FV16" i="193" s="1"/>
  <c r="FW14" i="193"/>
  <c r="ET16" i="193"/>
  <c r="ES16" i="193"/>
  <c r="CW16" i="193"/>
  <c r="CR16" i="193"/>
  <c r="CK16" i="193"/>
  <c r="CJ16" i="193"/>
  <c r="CI16" i="193" s="1"/>
  <c r="BG16" i="193"/>
  <c r="BF16" i="193"/>
  <c r="BE16" i="193" s="1"/>
  <c r="J16" i="193"/>
  <c r="E16" i="193"/>
  <c r="FX15" i="193"/>
  <c r="FW15" i="193"/>
  <c r="ET15" i="193"/>
  <c r="ET14" i="193" s="1"/>
  <c r="ES15" i="193"/>
  <c r="CW15" i="193"/>
  <c r="CR15" i="193"/>
  <c r="CK15" i="193"/>
  <c r="CJ15" i="193"/>
  <c r="BG15" i="193"/>
  <c r="BF15" i="193"/>
  <c r="BF14" i="193" s="1"/>
  <c r="J15" i="193"/>
  <c r="J14" i="193"/>
  <c r="E15" i="193"/>
  <c r="GB14" i="193"/>
  <c r="GA14" i="193"/>
  <c r="FZ14" i="193"/>
  <c r="FY14" i="193"/>
  <c r="FU14" i="193"/>
  <c r="FT14" i="193"/>
  <c r="FS14" i="193"/>
  <c r="FR14" i="193"/>
  <c r="FQ14" i="193"/>
  <c r="FP14" i="193"/>
  <c r="FO14" i="193"/>
  <c r="FN14" i="193"/>
  <c r="FM14" i="193"/>
  <c r="FL14" i="193"/>
  <c r="FK14" i="193"/>
  <c r="FJ14" i="193"/>
  <c r="FI14" i="193"/>
  <c r="FH14" i="193"/>
  <c r="FG14" i="193"/>
  <c r="FF14" i="193"/>
  <c r="FE14" i="193"/>
  <c r="FD14" i="193"/>
  <c r="FC14" i="193"/>
  <c r="FB14" i="193"/>
  <c r="FA14" i="193"/>
  <c r="EZ14" i="193"/>
  <c r="EY14" i="193"/>
  <c r="EX14" i="193"/>
  <c r="EW14" i="193"/>
  <c r="EV14" i="193"/>
  <c r="EU14" i="193"/>
  <c r="EQ14" i="193"/>
  <c r="EP14" i="193"/>
  <c r="EO14" i="193"/>
  <c r="EN14" i="193"/>
  <c r="EM14" i="193"/>
  <c r="EL14" i="193"/>
  <c r="EK14" i="193"/>
  <c r="EJ14" i="193"/>
  <c r="EI14" i="193"/>
  <c r="EH14" i="193"/>
  <c r="EG14" i="193"/>
  <c r="EF14" i="193"/>
  <c r="EE14" i="193"/>
  <c r="ED14" i="193"/>
  <c r="EC14" i="193"/>
  <c r="EB14" i="193"/>
  <c r="EA14" i="193"/>
  <c r="DZ14" i="193"/>
  <c r="DY14" i="193"/>
  <c r="DX14" i="193"/>
  <c r="DW14" i="193"/>
  <c r="DV14" i="193"/>
  <c r="DU14" i="193"/>
  <c r="DT14" i="193"/>
  <c r="DS14" i="193"/>
  <c r="DR14" i="193"/>
  <c r="DQ14" i="193"/>
  <c r="DP14" i="193"/>
  <c r="DO14" i="193"/>
  <c r="DN14" i="193"/>
  <c r="DM14" i="193"/>
  <c r="DL14" i="193"/>
  <c r="DK14" i="193"/>
  <c r="DJ14" i="193"/>
  <c r="DI14" i="193"/>
  <c r="DH14" i="193"/>
  <c r="DG14" i="193"/>
  <c r="DF14" i="193"/>
  <c r="DE14" i="193"/>
  <c r="DD14" i="193"/>
  <c r="DC14" i="193"/>
  <c r="DB14" i="193"/>
  <c r="DA14" i="193"/>
  <c r="CZ14" i="193"/>
  <c r="CY14" i="193"/>
  <c r="CX14" i="193"/>
  <c r="CV14" i="193"/>
  <c r="CU14" i="193"/>
  <c r="CT14" i="193"/>
  <c r="CS14" i="193"/>
  <c r="CN14" i="193"/>
  <c r="CM14" i="193"/>
  <c r="CL14" i="193"/>
  <c r="CH14" i="193"/>
  <c r="CG14" i="193"/>
  <c r="CF14" i="193"/>
  <c r="CE14" i="193"/>
  <c r="CD14" i="193"/>
  <c r="CC14" i="193"/>
  <c r="CB14" i="193"/>
  <c r="CA14" i="193"/>
  <c r="BZ14" i="193"/>
  <c r="BY14" i="193"/>
  <c r="BX14" i="193"/>
  <c r="BW14" i="193"/>
  <c r="BV14" i="193"/>
  <c r="BU14" i="193"/>
  <c r="BT14" i="193"/>
  <c r="BS14" i="193"/>
  <c r="BR14" i="193"/>
  <c r="BQ14" i="193"/>
  <c r="BP14" i="193"/>
  <c r="BO14" i="193"/>
  <c r="BN14" i="193"/>
  <c r="BM14" i="193"/>
  <c r="BL14" i="193"/>
  <c r="BK14" i="193"/>
  <c r="BJ14" i="193"/>
  <c r="BI14" i="193"/>
  <c r="BH14" i="193"/>
  <c r="BG14" i="193"/>
  <c r="BD14" i="193"/>
  <c r="BC14" i="193"/>
  <c r="BB14" i="193"/>
  <c r="BA14" i="193"/>
  <c r="AZ14" i="193"/>
  <c r="AY14" i="193"/>
  <c r="AX14" i="193"/>
  <c r="AW14" i="193"/>
  <c r="AV14" i="193"/>
  <c r="AU14" i="193"/>
  <c r="AT14" i="193"/>
  <c r="AS14" i="193"/>
  <c r="AR14" i="193"/>
  <c r="AQ14" i="193"/>
  <c r="AP14" i="193"/>
  <c r="AO14" i="193"/>
  <c r="AN14" i="193"/>
  <c r="AM14" i="193"/>
  <c r="AL14" i="193"/>
  <c r="AK14" i="193"/>
  <c r="AJ14" i="193"/>
  <c r="AI14" i="193"/>
  <c r="AH14" i="193"/>
  <c r="AG14" i="193"/>
  <c r="AF14" i="193"/>
  <c r="AE14" i="193"/>
  <c r="AD14" i="193"/>
  <c r="AC14" i="193"/>
  <c r="AB14" i="193"/>
  <c r="AA14" i="193"/>
  <c r="Z14" i="193"/>
  <c r="Y14" i="193"/>
  <c r="X14" i="193"/>
  <c r="W14" i="193"/>
  <c r="V14" i="193"/>
  <c r="U14" i="193"/>
  <c r="T14" i="193"/>
  <c r="S14" i="193"/>
  <c r="R14" i="193"/>
  <c r="Q14" i="193"/>
  <c r="P14" i="193"/>
  <c r="O14" i="193"/>
  <c r="N14" i="193"/>
  <c r="M14" i="193"/>
  <c r="L14" i="193"/>
  <c r="K14" i="193"/>
  <c r="I14" i="193"/>
  <c r="H14" i="193"/>
  <c r="G14" i="193"/>
  <c r="F14" i="193"/>
  <c r="GB13" i="193"/>
  <c r="GA13" i="193"/>
  <c r="GA105" i="193"/>
  <c r="FZ13" i="193"/>
  <c r="FZ105" i="193" s="1"/>
  <c r="FY13" i="193"/>
  <c r="FU13" i="193"/>
  <c r="FU105" i="193" s="1"/>
  <c r="FT13" i="193"/>
  <c r="FT105" i="193" s="1"/>
  <c r="FS13" i="193"/>
  <c r="FS105" i="193" s="1"/>
  <c r="FR13" i="193"/>
  <c r="FQ13" i="193"/>
  <c r="FQ105" i="193" s="1"/>
  <c r="FP13" i="193"/>
  <c r="FP105" i="193" s="1"/>
  <c r="FO13" i="193"/>
  <c r="FO105" i="193" s="1"/>
  <c r="FN13" i="193"/>
  <c r="FN105" i="193" s="1"/>
  <c r="FM13" i="193"/>
  <c r="FM105" i="193" s="1"/>
  <c r="FL13" i="193"/>
  <c r="FL105" i="193" s="1"/>
  <c r="FK13" i="193"/>
  <c r="FK105" i="193" s="1"/>
  <c r="FJ13" i="193"/>
  <c r="FI13" i="193"/>
  <c r="FI105" i="193" s="1"/>
  <c r="FH13" i="193"/>
  <c r="FH105" i="193"/>
  <c r="FG13" i="193"/>
  <c r="FG105" i="193"/>
  <c r="FF13" i="193"/>
  <c r="FF105" i="193" s="1"/>
  <c r="FB107" i="193" s="1"/>
  <c r="FE13" i="193"/>
  <c r="FE105" i="193" s="1"/>
  <c r="FD13" i="193"/>
  <c r="FD105" i="193" s="1"/>
  <c r="FC13" i="193"/>
  <c r="FC105" i="193" s="1"/>
  <c r="FB13" i="193"/>
  <c r="FB105" i="193" s="1"/>
  <c r="FA13" i="193"/>
  <c r="EZ13" i="193"/>
  <c r="EY13" i="193"/>
  <c r="EX13" i="193"/>
  <c r="EX105" i="193" s="1"/>
  <c r="EW13" i="193"/>
  <c r="EV13" i="193"/>
  <c r="EU13" i="193"/>
  <c r="EQ13" i="193"/>
  <c r="EP13" i="193"/>
  <c r="EO13" i="193"/>
  <c r="EN13" i="193"/>
  <c r="EM13" i="193"/>
  <c r="EL13" i="193"/>
  <c r="EL105" i="193" s="1"/>
  <c r="EK13" i="193"/>
  <c r="EK105" i="193" s="1"/>
  <c r="EJ13" i="193"/>
  <c r="EJ105" i="193" s="1"/>
  <c r="EI13" i="193"/>
  <c r="EI105" i="193" s="1"/>
  <c r="EH13" i="193"/>
  <c r="EH105" i="193" s="1"/>
  <c r="EG13" i="193"/>
  <c r="EG105" i="193" s="1"/>
  <c r="EF13" i="193"/>
  <c r="EF105" i="193" s="1"/>
  <c r="EE13" i="193"/>
  <c r="EE105" i="193" s="1"/>
  <c r="ED13" i="193"/>
  <c r="EC13" i="193"/>
  <c r="EB13" i="193"/>
  <c r="EA13" i="193"/>
  <c r="EA105" i="193" s="1"/>
  <c r="DZ13" i="193"/>
  <c r="DY13" i="193"/>
  <c r="DY105" i="193" s="1"/>
  <c r="DX13" i="193"/>
  <c r="DX105" i="193"/>
  <c r="DW13" i="193"/>
  <c r="DV13" i="193"/>
  <c r="DV105" i="193"/>
  <c r="DU13" i="193"/>
  <c r="DU105" i="193" s="1"/>
  <c r="DT13" i="193"/>
  <c r="DT105" i="193"/>
  <c r="DR13" i="193"/>
  <c r="DQ13" i="193"/>
  <c r="DP13" i="193"/>
  <c r="DO13" i="193"/>
  <c r="DN13" i="193"/>
  <c r="DM13" i="193"/>
  <c r="DM105" i="193"/>
  <c r="DL13" i="193"/>
  <c r="DL105" i="193" s="1"/>
  <c r="DK13" i="193"/>
  <c r="DK105" i="193" s="1"/>
  <c r="DJ13" i="193"/>
  <c r="DJ105" i="193" s="1"/>
  <c r="DI13" i="193"/>
  <c r="DH13" i="193"/>
  <c r="DH105" i="193" s="1"/>
  <c r="DG13" i="193"/>
  <c r="DG105" i="193" s="1"/>
  <c r="DF13" i="193"/>
  <c r="DF105" i="193" s="1"/>
  <c r="DE13" i="193"/>
  <c r="DE105" i="193" s="1"/>
  <c r="DD13" i="193"/>
  <c r="DD105" i="193" s="1"/>
  <c r="DC13" i="193"/>
  <c r="DC105" i="193" s="1"/>
  <c r="DB13" i="193"/>
  <c r="DB105" i="193" s="1"/>
  <c r="DA13" i="193"/>
  <c r="DA105" i="193" s="1"/>
  <c r="CZ13" i="193"/>
  <c r="CY13" i="193"/>
  <c r="CY105" i="193"/>
  <c r="CX13" i="193"/>
  <c r="CX105" i="193" s="1"/>
  <c r="CV13" i="193"/>
  <c r="CU13" i="193"/>
  <c r="CT13" i="193"/>
  <c r="CS13" i="193"/>
  <c r="CN13" i="193"/>
  <c r="CM13" i="193"/>
  <c r="CL13" i="193"/>
  <c r="CH13" i="193"/>
  <c r="CG13" i="193"/>
  <c r="CF13" i="193"/>
  <c r="CE13" i="193"/>
  <c r="CD13" i="193"/>
  <c r="CC13" i="193"/>
  <c r="CB13" i="193"/>
  <c r="CA13" i="193"/>
  <c r="BZ13" i="193"/>
  <c r="BY13" i="193"/>
  <c r="BX13" i="193"/>
  <c r="BW13" i="193"/>
  <c r="BV13" i="193"/>
  <c r="BU13" i="193"/>
  <c r="BT13" i="193"/>
  <c r="BS13" i="193"/>
  <c r="BR13" i="193"/>
  <c r="BQ13" i="193"/>
  <c r="BP13" i="193"/>
  <c r="BO13" i="193"/>
  <c r="BN13" i="193"/>
  <c r="BM13" i="193"/>
  <c r="BL13" i="193"/>
  <c r="BK13" i="193"/>
  <c r="BJ13" i="193"/>
  <c r="BI13" i="193"/>
  <c r="BH13" i="193"/>
  <c r="BD13" i="193"/>
  <c r="BC13" i="193"/>
  <c r="BB13" i="193"/>
  <c r="EO103" i="193" s="1"/>
  <c r="BA13" i="193"/>
  <c r="AZ13" i="193"/>
  <c r="AY13" i="193"/>
  <c r="AX13" i="193"/>
  <c r="EK103" i="193" s="1"/>
  <c r="AW13" i="193"/>
  <c r="EJ103" i="193" s="1"/>
  <c r="AV13" i="193"/>
  <c r="AU13" i="193"/>
  <c r="AT13" i="193"/>
  <c r="EG103" i="193" s="1"/>
  <c r="AS13" i="193"/>
  <c r="EF103" i="193" s="1"/>
  <c r="AR13" i="193"/>
  <c r="AQ13" i="193"/>
  <c r="AP13" i="193"/>
  <c r="AO13" i="193"/>
  <c r="AN13" i="193"/>
  <c r="AM13" i="193"/>
  <c r="AL13" i="193"/>
  <c r="DY103" i="193" s="1"/>
  <c r="AK13" i="193"/>
  <c r="DX103" i="193"/>
  <c r="AJ13" i="193"/>
  <c r="AI13" i="193"/>
  <c r="AH13" i="193"/>
  <c r="DU103" i="193" s="1"/>
  <c r="AG13" i="193"/>
  <c r="DT103" i="193" s="1"/>
  <c r="AF13" i="193"/>
  <c r="AE13" i="193"/>
  <c r="AD13" i="193"/>
  <c r="DQ103" i="193" s="1"/>
  <c r="AC13" i="193"/>
  <c r="AB13" i="193"/>
  <c r="AA13" i="193"/>
  <c r="Z13" i="193"/>
  <c r="DM103" i="193" s="1"/>
  <c r="Y13" i="193"/>
  <c r="DL103" i="193"/>
  <c r="X13" i="193"/>
  <c r="W13" i="193"/>
  <c r="V13" i="193"/>
  <c r="U13" i="193"/>
  <c r="DH103" i="193" s="1"/>
  <c r="T13" i="193"/>
  <c r="S13" i="193"/>
  <c r="R13" i="193"/>
  <c r="Q13" i="193"/>
  <c r="DD103" i="193"/>
  <c r="P13" i="193"/>
  <c r="O13" i="193"/>
  <c r="N13" i="193"/>
  <c r="M13" i="193"/>
  <c r="L13" i="193"/>
  <c r="K13" i="193"/>
  <c r="I13" i="193"/>
  <c r="CV103" i="193" s="1"/>
  <c r="H13" i="193"/>
  <c r="CU103" i="193" s="1"/>
  <c r="G13" i="193"/>
  <c r="F13" i="193"/>
  <c r="GB12" i="193"/>
  <c r="GA12" i="193"/>
  <c r="FZ12" i="193"/>
  <c r="FY12" i="193"/>
  <c r="FY105" i="193" s="1"/>
  <c r="FU12" i="193"/>
  <c r="FT12" i="193"/>
  <c r="FS12" i="193"/>
  <c r="FR12" i="193"/>
  <c r="FR105" i="193" s="1"/>
  <c r="FQ12" i="193"/>
  <c r="FP12" i="193"/>
  <c r="FO12" i="193"/>
  <c r="FN12" i="193"/>
  <c r="FM12" i="193"/>
  <c r="FL12" i="193"/>
  <c r="FK12" i="193"/>
  <c r="FJ12" i="193"/>
  <c r="FJ105" i="193" s="1"/>
  <c r="FI12" i="193"/>
  <c r="FH12" i="193"/>
  <c r="FG12" i="193"/>
  <c r="FF12" i="193"/>
  <c r="FE12" i="193"/>
  <c r="FD12" i="193"/>
  <c r="FC12" i="193"/>
  <c r="FB12" i="193"/>
  <c r="FA12" i="193"/>
  <c r="FA105" i="193" s="1"/>
  <c r="EZ12" i="193"/>
  <c r="EZ105" i="193" s="1"/>
  <c r="EY12" i="193"/>
  <c r="EY105" i="193" s="1"/>
  <c r="EX12" i="193"/>
  <c r="EW12" i="193"/>
  <c r="EW105" i="193" s="1"/>
  <c r="EV12" i="193"/>
  <c r="EV105" i="193" s="1"/>
  <c r="EU12" i="193"/>
  <c r="EU105" i="193" s="1"/>
  <c r="EQ12" i="193"/>
  <c r="EQ102" i="193" s="1"/>
  <c r="EQ101" i="193" s="1"/>
  <c r="EP12" i="193"/>
  <c r="EO12" i="193"/>
  <c r="EN12" i="193"/>
  <c r="EM12" i="193"/>
  <c r="EL12" i="193"/>
  <c r="EK12" i="193"/>
  <c r="EJ12" i="193"/>
  <c r="EI12" i="193"/>
  <c r="EH12" i="193"/>
  <c r="EG12" i="193"/>
  <c r="EF12" i="193"/>
  <c r="EE12" i="193"/>
  <c r="EE102" i="193" s="1"/>
  <c r="EE101" i="193" s="1"/>
  <c r="ED12" i="193"/>
  <c r="EC12" i="193"/>
  <c r="EB12" i="193"/>
  <c r="EA12" i="193"/>
  <c r="DZ12" i="193"/>
  <c r="DY12" i="193"/>
  <c r="DX12" i="193"/>
  <c r="DW12" i="193"/>
  <c r="DV12" i="193"/>
  <c r="DU12" i="193"/>
  <c r="DT12" i="193"/>
  <c r="DS12" i="193"/>
  <c r="DS102" i="193" s="1"/>
  <c r="DS101" i="193" s="1"/>
  <c r="DR12" i="193"/>
  <c r="DQ12" i="193"/>
  <c r="DP12" i="193"/>
  <c r="DO12" i="193"/>
  <c r="DN12" i="193"/>
  <c r="DM12" i="193"/>
  <c r="DL12" i="193"/>
  <c r="DK12" i="193"/>
  <c r="DJ12" i="193"/>
  <c r="DI12" i="193"/>
  <c r="DH12" i="193"/>
  <c r="DG12" i="193"/>
  <c r="DF12" i="193"/>
  <c r="DE12" i="193"/>
  <c r="DD12" i="193"/>
  <c r="DC12" i="193"/>
  <c r="DB12" i="193"/>
  <c r="DA12" i="193"/>
  <c r="CZ12" i="193"/>
  <c r="CY12" i="193"/>
  <c r="CX12" i="193"/>
  <c r="CV12" i="193"/>
  <c r="CV105" i="193" s="1"/>
  <c r="CU12" i="193"/>
  <c r="CU105" i="193" s="1"/>
  <c r="CT12" i="193"/>
  <c r="CT105" i="193" s="1"/>
  <c r="CS12" i="193"/>
  <c r="CS105" i="193" s="1"/>
  <c r="CN12" i="193"/>
  <c r="CM12" i="193"/>
  <c r="CL12" i="193"/>
  <c r="CH12" i="193"/>
  <c r="CG12" i="193"/>
  <c r="CF12" i="193"/>
  <c r="CE12" i="193"/>
  <c r="CD12" i="193"/>
  <c r="CC12" i="193"/>
  <c r="CB12" i="193"/>
  <c r="CA12" i="193"/>
  <c r="BZ12" i="193"/>
  <c r="BY12" i="193"/>
  <c r="BX12" i="193"/>
  <c r="BW12" i="193"/>
  <c r="BV12" i="193"/>
  <c r="BU12" i="193"/>
  <c r="BT12" i="193"/>
  <c r="BS12" i="193"/>
  <c r="BR12" i="193"/>
  <c r="BQ12" i="193"/>
  <c r="BP12" i="193"/>
  <c r="BO12" i="193"/>
  <c r="BN12" i="193"/>
  <c r="BM12" i="193"/>
  <c r="BL12" i="193"/>
  <c r="BK12" i="193"/>
  <c r="BJ12" i="193"/>
  <c r="BI12" i="193"/>
  <c r="BH12" i="193"/>
  <c r="BD12" i="193"/>
  <c r="BC12" i="193"/>
  <c r="BB12" i="193"/>
  <c r="BA12" i="193"/>
  <c r="AZ12" i="193"/>
  <c r="AY12" i="193"/>
  <c r="AX12" i="193"/>
  <c r="AW12" i="193"/>
  <c r="AV12" i="193"/>
  <c r="AU12" i="193"/>
  <c r="AT12" i="193"/>
  <c r="AS12" i="193"/>
  <c r="AR12" i="193"/>
  <c r="AQ12" i="193"/>
  <c r="AP12" i="193"/>
  <c r="AO12" i="193"/>
  <c r="AN12" i="193"/>
  <c r="AM12" i="193"/>
  <c r="AL12" i="193"/>
  <c r="AK12" i="193"/>
  <c r="AJ12" i="193"/>
  <c r="AI12" i="193"/>
  <c r="AH12" i="193"/>
  <c r="AG12" i="193"/>
  <c r="AF12" i="193"/>
  <c r="AE12" i="193"/>
  <c r="AD12" i="193"/>
  <c r="AC12" i="193"/>
  <c r="AB12" i="193"/>
  <c r="AA12" i="193"/>
  <c r="Z12" i="193"/>
  <c r="Y12" i="193"/>
  <c r="X12" i="193"/>
  <c r="W12" i="193"/>
  <c r="V12" i="193"/>
  <c r="U12" i="193"/>
  <c r="T12" i="193"/>
  <c r="S12" i="193"/>
  <c r="R12" i="193"/>
  <c r="Q12" i="193"/>
  <c r="P12" i="193"/>
  <c r="O12" i="193"/>
  <c r="N12" i="193"/>
  <c r="M12" i="193"/>
  <c r="L12" i="193"/>
  <c r="K12" i="193"/>
  <c r="I12" i="193"/>
  <c r="H12" i="193"/>
  <c r="G12" i="193"/>
  <c r="F12" i="193"/>
  <c r="A3" i="193"/>
  <c r="DS43" i="194"/>
  <c r="CW43" i="194" s="1"/>
  <c r="CW41" i="194" s="1"/>
  <c r="Y21" i="175" s="1"/>
  <c r="AF43" i="194"/>
  <c r="FZ94" i="194"/>
  <c r="CS93" i="194"/>
  <c r="CM94" i="194"/>
  <c r="CP105" i="194"/>
  <c r="EB79" i="194"/>
  <c r="AO79" i="194"/>
  <c r="EN79" i="194"/>
  <c r="EH79" i="194"/>
  <c r="BA79" i="194"/>
  <c r="AU79" i="194"/>
  <c r="H10" i="176"/>
  <c r="J60" i="176"/>
  <c r="F60" i="176"/>
  <c r="C60" i="176" s="1"/>
  <c r="K60" i="176" s="1"/>
  <c r="J41" i="176"/>
  <c r="C64" i="176"/>
  <c r="I64" i="176" s="1"/>
  <c r="D63" i="176"/>
  <c r="E63" i="176"/>
  <c r="F63" i="176"/>
  <c r="G63" i="176"/>
  <c r="H63" i="176"/>
  <c r="J63" i="176"/>
  <c r="C32" i="176"/>
  <c r="C11" i="176"/>
  <c r="I11" i="176"/>
  <c r="I18" i="176"/>
  <c r="C47" i="176"/>
  <c r="I47" i="176" s="1"/>
  <c r="C38" i="176"/>
  <c r="I38" i="176" s="1"/>
  <c r="C39" i="176"/>
  <c r="K39" i="176" s="1"/>
  <c r="D10" i="176"/>
  <c r="V42" i="175"/>
  <c r="V51" i="175"/>
  <c r="V54" i="175"/>
  <c r="D48" i="175"/>
  <c r="Q57" i="175"/>
  <c r="D16" i="174"/>
  <c r="CS12" i="194"/>
  <c r="C40" i="174"/>
  <c r="E40" i="174"/>
  <c r="F40" i="174"/>
  <c r="G40" i="174"/>
  <c r="I40" i="174"/>
  <c r="J40" i="174"/>
  <c r="K40" i="174"/>
  <c r="L40" i="174"/>
  <c r="N40" i="174"/>
  <c r="M42" i="174"/>
  <c r="H42" i="174"/>
  <c r="K13" i="174"/>
  <c r="H15" i="174"/>
  <c r="D15" i="174"/>
  <c r="H16" i="174"/>
  <c r="I20" i="174"/>
  <c r="H22" i="174"/>
  <c r="D22" i="174" s="1"/>
  <c r="D40" i="175"/>
  <c r="D39" i="175"/>
  <c r="N33" i="175"/>
  <c r="D33" i="175" s="1"/>
  <c r="N32" i="175"/>
  <c r="D32" i="175" s="1"/>
  <c r="W32" i="175" s="1"/>
  <c r="C36" i="175"/>
  <c r="C11" i="175" s="1"/>
  <c r="GB97" i="194"/>
  <c r="GB95" i="194" s="1"/>
  <c r="CS13" i="194"/>
  <c r="DF95" i="194"/>
  <c r="DE95" i="194"/>
  <c r="DF98" i="194"/>
  <c r="DG98" i="194"/>
  <c r="DE98" i="194"/>
  <c r="G96" i="194"/>
  <c r="FX67" i="194"/>
  <c r="FW67" i="194"/>
  <c r="ET67" i="194"/>
  <c r="ES67" i="194"/>
  <c r="ER67" i="194" s="1"/>
  <c r="CW67" i="194"/>
  <c r="CR67" i="194"/>
  <c r="CR13" i="194" s="1"/>
  <c r="FX64" i="194"/>
  <c r="FW64" i="194"/>
  <c r="FV64" i="194" s="1"/>
  <c r="ET64" i="194"/>
  <c r="ES64" i="194"/>
  <c r="CW64" i="194"/>
  <c r="CR64" i="194"/>
  <c r="CK64" i="194"/>
  <c r="CJ64" i="194"/>
  <c r="BG64" i="194"/>
  <c r="BF64" i="194"/>
  <c r="J64" i="194"/>
  <c r="E64" i="194"/>
  <c r="FX63" i="194"/>
  <c r="FW63" i="194"/>
  <c r="ET63" i="194"/>
  <c r="ET62" i="194" s="1"/>
  <c r="ES63" i="194"/>
  <c r="CW63" i="194"/>
  <c r="CR63" i="194"/>
  <c r="CK63" i="194"/>
  <c r="CK62" i="194" s="1"/>
  <c r="CJ63" i="194"/>
  <c r="BG63" i="194"/>
  <c r="BF63" i="194"/>
  <c r="J63" i="194"/>
  <c r="E63" i="194"/>
  <c r="FX58" i="194"/>
  <c r="FW58" i="194"/>
  <c r="ET58" i="194"/>
  <c r="ES58" i="194"/>
  <c r="DR58" i="194"/>
  <c r="DQ58" i="194"/>
  <c r="DQ56" i="194" s="1"/>
  <c r="DP58" i="194"/>
  <c r="DP13" i="194" s="1"/>
  <c r="CR58" i="194"/>
  <c r="CR56" i="194" s="1"/>
  <c r="CK58" i="194"/>
  <c r="CJ58" i="194"/>
  <c r="BG58" i="194"/>
  <c r="BF58" i="194"/>
  <c r="AE58" i="194"/>
  <c r="AD58" i="194"/>
  <c r="AD56" i="194"/>
  <c r="AC58" i="194"/>
  <c r="E58" i="194"/>
  <c r="FX57" i="194"/>
  <c r="FW57" i="194"/>
  <c r="FW56" i="194"/>
  <c r="ET57" i="194"/>
  <c r="ES57" i="194"/>
  <c r="CW57" i="194"/>
  <c r="CR57" i="194"/>
  <c r="CK57" i="194"/>
  <c r="CJ57" i="194"/>
  <c r="BG57" i="194"/>
  <c r="BF57" i="194"/>
  <c r="J57" i="194"/>
  <c r="E57" i="194"/>
  <c r="C42" i="176"/>
  <c r="I42" i="176"/>
  <c r="C43" i="176"/>
  <c r="I43" i="176" s="1"/>
  <c r="C44" i="176"/>
  <c r="I44" i="176" s="1"/>
  <c r="C45" i="176"/>
  <c r="K45" i="176"/>
  <c r="C46" i="176"/>
  <c r="K46" i="176" s="1"/>
  <c r="C48" i="176"/>
  <c r="K48" i="176" s="1"/>
  <c r="C49" i="176"/>
  <c r="E50" i="176"/>
  <c r="F50" i="176"/>
  <c r="G50" i="176"/>
  <c r="J50" i="176"/>
  <c r="N49" i="175"/>
  <c r="D49" i="175" s="1"/>
  <c r="W49" i="175" s="1"/>
  <c r="N44" i="175"/>
  <c r="D44" i="175"/>
  <c r="W44" i="175" s="1"/>
  <c r="BU61" i="194"/>
  <c r="BG61" i="194"/>
  <c r="CW61" i="194"/>
  <c r="CR61" i="194"/>
  <c r="CW19" i="194"/>
  <c r="CR19" i="194"/>
  <c r="CQ19" i="194" s="1"/>
  <c r="C30" i="176"/>
  <c r="C29" i="176"/>
  <c r="K29" i="176" s="1"/>
  <c r="C23" i="176"/>
  <c r="C22" i="176"/>
  <c r="C21" i="176"/>
  <c r="C20" i="176"/>
  <c r="K20" i="176" s="1"/>
  <c r="C17" i="176"/>
  <c r="K17" i="176" s="1"/>
  <c r="N65" i="175"/>
  <c r="D65" i="175" s="1"/>
  <c r="W65" i="175" s="1"/>
  <c r="N61" i="175"/>
  <c r="D61" i="175"/>
  <c r="W61" i="175" s="1"/>
  <c r="N60" i="175"/>
  <c r="D60" i="175" s="1"/>
  <c r="N59" i="175"/>
  <c r="D59" i="175"/>
  <c r="W59" i="175" s="1"/>
  <c r="N58" i="175"/>
  <c r="D58" i="175"/>
  <c r="N47" i="175"/>
  <c r="D47" i="175" s="1"/>
  <c r="W47" i="175" s="1"/>
  <c r="N46" i="175"/>
  <c r="D46" i="175" s="1"/>
  <c r="W46" i="175" s="1"/>
  <c r="N45" i="175"/>
  <c r="D45" i="175"/>
  <c r="W45" i="175" s="1"/>
  <c r="N43" i="175"/>
  <c r="D43" i="175" s="1"/>
  <c r="W43" i="175" s="1"/>
  <c r="N31" i="175"/>
  <c r="D31" i="175"/>
  <c r="N30" i="175"/>
  <c r="D30" i="175"/>
  <c r="W30" i="175" s="1"/>
  <c r="N24" i="175"/>
  <c r="D24" i="175" s="1"/>
  <c r="W24" i="175" s="1"/>
  <c r="N23" i="175"/>
  <c r="D23" i="175" s="1"/>
  <c r="W23" i="175" s="1"/>
  <c r="N22" i="175"/>
  <c r="D22" i="175"/>
  <c r="W22" i="175" s="1"/>
  <c r="N21" i="175"/>
  <c r="D21" i="175" s="1"/>
  <c r="W21" i="175"/>
  <c r="R18" i="175"/>
  <c r="Q18" i="175"/>
  <c r="N18" i="175"/>
  <c r="FX73" i="194"/>
  <c r="FW73" i="194"/>
  <c r="ET73" i="194"/>
  <c r="ES73" i="194"/>
  <c r="CW73" i="194"/>
  <c r="CR73" i="194"/>
  <c r="CK73" i="194"/>
  <c r="CJ73" i="194"/>
  <c r="BG73" i="194"/>
  <c r="BF73" i="194"/>
  <c r="J73" i="194"/>
  <c r="E73" i="194"/>
  <c r="FX72" i="194"/>
  <c r="FW72" i="194"/>
  <c r="FV72" i="194"/>
  <c r="ET72" i="194"/>
  <c r="ES72" i="194"/>
  <c r="CW72" i="194"/>
  <c r="CR72" i="194"/>
  <c r="CK72" i="194"/>
  <c r="CJ72" i="194"/>
  <c r="BG72" i="194"/>
  <c r="BG71" i="194" s="1"/>
  <c r="BF72" i="194"/>
  <c r="J72" i="194"/>
  <c r="E72" i="194"/>
  <c r="FX70" i="194"/>
  <c r="FW70" i="194"/>
  <c r="FV70" i="194" s="1"/>
  <c r="ET70" i="194"/>
  <c r="ER70" i="194" s="1"/>
  <c r="ES70" i="194"/>
  <c r="CW70" i="194"/>
  <c r="CR70" i="194"/>
  <c r="CK70" i="194"/>
  <c r="CJ70" i="194"/>
  <c r="CI70" i="194" s="1"/>
  <c r="BG70" i="194"/>
  <c r="BF70" i="194"/>
  <c r="J70" i="194"/>
  <c r="E70" i="194"/>
  <c r="FX69" i="194"/>
  <c r="FW69" i="194"/>
  <c r="ET69" i="194"/>
  <c r="ER69" i="194" s="1"/>
  <c r="ES69" i="194"/>
  <c r="CW69" i="194"/>
  <c r="CR69" i="194"/>
  <c r="CK69" i="194"/>
  <c r="CK68" i="194" s="1"/>
  <c r="CJ69" i="194"/>
  <c r="BG69" i="194"/>
  <c r="BF69" i="194"/>
  <c r="J69" i="194"/>
  <c r="E69" i="194"/>
  <c r="FX52" i="194"/>
  <c r="FW52" i="194"/>
  <c r="ET52" i="194"/>
  <c r="ES52" i="194"/>
  <c r="CW52" i="194"/>
  <c r="CR52" i="194"/>
  <c r="CK52" i="194"/>
  <c r="CJ52" i="194"/>
  <c r="CJ50" i="194" s="1"/>
  <c r="BG52" i="194"/>
  <c r="BF52" i="194"/>
  <c r="J52" i="194"/>
  <c r="J50" i="194" s="1"/>
  <c r="E52" i="194"/>
  <c r="FX51" i="194"/>
  <c r="FW51" i="194"/>
  <c r="FV51" i="194" s="1"/>
  <c r="CP51" i="194" s="1"/>
  <c r="ET51" i="194"/>
  <c r="ES51" i="194"/>
  <c r="CW51" i="194"/>
  <c r="CR51" i="194"/>
  <c r="CQ51" i="194"/>
  <c r="CK51" i="194"/>
  <c r="CJ51" i="194"/>
  <c r="BG51" i="194"/>
  <c r="BE51" i="194" s="1"/>
  <c r="BE50" i="194" s="1"/>
  <c r="BF51" i="194"/>
  <c r="J51" i="194"/>
  <c r="E51" i="194"/>
  <c r="FX49" i="194"/>
  <c r="FW49" i="194"/>
  <c r="ET49" i="194"/>
  <c r="ES49" i="194"/>
  <c r="ER49" i="194" s="1"/>
  <c r="CW49" i="194"/>
  <c r="CR49" i="194"/>
  <c r="CK49" i="194"/>
  <c r="CJ49" i="194"/>
  <c r="CI49" i="194" s="1"/>
  <c r="BG49" i="194"/>
  <c r="BF49" i="194"/>
  <c r="J49" i="194"/>
  <c r="D49" i="194" s="1"/>
  <c r="E49" i="194"/>
  <c r="FX48" i="194"/>
  <c r="FW48" i="194"/>
  <c r="ET48" i="194"/>
  <c r="ET47" i="194" s="1"/>
  <c r="ES48" i="194"/>
  <c r="CW48" i="194"/>
  <c r="CW47" i="194" s="1"/>
  <c r="Y23" i="175" s="1"/>
  <c r="CR48" i="194"/>
  <c r="CK48" i="194"/>
  <c r="CJ48" i="194"/>
  <c r="CI48" i="194" s="1"/>
  <c r="CI47" i="194" s="1"/>
  <c r="BG48" i="194"/>
  <c r="BG47" i="194" s="1"/>
  <c r="BF48" i="194"/>
  <c r="J48" i="194"/>
  <c r="E48" i="194"/>
  <c r="FX46" i="194"/>
  <c r="FW46" i="194"/>
  <c r="ET46" i="194"/>
  <c r="ES46" i="194"/>
  <c r="ER46" i="194" s="1"/>
  <c r="CW46" i="194"/>
  <c r="CR46" i="194"/>
  <c r="CK46" i="194"/>
  <c r="CJ46" i="194"/>
  <c r="BG46" i="194"/>
  <c r="BF46" i="194"/>
  <c r="J46" i="194"/>
  <c r="E46" i="194"/>
  <c r="FX45" i="194"/>
  <c r="FW45" i="194"/>
  <c r="ET45" i="194"/>
  <c r="ET44" i="194" s="1"/>
  <c r="ES45" i="194"/>
  <c r="CW45" i="194"/>
  <c r="CR45" i="194"/>
  <c r="CK45" i="194"/>
  <c r="CI45" i="194" s="1"/>
  <c r="CJ45" i="194"/>
  <c r="BG45" i="194"/>
  <c r="BF45" i="194"/>
  <c r="J45" i="194"/>
  <c r="E45" i="194"/>
  <c r="D45" i="194" s="1"/>
  <c r="FX43" i="194"/>
  <c r="FW43" i="194"/>
  <c r="ET43" i="194"/>
  <c r="ES43" i="194"/>
  <c r="ER43" i="194" s="1"/>
  <c r="CR43" i="194"/>
  <c r="CK43" i="194"/>
  <c r="CJ43" i="194"/>
  <c r="BG43" i="194"/>
  <c r="BF43" i="194"/>
  <c r="AI43" i="194"/>
  <c r="AH43" i="194"/>
  <c r="E43" i="194"/>
  <c r="FX42" i="194"/>
  <c r="FW42" i="194"/>
  <c r="ET42" i="194"/>
  <c r="ES42" i="194"/>
  <c r="CW42" i="194"/>
  <c r="CR42" i="194"/>
  <c r="CK42" i="194"/>
  <c r="CJ42" i="194"/>
  <c r="BG42" i="194"/>
  <c r="BF42" i="194"/>
  <c r="J42" i="194"/>
  <c r="D42" i="194" s="1"/>
  <c r="E42" i="194"/>
  <c r="FX34" i="194"/>
  <c r="FV34" i="194" s="1"/>
  <c r="FW34" i="194"/>
  <c r="ET34" i="194"/>
  <c r="ES34" i="194"/>
  <c r="CW34" i="194"/>
  <c r="CR34" i="194"/>
  <c r="L83" i="194"/>
  <c r="K83" i="194"/>
  <c r="L80" i="194"/>
  <c r="K80" i="194"/>
  <c r="GA98" i="194"/>
  <c r="FZ98" i="194"/>
  <c r="FY98" i="194"/>
  <c r="EQ100" i="194"/>
  <c r="EQ98" i="194" s="1"/>
  <c r="FZ92" i="194"/>
  <c r="FW94" i="194"/>
  <c r="ET94" i="194"/>
  <c r="ES94" i="194"/>
  <c r="CW94" i="194"/>
  <c r="U36" i="175" s="1"/>
  <c r="CR94" i="194"/>
  <c r="FX93" i="194"/>
  <c r="FW93" i="194"/>
  <c r="ET93" i="194"/>
  <c r="ET92" i="194" s="1"/>
  <c r="ES93" i="194"/>
  <c r="ES92" i="194" s="1"/>
  <c r="CW93" i="194"/>
  <c r="CR93" i="194"/>
  <c r="GA92" i="194"/>
  <c r="FY92" i="194"/>
  <c r="FU92" i="194"/>
  <c r="FT92" i="194"/>
  <c r="FS92" i="194"/>
  <c r="FR92" i="194"/>
  <c r="FQ92" i="194"/>
  <c r="FP92" i="194"/>
  <c r="FO92" i="194"/>
  <c r="FN92" i="194"/>
  <c r="FM92" i="194"/>
  <c r="FL92" i="194"/>
  <c r="FK92" i="194"/>
  <c r="FJ92" i="194"/>
  <c r="FI92" i="194"/>
  <c r="FH92" i="194"/>
  <c r="FG92" i="194"/>
  <c r="FF92" i="194"/>
  <c r="FE92" i="194"/>
  <c r="FD92" i="194"/>
  <c r="FC92" i="194"/>
  <c r="FB92" i="194"/>
  <c r="FA92" i="194"/>
  <c r="EZ92" i="194"/>
  <c r="EY92" i="194"/>
  <c r="EX92" i="194"/>
  <c r="EW92" i="194"/>
  <c r="EV92" i="194"/>
  <c r="EU92" i="194"/>
  <c r="EQ92" i="194"/>
  <c r="EP92" i="194"/>
  <c r="EO92" i="194"/>
  <c r="EN92" i="194"/>
  <c r="EM92" i="194"/>
  <c r="EL92" i="194"/>
  <c r="EK92" i="194"/>
  <c r="EJ92" i="194"/>
  <c r="EI92" i="194"/>
  <c r="EH92" i="194"/>
  <c r="EG92" i="194"/>
  <c r="EF92" i="194"/>
  <c r="EE92" i="194"/>
  <c r="ED92" i="194"/>
  <c r="EC92" i="194"/>
  <c r="EB92" i="194"/>
  <c r="EA92" i="194"/>
  <c r="DZ92" i="194"/>
  <c r="DY92" i="194"/>
  <c r="DX92" i="194"/>
  <c r="DW92" i="194"/>
  <c r="DV92" i="194"/>
  <c r="DU92" i="194"/>
  <c r="DT92" i="194"/>
  <c r="DS92" i="194"/>
  <c r="DR92" i="194"/>
  <c r="DQ92" i="194"/>
  <c r="DP92" i="194"/>
  <c r="DO92" i="194"/>
  <c r="DN92" i="194"/>
  <c r="DM92" i="194"/>
  <c r="DL92" i="194"/>
  <c r="DK92" i="194"/>
  <c r="DJ92" i="194"/>
  <c r="DI92" i="194"/>
  <c r="DH92" i="194"/>
  <c r="DG92" i="194"/>
  <c r="DF92" i="194"/>
  <c r="DE92" i="194"/>
  <c r="DD92" i="194"/>
  <c r="DC92" i="194"/>
  <c r="DB92" i="194"/>
  <c r="DA92" i="194"/>
  <c r="CZ92" i="194"/>
  <c r="CY92" i="194"/>
  <c r="CX92" i="194"/>
  <c r="CV92" i="194"/>
  <c r="CU92" i="194"/>
  <c r="CT92" i="194"/>
  <c r="FX91" i="194"/>
  <c r="FW91" i="194"/>
  <c r="ET91" i="194"/>
  <c r="ES91" i="194"/>
  <c r="CW91" i="194"/>
  <c r="CR91" i="194"/>
  <c r="FX90" i="194"/>
  <c r="FW90" i="194"/>
  <c r="ET90" i="194"/>
  <c r="ES90" i="194"/>
  <c r="CW90" i="194"/>
  <c r="CR90" i="194"/>
  <c r="GA89" i="194"/>
  <c r="FZ89" i="194"/>
  <c r="FY89" i="194"/>
  <c r="FU89" i="194"/>
  <c r="FT89" i="194"/>
  <c r="FS89" i="194"/>
  <c r="FR89" i="194"/>
  <c r="FQ89" i="194"/>
  <c r="FP89" i="194"/>
  <c r="FO89" i="194"/>
  <c r="FN89" i="194"/>
  <c r="FM89" i="194"/>
  <c r="FL89" i="194"/>
  <c r="FK89" i="194"/>
  <c r="FJ89" i="194"/>
  <c r="FI89" i="194"/>
  <c r="FH89" i="194"/>
  <c r="FG89" i="194"/>
  <c r="FF89" i="194"/>
  <c r="FE89" i="194"/>
  <c r="FD89" i="194"/>
  <c r="FC89" i="194"/>
  <c r="FB89" i="194"/>
  <c r="FA89" i="194"/>
  <c r="EZ89" i="194"/>
  <c r="EY89" i="194"/>
  <c r="EX89" i="194"/>
  <c r="EW89" i="194"/>
  <c r="EV89" i="194"/>
  <c r="EU89" i="194"/>
  <c r="EQ89" i="194"/>
  <c r="EP89" i="194"/>
  <c r="EO89" i="194"/>
  <c r="EN89" i="194"/>
  <c r="EM89" i="194"/>
  <c r="EL89" i="194"/>
  <c r="EK89" i="194"/>
  <c r="EJ89" i="194"/>
  <c r="EI89" i="194"/>
  <c r="EH89" i="194"/>
  <c r="EG89" i="194"/>
  <c r="EF89" i="194"/>
  <c r="EE89" i="194"/>
  <c r="ED89" i="194"/>
  <c r="EC89" i="194"/>
  <c r="EB89" i="194"/>
  <c r="EA89" i="194"/>
  <c r="DZ89" i="194"/>
  <c r="DY89" i="194"/>
  <c r="DX89" i="194"/>
  <c r="DW89" i="194"/>
  <c r="DV89" i="194"/>
  <c r="DU89" i="194"/>
  <c r="DT89" i="194"/>
  <c r="DS89" i="194"/>
  <c r="DR89" i="194"/>
  <c r="DQ89" i="194"/>
  <c r="DP89" i="194"/>
  <c r="DO89" i="194"/>
  <c r="DN89" i="194"/>
  <c r="DM89" i="194"/>
  <c r="DL89" i="194"/>
  <c r="DK89" i="194"/>
  <c r="DJ89" i="194"/>
  <c r="DI89" i="194"/>
  <c r="DH89" i="194"/>
  <c r="DG89" i="194"/>
  <c r="DF89" i="194"/>
  <c r="DE89" i="194"/>
  <c r="DD89" i="194"/>
  <c r="DC89" i="194"/>
  <c r="DB89" i="194"/>
  <c r="DA89" i="194"/>
  <c r="CZ89" i="194"/>
  <c r="CY89" i="194"/>
  <c r="CX89" i="194"/>
  <c r="CV89" i="194"/>
  <c r="CU89" i="194"/>
  <c r="CT89" i="194"/>
  <c r="CS89" i="194"/>
  <c r="FX88" i="194"/>
  <c r="FW88" i="194"/>
  <c r="ET88" i="194"/>
  <c r="ES88" i="194"/>
  <c r="CW88" i="194"/>
  <c r="CR88" i="194"/>
  <c r="FX87" i="194"/>
  <c r="FW87" i="194"/>
  <c r="ET87" i="194"/>
  <c r="ES87" i="194"/>
  <c r="CW87" i="194"/>
  <c r="CR87" i="194"/>
  <c r="GA86" i="194"/>
  <c r="FZ86" i="194"/>
  <c r="FY86" i="194"/>
  <c r="FU86" i="194"/>
  <c r="FT86" i="194"/>
  <c r="FS86" i="194"/>
  <c r="FR86" i="194"/>
  <c r="FQ86" i="194"/>
  <c r="FP86" i="194"/>
  <c r="FO86" i="194"/>
  <c r="FN86" i="194"/>
  <c r="FM86" i="194"/>
  <c r="FL86" i="194"/>
  <c r="FK86" i="194"/>
  <c r="FJ86" i="194"/>
  <c r="FI86" i="194"/>
  <c r="FH86" i="194"/>
  <c r="FG86" i="194"/>
  <c r="FF86" i="194"/>
  <c r="FE86" i="194"/>
  <c r="FD86" i="194"/>
  <c r="FC86" i="194"/>
  <c r="FB86" i="194"/>
  <c r="FA86" i="194"/>
  <c r="EZ86" i="194"/>
  <c r="EY86" i="194"/>
  <c r="EX86" i="194"/>
  <c r="EW86" i="194"/>
  <c r="EV86" i="194"/>
  <c r="EU86" i="194"/>
  <c r="EQ86" i="194"/>
  <c r="EP86" i="194"/>
  <c r="EO86" i="194"/>
  <c r="EN86" i="194"/>
  <c r="EM86" i="194"/>
  <c r="EL86" i="194"/>
  <c r="EK86" i="194"/>
  <c r="EJ86" i="194"/>
  <c r="EI86" i="194"/>
  <c r="EH86" i="194"/>
  <c r="EG86" i="194"/>
  <c r="EF86" i="194"/>
  <c r="EE86" i="194"/>
  <c r="ED86" i="194"/>
  <c r="EC86" i="194"/>
  <c r="EB86" i="194"/>
  <c r="EA86" i="194"/>
  <c r="DZ86" i="194"/>
  <c r="DY86" i="194"/>
  <c r="DX86" i="194"/>
  <c r="DW86" i="194"/>
  <c r="DV86" i="194"/>
  <c r="DU86" i="194"/>
  <c r="DT86" i="194"/>
  <c r="DS86" i="194"/>
  <c r="DR86" i="194"/>
  <c r="DQ86" i="194"/>
  <c r="DP86" i="194"/>
  <c r="DO86" i="194"/>
  <c r="DN86" i="194"/>
  <c r="DM86" i="194"/>
  <c r="DL86" i="194"/>
  <c r="DK86" i="194"/>
  <c r="DJ86" i="194"/>
  <c r="DI86" i="194"/>
  <c r="DH86" i="194"/>
  <c r="DG86" i="194"/>
  <c r="DF86" i="194"/>
  <c r="DE86" i="194"/>
  <c r="DD86" i="194"/>
  <c r="DC86" i="194"/>
  <c r="DB86" i="194"/>
  <c r="DA86" i="194"/>
  <c r="CZ86" i="194"/>
  <c r="CY86" i="194"/>
  <c r="CX86" i="194"/>
  <c r="CV86" i="194"/>
  <c r="CU86" i="194"/>
  <c r="CT86" i="194"/>
  <c r="CS86" i="194"/>
  <c r="CM92" i="194"/>
  <c r="AR97" i="194"/>
  <c r="BD97" i="194"/>
  <c r="F13" i="194"/>
  <c r="EI100" i="194"/>
  <c r="FM100" i="194"/>
  <c r="FM98" i="194"/>
  <c r="FC100" i="194"/>
  <c r="FC98" i="194" s="1"/>
  <c r="FE100" i="194"/>
  <c r="FE98" i="194" s="1"/>
  <c r="FB100" i="194"/>
  <c r="FB98" i="194" s="1"/>
  <c r="FN100" i="194"/>
  <c r="FP100" i="194"/>
  <c r="FP98" i="194" s="1"/>
  <c r="FI100" i="194"/>
  <c r="FH100" i="194"/>
  <c r="FH98" i="194" s="1"/>
  <c r="BF96" i="194"/>
  <c r="BF97" i="194"/>
  <c r="BF94" i="194"/>
  <c r="BF93" i="194"/>
  <c r="BF91" i="194"/>
  <c r="BF90" i="194"/>
  <c r="BF89" i="194" s="1"/>
  <c r="BF88" i="194"/>
  <c r="BF87" i="194"/>
  <c r="BF85" i="194"/>
  <c r="BF84" i="194"/>
  <c r="BF83" i="194" s="1"/>
  <c r="BF82" i="194"/>
  <c r="BF81" i="194"/>
  <c r="BF79" i="194"/>
  <c r="BF78" i="194"/>
  <c r="BF76" i="194"/>
  <c r="BF75" i="194"/>
  <c r="BF67" i="194"/>
  <c r="BF66" i="194"/>
  <c r="BF61" i="194"/>
  <c r="BF60" i="194"/>
  <c r="BF55" i="194"/>
  <c r="BF54" i="194"/>
  <c r="BF53" i="194" s="1"/>
  <c r="BF40" i="194"/>
  <c r="BF39" i="194"/>
  <c r="BF37" i="194"/>
  <c r="BF36" i="194"/>
  <c r="BF34" i="194"/>
  <c r="BF33" i="194"/>
  <c r="BF31" i="194"/>
  <c r="BF30" i="194"/>
  <c r="BF28" i="194"/>
  <c r="BF27" i="194"/>
  <c r="BF25" i="194"/>
  <c r="BF24" i="194"/>
  <c r="BF22" i="194"/>
  <c r="BF21" i="194"/>
  <c r="BF19" i="194"/>
  <c r="BF18" i="194"/>
  <c r="BF16" i="194"/>
  <c r="BF15" i="194"/>
  <c r="ES16" i="194"/>
  <c r="ES15" i="194"/>
  <c r="ES19" i="194"/>
  <c r="ES18" i="194"/>
  <c r="ES22" i="194"/>
  <c r="ES21" i="194"/>
  <c r="ES25" i="194"/>
  <c r="ES24" i="194"/>
  <c r="ES28" i="194"/>
  <c r="ES27" i="194"/>
  <c r="ES31" i="194"/>
  <c r="ES30" i="194"/>
  <c r="ES33" i="194"/>
  <c r="ES37" i="194"/>
  <c r="ER37" i="194" s="1"/>
  <c r="ES36" i="194"/>
  <c r="ES40" i="194"/>
  <c r="ES39" i="194"/>
  <c r="ES55" i="194"/>
  <c r="ES54" i="194"/>
  <c r="ES61" i="194"/>
  <c r="ES60" i="194"/>
  <c r="ES66" i="194"/>
  <c r="ES76" i="194"/>
  <c r="ES75" i="194"/>
  <c r="ES79" i="194"/>
  <c r="ES78" i="194"/>
  <c r="ES77" i="194" s="1"/>
  <c r="ES82" i="194"/>
  <c r="ES81" i="194"/>
  <c r="ES85" i="194"/>
  <c r="ES84" i="194"/>
  <c r="ES97" i="194"/>
  <c r="ES96" i="194"/>
  <c r="ES99" i="194"/>
  <c r="ES100" i="194"/>
  <c r="CT99" i="194"/>
  <c r="CR99" i="194" s="1"/>
  <c r="CR98" i="194" s="1"/>
  <c r="EY12" i="194"/>
  <c r="EY105" i="194" s="1"/>
  <c r="EZ12" i="194"/>
  <c r="EY13" i="194"/>
  <c r="EZ13" i="194"/>
  <c r="EY14" i="194"/>
  <c r="EZ14" i="194"/>
  <c r="EY17" i="194"/>
  <c r="EZ17" i="194"/>
  <c r="EY20" i="194"/>
  <c r="EZ20" i="194"/>
  <c r="EY23" i="194"/>
  <c r="EZ23" i="194"/>
  <c r="EY26" i="194"/>
  <c r="EZ26" i="194"/>
  <c r="EY29" i="194"/>
  <c r="EZ29" i="194"/>
  <c r="EY32" i="194"/>
  <c r="EZ32" i="194"/>
  <c r="EY35" i="194"/>
  <c r="EZ35" i="194"/>
  <c r="EY38" i="194"/>
  <c r="EZ38" i="194"/>
  <c r="EY41" i="194"/>
  <c r="EZ41" i="194"/>
  <c r="EY44" i="194"/>
  <c r="EZ44" i="194"/>
  <c r="EY47" i="194"/>
  <c r="EZ47" i="194"/>
  <c r="EY50" i="194"/>
  <c r="EZ50" i="194"/>
  <c r="EY53" i="194"/>
  <c r="EZ53" i="194"/>
  <c r="EY56" i="194"/>
  <c r="EZ56" i="194"/>
  <c r="EY59" i="194"/>
  <c r="EZ59" i="194"/>
  <c r="EY62" i="194"/>
  <c r="EZ62" i="194"/>
  <c r="EY65" i="194"/>
  <c r="EZ65" i="194"/>
  <c r="EY68" i="194"/>
  <c r="EZ68" i="194"/>
  <c r="EY71" i="194"/>
  <c r="EZ71" i="194"/>
  <c r="EY74" i="194"/>
  <c r="EZ74" i="194"/>
  <c r="EY77" i="194"/>
  <c r="EZ77" i="194"/>
  <c r="EY80" i="194"/>
  <c r="EZ80" i="194"/>
  <c r="EY83" i="194"/>
  <c r="EZ83" i="194"/>
  <c r="EY95" i="194"/>
  <c r="EZ95" i="194"/>
  <c r="EY98" i="194"/>
  <c r="EZ98" i="194"/>
  <c r="BM95" i="194"/>
  <c r="BL95" i="194"/>
  <c r="BM92" i="194"/>
  <c r="BL92" i="194"/>
  <c r="BM89" i="194"/>
  <c r="BL89" i="194"/>
  <c r="BM86" i="194"/>
  <c r="BL86" i="194"/>
  <c r="BM83" i="194"/>
  <c r="BL83" i="194"/>
  <c r="BM80" i="194"/>
  <c r="BL80" i="194"/>
  <c r="BM77" i="194"/>
  <c r="BL77" i="194"/>
  <c r="BM74" i="194"/>
  <c r="BL74" i="194"/>
  <c r="BM71" i="194"/>
  <c r="BL71" i="194"/>
  <c r="BM68" i="194"/>
  <c r="BL68" i="194"/>
  <c r="BM65" i="194"/>
  <c r="BL65" i="194"/>
  <c r="BM62" i="194"/>
  <c r="BL62" i="194"/>
  <c r="BM59" i="194"/>
  <c r="BL59" i="194"/>
  <c r="BM56" i="194"/>
  <c r="BL56" i="194"/>
  <c r="BM53" i="194"/>
  <c r="BL53" i="194"/>
  <c r="BM50" i="194"/>
  <c r="BL50" i="194"/>
  <c r="BM47" i="194"/>
  <c r="BL47" i="194"/>
  <c r="BM44" i="194"/>
  <c r="BL44" i="194"/>
  <c r="BM41" i="194"/>
  <c r="BL41" i="194"/>
  <c r="BM38" i="194"/>
  <c r="BL38" i="194"/>
  <c r="BM35" i="194"/>
  <c r="BL35" i="194"/>
  <c r="BM32" i="194"/>
  <c r="BL32" i="194"/>
  <c r="BM29" i="194"/>
  <c r="BL29" i="194"/>
  <c r="BM26" i="194"/>
  <c r="BL26" i="194"/>
  <c r="BM23" i="194"/>
  <c r="BL23" i="194"/>
  <c r="BM20" i="194"/>
  <c r="BL20" i="194"/>
  <c r="BM17" i="194"/>
  <c r="BL17" i="194"/>
  <c r="BM14" i="194"/>
  <c r="BL14" i="194"/>
  <c r="BM13" i="194"/>
  <c r="BL13" i="194"/>
  <c r="EY103" i="194" s="1"/>
  <c r="BM12" i="194"/>
  <c r="BL12" i="194"/>
  <c r="FX55" i="194"/>
  <c r="FW55" i="194"/>
  <c r="ET55" i="194"/>
  <c r="CW55" i="194"/>
  <c r="CR55" i="194"/>
  <c r="CR53" i="194" s="1"/>
  <c r="CK55" i="194"/>
  <c r="CJ55" i="194"/>
  <c r="BG55" i="194"/>
  <c r="J55" i="194"/>
  <c r="E55" i="194"/>
  <c r="FX54" i="194"/>
  <c r="FW54" i="194"/>
  <c r="ET54" i="194"/>
  <c r="CW54" i="194"/>
  <c r="CW53" i="194" s="1"/>
  <c r="CR54" i="194"/>
  <c r="CK54" i="194"/>
  <c r="CI54" i="194" s="1"/>
  <c r="CJ54" i="194"/>
  <c r="BG54" i="194"/>
  <c r="J54" i="194"/>
  <c r="J53" i="194" s="1"/>
  <c r="M24" i="176" s="1"/>
  <c r="E54" i="194"/>
  <c r="FX37" i="194"/>
  <c r="FW37" i="194"/>
  <c r="FV37" i="194"/>
  <c r="ET37" i="194"/>
  <c r="CZ37" i="194"/>
  <c r="CZ13" i="194"/>
  <c r="CR37" i="194"/>
  <c r="CK37" i="194"/>
  <c r="CJ37" i="194"/>
  <c r="BG37" i="194"/>
  <c r="M37" i="194"/>
  <c r="J37" i="194"/>
  <c r="M18" i="176"/>
  <c r="N18" i="176" s="1"/>
  <c r="E37" i="194"/>
  <c r="FX36" i="194"/>
  <c r="FX35" i="194" s="1"/>
  <c r="FW36" i="194"/>
  <c r="ET36" i="194"/>
  <c r="ER36" i="194" s="1"/>
  <c r="CW36" i="194"/>
  <c r="CR36" i="194"/>
  <c r="CK36" i="194"/>
  <c r="CJ36" i="194"/>
  <c r="BG36" i="194"/>
  <c r="J36" i="194"/>
  <c r="J35" i="194" s="1"/>
  <c r="E36" i="194"/>
  <c r="E35" i="194" s="1"/>
  <c r="FX31" i="194"/>
  <c r="FW31" i="194"/>
  <c r="ET31" i="194"/>
  <c r="CW31" i="194"/>
  <c r="CR31" i="194"/>
  <c r="CK31" i="194"/>
  <c r="CJ31" i="194"/>
  <c r="BG31" i="194"/>
  <c r="J31" i="194"/>
  <c r="E31" i="194"/>
  <c r="FX30" i="194"/>
  <c r="FW30" i="194"/>
  <c r="ET30" i="194"/>
  <c r="CW30" i="194"/>
  <c r="CR30" i="194"/>
  <c r="CK30" i="194"/>
  <c r="CJ30" i="194"/>
  <c r="BG30" i="194"/>
  <c r="J30" i="194"/>
  <c r="E30" i="194"/>
  <c r="D30" i="194" s="1"/>
  <c r="H55" i="176"/>
  <c r="H53" i="176" s="1"/>
  <c r="G55" i="176"/>
  <c r="G53" i="176" s="1"/>
  <c r="C55" i="176"/>
  <c r="H51" i="176"/>
  <c r="D51" i="176"/>
  <c r="C51" i="176"/>
  <c r="C14" i="176"/>
  <c r="N56" i="175"/>
  <c r="D56" i="175"/>
  <c r="Q52" i="175"/>
  <c r="N52" i="175" s="1"/>
  <c r="V15" i="175"/>
  <c r="N15" i="175"/>
  <c r="D15" i="175"/>
  <c r="W15" i="175" s="1"/>
  <c r="GB25" i="194"/>
  <c r="GB23" i="194"/>
  <c r="FX25" i="194"/>
  <c r="FW25" i="194"/>
  <c r="FU25" i="194"/>
  <c r="FT25" i="194"/>
  <c r="EN25" i="194"/>
  <c r="EN23" i="194"/>
  <c r="EI25" i="194"/>
  <c r="EI23" i="194" s="1"/>
  <c r="CR25" i="194"/>
  <c r="CK25" i="194"/>
  <c r="CJ25" i="194"/>
  <c r="CH25" i="194"/>
  <c r="CH13" i="194" s="1"/>
  <c r="BA25" i="194"/>
  <c r="BA13" i="194" s="1"/>
  <c r="BA105" i="194" s="1"/>
  <c r="AV25" i="194"/>
  <c r="AV23" i="194" s="1"/>
  <c r="AV11" i="194" s="1"/>
  <c r="E25" i="194"/>
  <c r="FX24" i="194"/>
  <c r="FW24" i="194"/>
  <c r="ET24" i="194"/>
  <c r="CW24" i="194"/>
  <c r="CR24" i="194"/>
  <c r="CK24" i="194"/>
  <c r="CJ24" i="194"/>
  <c r="BG24" i="194"/>
  <c r="BE24" i="194"/>
  <c r="J24" i="194"/>
  <c r="E24" i="194"/>
  <c r="L17" i="178"/>
  <c r="AA17" i="183"/>
  <c r="AA14" i="183"/>
  <c r="X14" i="183"/>
  <c r="T14" i="183"/>
  <c r="Q14" i="183"/>
  <c r="M14" i="183"/>
  <c r="J14" i="183"/>
  <c r="J13" i="183" s="1"/>
  <c r="J12" i="183" s="1"/>
  <c r="C14" i="183"/>
  <c r="C13" i="183" s="1"/>
  <c r="C12" i="183" s="1"/>
  <c r="AA13" i="183"/>
  <c r="AA12" i="183" s="1"/>
  <c r="AC13" i="183"/>
  <c r="AC12" i="183" s="1"/>
  <c r="AB13" i="183"/>
  <c r="AB12" i="183" s="1"/>
  <c r="Z13" i="183"/>
  <c r="Z12" i="183" s="1"/>
  <c r="Y13" i="183"/>
  <c r="Y12" i="183" s="1"/>
  <c r="V13" i="183"/>
  <c r="V12" i="183" s="1"/>
  <c r="U13" i="183"/>
  <c r="U12" i="183" s="1"/>
  <c r="S13" i="183"/>
  <c r="S12" i="183" s="1"/>
  <c r="R13" i="183"/>
  <c r="R12" i="183" s="1"/>
  <c r="O13" i="183"/>
  <c r="O12" i="183" s="1"/>
  <c r="N13" i="183"/>
  <c r="N12" i="183" s="1"/>
  <c r="L13" i="183"/>
  <c r="L12" i="183" s="1"/>
  <c r="K13" i="183"/>
  <c r="K12" i="183" s="1"/>
  <c r="E13" i="183"/>
  <c r="E12" i="183" s="1"/>
  <c r="D13" i="183"/>
  <c r="D12" i="183" s="1"/>
  <c r="Q13" i="183"/>
  <c r="Q12" i="183" s="1"/>
  <c r="AA27" i="183"/>
  <c r="X27" i="183"/>
  <c r="AA21" i="183"/>
  <c r="X21" i="183"/>
  <c r="AA20" i="183"/>
  <c r="X20" i="183"/>
  <c r="AA18" i="183"/>
  <c r="X18" i="183"/>
  <c r="AA23" i="183"/>
  <c r="X23" i="183"/>
  <c r="AA19" i="183"/>
  <c r="X19" i="183"/>
  <c r="AA25" i="183"/>
  <c r="X25" i="183"/>
  <c r="X17" i="183"/>
  <c r="AC16" i="183"/>
  <c r="AB16" i="183"/>
  <c r="Z16" i="183"/>
  <c r="Y16" i="183"/>
  <c r="Y15" i="183" s="1"/>
  <c r="C27" i="183"/>
  <c r="C21" i="183"/>
  <c r="C20" i="183"/>
  <c r="C18" i="183"/>
  <c r="C23" i="183"/>
  <c r="C19" i="183"/>
  <c r="C25" i="183"/>
  <c r="C17" i="183"/>
  <c r="H37" i="176"/>
  <c r="J37" i="176"/>
  <c r="K38" i="176"/>
  <c r="C67" i="176"/>
  <c r="K67" i="176" s="1"/>
  <c r="K66" i="176" s="1"/>
  <c r="C65" i="176"/>
  <c r="K65" i="176" s="1"/>
  <c r="C61" i="176"/>
  <c r="K61" i="176" s="1"/>
  <c r="C59" i="176"/>
  <c r="K59" i="176" s="1"/>
  <c r="C58" i="176"/>
  <c r="K58" i="176" s="1"/>
  <c r="C57" i="176"/>
  <c r="K57" i="176" s="1"/>
  <c r="C56" i="176"/>
  <c r="K56" i="176" s="1"/>
  <c r="C54" i="176"/>
  <c r="I54" i="176" s="1"/>
  <c r="V38" i="175"/>
  <c r="E38" i="175"/>
  <c r="C12" i="176"/>
  <c r="I12" i="176" s="1"/>
  <c r="C13" i="176"/>
  <c r="I13" i="176" s="1"/>
  <c r="C15" i="176"/>
  <c r="C16" i="176"/>
  <c r="K16" i="176" s="1"/>
  <c r="C19" i="176"/>
  <c r="I19" i="176" s="1"/>
  <c r="C24" i="176"/>
  <c r="C25" i="176"/>
  <c r="I25" i="176" s="1"/>
  <c r="C26" i="176"/>
  <c r="K26" i="176" s="1"/>
  <c r="C27" i="176"/>
  <c r="K27" i="176" s="1"/>
  <c r="C28" i="176"/>
  <c r="C31" i="176"/>
  <c r="C34" i="176"/>
  <c r="D66" i="176"/>
  <c r="E66" i="176"/>
  <c r="E62" i="176" s="1"/>
  <c r="F66" i="176"/>
  <c r="G66" i="176"/>
  <c r="J66" i="176"/>
  <c r="D53" i="176"/>
  <c r="E53" i="176"/>
  <c r="F53" i="176"/>
  <c r="J53" i="176"/>
  <c r="J40" i="176" s="1"/>
  <c r="J36" i="176" s="1"/>
  <c r="E41" i="176"/>
  <c r="F41" i="176"/>
  <c r="G41" i="176"/>
  <c r="C52" i="176"/>
  <c r="D37" i="176"/>
  <c r="E37" i="176"/>
  <c r="F37" i="176"/>
  <c r="G37" i="176"/>
  <c r="C14" i="172"/>
  <c r="I14" i="172" s="1"/>
  <c r="C16" i="172"/>
  <c r="I16" i="172" s="1"/>
  <c r="C17" i="172"/>
  <c r="I17" i="172" s="1"/>
  <c r="C18" i="172"/>
  <c r="I18" i="172" s="1"/>
  <c r="C19" i="172"/>
  <c r="I19" i="172" s="1"/>
  <c r="C21" i="172"/>
  <c r="I21" i="172" s="1"/>
  <c r="C23" i="172"/>
  <c r="I23" i="172" s="1"/>
  <c r="C24" i="172"/>
  <c r="I24" i="172" s="1"/>
  <c r="C28" i="172"/>
  <c r="I28" i="172" s="1"/>
  <c r="C39" i="172"/>
  <c r="I39" i="172" s="1"/>
  <c r="I157" i="172"/>
  <c r="H153" i="172"/>
  <c r="K157" i="172"/>
  <c r="H41" i="172"/>
  <c r="C27" i="172"/>
  <c r="I27" i="172" s="1"/>
  <c r="C30" i="172"/>
  <c r="I30" i="172" s="1"/>
  <c r="C31" i="172"/>
  <c r="I31" i="172" s="1"/>
  <c r="C32" i="172"/>
  <c r="I32" i="172" s="1"/>
  <c r="C33" i="172"/>
  <c r="I33" i="172" s="1"/>
  <c r="C34" i="172"/>
  <c r="I34" i="172" s="1"/>
  <c r="C35" i="172"/>
  <c r="I35" i="172" s="1"/>
  <c r="C36" i="172"/>
  <c r="I36" i="172" s="1"/>
  <c r="C37" i="172"/>
  <c r="I37" i="172" s="1"/>
  <c r="C38" i="172"/>
  <c r="I38" i="172" s="1"/>
  <c r="C26" i="172"/>
  <c r="I26" i="172" s="1"/>
  <c r="C22" i="172"/>
  <c r="I22" i="172" s="1"/>
  <c r="C15" i="172"/>
  <c r="I15" i="172" s="1"/>
  <c r="C13" i="170"/>
  <c r="H14" i="174"/>
  <c r="D14" i="174" s="1"/>
  <c r="C29" i="172"/>
  <c r="I29" i="172" s="1"/>
  <c r="C174" i="170"/>
  <c r="L15" i="178"/>
  <c r="DS13" i="194"/>
  <c r="DV13" i="194"/>
  <c r="DV105" i="194" s="1"/>
  <c r="D15" i="180"/>
  <c r="C15" i="180"/>
  <c r="D13" i="180"/>
  <c r="C13" i="180"/>
  <c r="A13" i="180"/>
  <c r="D11" i="180"/>
  <c r="C11" i="180"/>
  <c r="D9" i="180"/>
  <c r="C9" i="180"/>
  <c r="E9" i="180" s="1"/>
  <c r="A4" i="180"/>
  <c r="D33" i="174"/>
  <c r="FX100" i="194"/>
  <c r="FW100" i="194"/>
  <c r="CR100" i="194"/>
  <c r="FX99" i="194"/>
  <c r="FW99" i="194"/>
  <c r="ET99" i="194"/>
  <c r="CW99" i="194"/>
  <c r="FU98" i="194"/>
  <c r="FT98" i="194"/>
  <c r="FS98" i="194"/>
  <c r="FR98" i="194"/>
  <c r="FQ98" i="194"/>
  <c r="FO98" i="194"/>
  <c r="FL98" i="194"/>
  <c r="FK98" i="194"/>
  <c r="FJ98" i="194"/>
  <c r="FG98" i="194"/>
  <c r="FF98" i="194"/>
  <c r="FD98" i="194"/>
  <c r="FA98" i="194"/>
  <c r="EX98" i="194"/>
  <c r="EW98" i="194"/>
  <c r="EV98" i="194"/>
  <c r="EU98" i="194"/>
  <c r="EP98" i="194"/>
  <c r="EO98" i="194"/>
  <c r="EN98" i="194"/>
  <c r="EM98" i="194"/>
  <c r="EL98" i="194"/>
  <c r="EK98" i="194"/>
  <c r="EJ98" i="194"/>
  <c r="EH98" i="194"/>
  <c r="EG98" i="194"/>
  <c r="EF98" i="194"/>
  <c r="EE98" i="194"/>
  <c r="ED98" i="194"/>
  <c r="EC98" i="194"/>
  <c r="EB98" i="194"/>
  <c r="EA98" i="194"/>
  <c r="DZ98" i="194"/>
  <c r="DY98" i="194"/>
  <c r="DX98" i="194"/>
  <c r="DW98" i="194"/>
  <c r="DV98" i="194"/>
  <c r="DU98" i="194"/>
  <c r="DT98" i="194"/>
  <c r="DS98" i="194"/>
  <c r="DR98" i="194"/>
  <c r="DQ98" i="194"/>
  <c r="DP98" i="194"/>
  <c r="DO98" i="194"/>
  <c r="DN98" i="194"/>
  <c r="DM98" i="194"/>
  <c r="DL98" i="194"/>
  <c r="DK98" i="194"/>
  <c r="DJ98" i="194"/>
  <c r="DI98" i="194"/>
  <c r="DH98" i="194"/>
  <c r="DD98" i="194"/>
  <c r="DC98" i="194"/>
  <c r="DB98" i="194"/>
  <c r="DA98" i="194"/>
  <c r="CZ98" i="194"/>
  <c r="CY98" i="194"/>
  <c r="CX98" i="194"/>
  <c r="CV98" i="194"/>
  <c r="CU98" i="194"/>
  <c r="CS98" i="194"/>
  <c r="FX97" i="194"/>
  <c r="FW97" i="194"/>
  <c r="FV97" i="194" s="1"/>
  <c r="ET97" i="194"/>
  <c r="CW97" i="194"/>
  <c r="CR97" i="194"/>
  <c r="CK97" i="194"/>
  <c r="CJ97" i="194"/>
  <c r="BG97" i="194"/>
  <c r="BE97" i="194"/>
  <c r="E97" i="194"/>
  <c r="FX96" i="194"/>
  <c r="FW96" i="194"/>
  <c r="ET96" i="194"/>
  <c r="CW96" i="194"/>
  <c r="CR96" i="194"/>
  <c r="CK96" i="194"/>
  <c r="CK95" i="194"/>
  <c r="CJ96" i="194"/>
  <c r="BG96" i="194"/>
  <c r="J96" i="194"/>
  <c r="E96" i="194"/>
  <c r="GA95" i="194"/>
  <c r="FZ95" i="194"/>
  <c r="FY95" i="194"/>
  <c r="FU95" i="194"/>
  <c r="FT95" i="194"/>
  <c r="FS95" i="194"/>
  <c r="FR95" i="194"/>
  <c r="FQ95" i="194"/>
  <c r="FP95" i="194"/>
  <c r="FO95" i="194"/>
  <c r="FN95" i="194"/>
  <c r="FM95" i="194"/>
  <c r="FL95" i="194"/>
  <c r="FK95" i="194"/>
  <c r="FJ95" i="194"/>
  <c r="FI95" i="194"/>
  <c r="FH95" i="194"/>
  <c r="FG95" i="194"/>
  <c r="FF95" i="194"/>
  <c r="FE95" i="194"/>
  <c r="FD95" i="194"/>
  <c r="FC95" i="194"/>
  <c r="FB95" i="194"/>
  <c r="FA95" i="194"/>
  <c r="EX95" i="194"/>
  <c r="EW95" i="194"/>
  <c r="EV95" i="194"/>
  <c r="EU95" i="194"/>
  <c r="EQ95" i="194"/>
  <c r="EP95" i="194"/>
  <c r="EO95" i="194"/>
  <c r="EN95" i="194"/>
  <c r="EM95" i="194"/>
  <c r="EL95" i="194"/>
  <c r="EK95" i="194"/>
  <c r="EJ95" i="194"/>
  <c r="EI95" i="194"/>
  <c r="EH95" i="194"/>
  <c r="EG95" i="194"/>
  <c r="EF95" i="194"/>
  <c r="EE95" i="194"/>
  <c r="ED95" i="194"/>
  <c r="EC95" i="194"/>
  <c r="EB95" i="194"/>
  <c r="EA95" i="194"/>
  <c r="DZ95" i="194"/>
  <c r="DY95" i="194"/>
  <c r="DX95" i="194"/>
  <c r="DW95" i="194"/>
  <c r="DV95" i="194"/>
  <c r="DU95" i="194"/>
  <c r="DT95" i="194"/>
  <c r="DS95" i="194"/>
  <c r="DR95" i="194"/>
  <c r="DQ95" i="194"/>
  <c r="DP95" i="194"/>
  <c r="DO95" i="194"/>
  <c r="DN95" i="194"/>
  <c r="DM95" i="194"/>
  <c r="DL95" i="194"/>
  <c r="DK95" i="194"/>
  <c r="DJ95" i="194"/>
  <c r="DI95" i="194"/>
  <c r="DH95" i="194"/>
  <c r="DG95" i="194"/>
  <c r="DD95" i="194"/>
  <c r="DC95" i="194"/>
  <c r="DB95" i="194"/>
  <c r="DA95" i="194"/>
  <c r="CZ95" i="194"/>
  <c r="CY95" i="194"/>
  <c r="CX95" i="194"/>
  <c r="CV95" i="194"/>
  <c r="CU95" i="194"/>
  <c r="CT95" i="194"/>
  <c r="CS95" i="194"/>
  <c r="CN95" i="194"/>
  <c r="CM95" i="194"/>
  <c r="CL95" i="194"/>
  <c r="CH95" i="194"/>
  <c r="CG95" i="194"/>
  <c r="CF95" i="194"/>
  <c r="CE95" i="194"/>
  <c r="CD95" i="194"/>
  <c r="CC95" i="194"/>
  <c r="CB95" i="194"/>
  <c r="CA95" i="194"/>
  <c r="BZ95" i="194"/>
  <c r="BY95" i="194"/>
  <c r="BX95" i="194"/>
  <c r="BW95" i="194"/>
  <c r="BV95" i="194"/>
  <c r="BU95" i="194"/>
  <c r="BT95" i="194"/>
  <c r="BS95" i="194"/>
  <c r="BR95" i="194"/>
  <c r="BQ95" i="194"/>
  <c r="BP95" i="194"/>
  <c r="BO95" i="194"/>
  <c r="BN95" i="194"/>
  <c r="BK95" i="194"/>
  <c r="BJ95" i="194"/>
  <c r="BI95" i="194"/>
  <c r="BH95" i="194"/>
  <c r="BC95" i="194"/>
  <c r="BB95" i="194"/>
  <c r="BA95" i="194"/>
  <c r="AZ95" i="194"/>
  <c r="AY95" i="194"/>
  <c r="AX95" i="194"/>
  <c r="AW95" i="194"/>
  <c r="AV95" i="194"/>
  <c r="AU95" i="194"/>
  <c r="AT95" i="194"/>
  <c r="AS95" i="194"/>
  <c r="AQ95" i="194"/>
  <c r="AP95" i="194"/>
  <c r="AO95" i="194"/>
  <c r="AN95" i="194"/>
  <c r="AM95" i="194"/>
  <c r="AL95" i="194"/>
  <c r="AK95" i="194"/>
  <c r="AJ95" i="194"/>
  <c r="AI95" i="194"/>
  <c r="AH95" i="194"/>
  <c r="AG95" i="194"/>
  <c r="AF95" i="194"/>
  <c r="AE95" i="194"/>
  <c r="AD95" i="194"/>
  <c r="AC95" i="194"/>
  <c r="AB95" i="194"/>
  <c r="AA95" i="194"/>
  <c r="Z95" i="194"/>
  <c r="Y95" i="194"/>
  <c r="X95" i="194"/>
  <c r="W95" i="194"/>
  <c r="V95" i="194"/>
  <c r="U95" i="194"/>
  <c r="T95" i="194"/>
  <c r="S95" i="194"/>
  <c r="R95" i="194"/>
  <c r="Q95" i="194"/>
  <c r="P95" i="194"/>
  <c r="O95" i="194"/>
  <c r="N95" i="194"/>
  <c r="M95" i="194"/>
  <c r="L95" i="194"/>
  <c r="K95" i="194"/>
  <c r="I95" i="194"/>
  <c r="H95" i="194"/>
  <c r="F95" i="194"/>
  <c r="CJ94" i="194"/>
  <c r="BG94" i="194"/>
  <c r="J94" i="194"/>
  <c r="CK93" i="194"/>
  <c r="CJ93" i="194"/>
  <c r="BG93" i="194"/>
  <c r="BE93" i="194"/>
  <c r="J93" i="194"/>
  <c r="E93" i="194"/>
  <c r="GB92" i="194"/>
  <c r="CN92" i="194"/>
  <c r="CL92" i="194"/>
  <c r="CH92" i="194"/>
  <c r="CG92" i="194"/>
  <c r="CF92" i="194"/>
  <c r="CE92" i="194"/>
  <c r="CD92" i="194"/>
  <c r="CC92" i="194"/>
  <c r="CB92" i="194"/>
  <c r="CA92" i="194"/>
  <c r="BZ92" i="194"/>
  <c r="BY92" i="194"/>
  <c r="BX92" i="194"/>
  <c r="BW92" i="194"/>
  <c r="BV92" i="194"/>
  <c r="BU92" i="194"/>
  <c r="BT92" i="194"/>
  <c r="BS92" i="194"/>
  <c r="BR92" i="194"/>
  <c r="BQ92" i="194"/>
  <c r="BP92" i="194"/>
  <c r="BO92" i="194"/>
  <c r="BN92" i="194"/>
  <c r="BK92" i="194"/>
  <c r="BJ92" i="194"/>
  <c r="BI92" i="194"/>
  <c r="BH92" i="194"/>
  <c r="BD92" i="194"/>
  <c r="BC92" i="194"/>
  <c r="BB92" i="194"/>
  <c r="BA92" i="194"/>
  <c r="AZ92" i="194"/>
  <c r="AY92" i="194"/>
  <c r="AX92" i="194"/>
  <c r="AW92" i="194"/>
  <c r="AV92" i="194"/>
  <c r="AU92" i="194"/>
  <c r="AT92" i="194"/>
  <c r="AS92" i="194"/>
  <c r="AR92" i="194"/>
  <c r="AQ92" i="194"/>
  <c r="AP92" i="194"/>
  <c r="AO92" i="194"/>
  <c r="AN92" i="194"/>
  <c r="AM92" i="194"/>
  <c r="AL92" i="194"/>
  <c r="AK92" i="194"/>
  <c r="AJ92" i="194"/>
  <c r="AI92" i="194"/>
  <c r="AH92" i="194"/>
  <c r="AG92" i="194"/>
  <c r="AF92" i="194"/>
  <c r="AE92" i="194"/>
  <c r="AD92" i="194"/>
  <c r="AC92" i="194"/>
  <c r="AB92" i="194"/>
  <c r="AA92" i="194"/>
  <c r="Z92" i="194"/>
  <c r="Y92" i="194"/>
  <c r="X92" i="194"/>
  <c r="W92" i="194"/>
  <c r="V92" i="194"/>
  <c r="U92" i="194"/>
  <c r="T92" i="194"/>
  <c r="S92" i="194"/>
  <c r="R92" i="194"/>
  <c r="Q92" i="194"/>
  <c r="P92" i="194"/>
  <c r="O92" i="194"/>
  <c r="N92" i="194"/>
  <c r="M92" i="194"/>
  <c r="L92" i="194"/>
  <c r="K92" i="194"/>
  <c r="I92" i="194"/>
  <c r="H92" i="194"/>
  <c r="G92" i="194"/>
  <c r="CK91" i="194"/>
  <c r="CJ91" i="194"/>
  <c r="BG91" i="194"/>
  <c r="J91" i="194"/>
  <c r="GE91" i="194"/>
  <c r="E91" i="194"/>
  <c r="CK90" i="194"/>
  <c r="CJ90" i="194"/>
  <c r="CJ89" i="194" s="1"/>
  <c r="BG90" i="194"/>
  <c r="J90" i="194"/>
  <c r="E90" i="194"/>
  <c r="GB89" i="194"/>
  <c r="CN89" i="194"/>
  <c r="CM89" i="194"/>
  <c r="CL89" i="194"/>
  <c r="CH89" i="194"/>
  <c r="CG89" i="194"/>
  <c r="CF89" i="194"/>
  <c r="CE89" i="194"/>
  <c r="CD89" i="194"/>
  <c r="CC89" i="194"/>
  <c r="CB89" i="194"/>
  <c r="CA89" i="194"/>
  <c r="BZ89" i="194"/>
  <c r="BY89" i="194"/>
  <c r="BX89" i="194"/>
  <c r="BW89" i="194"/>
  <c r="BV89" i="194"/>
  <c r="BU89" i="194"/>
  <c r="BT89" i="194"/>
  <c r="BS89" i="194"/>
  <c r="BR89" i="194"/>
  <c r="BQ89" i="194"/>
  <c r="BP89" i="194"/>
  <c r="BO89" i="194"/>
  <c r="BN89" i="194"/>
  <c r="BK89" i="194"/>
  <c r="BJ89" i="194"/>
  <c r="BI89" i="194"/>
  <c r="BH89" i="194"/>
  <c r="BD89" i="194"/>
  <c r="BC89" i="194"/>
  <c r="BB89" i="194"/>
  <c r="BA89" i="194"/>
  <c r="AZ89" i="194"/>
  <c r="AY89" i="194"/>
  <c r="AX89" i="194"/>
  <c r="AW89" i="194"/>
  <c r="AV89" i="194"/>
  <c r="AU89" i="194"/>
  <c r="AT89" i="194"/>
  <c r="AS89" i="194"/>
  <c r="AR89" i="194"/>
  <c r="AQ89" i="194"/>
  <c r="AP89" i="194"/>
  <c r="AO89" i="194"/>
  <c r="AN89" i="194"/>
  <c r="AM89" i="194"/>
  <c r="AL89" i="194"/>
  <c r="AK89" i="194"/>
  <c r="AJ89" i="194"/>
  <c r="AI89" i="194"/>
  <c r="AH89" i="194"/>
  <c r="AG89" i="194"/>
  <c r="AF89" i="194"/>
  <c r="AE89" i="194"/>
  <c r="AD89" i="194"/>
  <c r="AC89" i="194"/>
  <c r="AB89" i="194"/>
  <c r="AA89" i="194"/>
  <c r="Z89" i="194"/>
  <c r="Y89" i="194"/>
  <c r="X89" i="194"/>
  <c r="W89" i="194"/>
  <c r="V89" i="194"/>
  <c r="U89" i="194"/>
  <c r="T89" i="194"/>
  <c r="S89" i="194"/>
  <c r="R89" i="194"/>
  <c r="Q89" i="194"/>
  <c r="P89" i="194"/>
  <c r="O89" i="194"/>
  <c r="N89" i="194"/>
  <c r="M89" i="194"/>
  <c r="L89" i="194"/>
  <c r="K89" i="194"/>
  <c r="I89" i="194"/>
  <c r="H89" i="194"/>
  <c r="G89" i="194"/>
  <c r="F89" i="194"/>
  <c r="CK88" i="194"/>
  <c r="CJ88" i="194"/>
  <c r="BG88" i="194"/>
  <c r="J88" i="194"/>
  <c r="D88" i="194" s="1"/>
  <c r="E88" i="194"/>
  <c r="CK87" i="194"/>
  <c r="CJ87" i="194"/>
  <c r="BG87" i="194"/>
  <c r="BG86" i="194" s="1"/>
  <c r="J87" i="194"/>
  <c r="E87" i="194"/>
  <c r="GB86" i="194"/>
  <c r="CN86" i="194"/>
  <c r="CM86" i="194"/>
  <c r="CL86" i="194"/>
  <c r="CH86" i="194"/>
  <c r="CG86" i="194"/>
  <c r="CF86" i="194"/>
  <c r="CE86" i="194"/>
  <c r="CD86" i="194"/>
  <c r="CC86" i="194"/>
  <c r="CB86" i="194"/>
  <c r="CA86" i="194"/>
  <c r="BZ86" i="194"/>
  <c r="BY86" i="194"/>
  <c r="BX86" i="194"/>
  <c r="BW86" i="194"/>
  <c r="BV86" i="194"/>
  <c r="BU86" i="194"/>
  <c r="BT86" i="194"/>
  <c r="BS86" i="194"/>
  <c r="BR86" i="194"/>
  <c r="BQ86" i="194"/>
  <c r="BP86" i="194"/>
  <c r="BO86" i="194"/>
  <c r="BN86" i="194"/>
  <c r="BK86" i="194"/>
  <c r="BJ86" i="194"/>
  <c r="BI86" i="194"/>
  <c r="BH86" i="194"/>
  <c r="BD86" i="194"/>
  <c r="BC86" i="194"/>
  <c r="BB86" i="194"/>
  <c r="BA86" i="194"/>
  <c r="AZ86" i="194"/>
  <c r="AY86" i="194"/>
  <c r="AX86" i="194"/>
  <c r="AW86" i="194"/>
  <c r="AV86" i="194"/>
  <c r="AU86" i="194"/>
  <c r="AT86" i="194"/>
  <c r="AS86" i="194"/>
  <c r="AR86" i="194"/>
  <c r="AQ86" i="194"/>
  <c r="AP86" i="194"/>
  <c r="AO86" i="194"/>
  <c r="AN86" i="194"/>
  <c r="AM86" i="194"/>
  <c r="AL86" i="194"/>
  <c r="AK86" i="194"/>
  <c r="AJ86" i="194"/>
  <c r="AI86" i="194"/>
  <c r="AH86" i="194"/>
  <c r="AG86" i="194"/>
  <c r="AF86" i="194"/>
  <c r="AE86" i="194"/>
  <c r="AD86" i="194"/>
  <c r="AC86" i="194"/>
  <c r="AB86" i="194"/>
  <c r="AA86" i="194"/>
  <c r="Z86" i="194"/>
  <c r="Y86" i="194"/>
  <c r="X86" i="194"/>
  <c r="W86" i="194"/>
  <c r="V86" i="194"/>
  <c r="U86" i="194"/>
  <c r="T86" i="194"/>
  <c r="S86" i="194"/>
  <c r="R86" i="194"/>
  <c r="Q86" i="194"/>
  <c r="P86" i="194"/>
  <c r="O86" i="194"/>
  <c r="N86" i="194"/>
  <c r="M86" i="194"/>
  <c r="L86" i="194"/>
  <c r="K86" i="194"/>
  <c r="I86" i="194"/>
  <c r="H86" i="194"/>
  <c r="G86" i="194"/>
  <c r="F86" i="194"/>
  <c r="FX85" i="194"/>
  <c r="FW85" i="194"/>
  <c r="ET85" i="194"/>
  <c r="CW85" i="194"/>
  <c r="CR85" i="194"/>
  <c r="CK85" i="194"/>
  <c r="CJ85" i="194"/>
  <c r="CI85" i="194" s="1"/>
  <c r="BG85" i="194"/>
  <c r="J85" i="194"/>
  <c r="E85" i="194"/>
  <c r="FX84" i="194"/>
  <c r="FW84" i="194"/>
  <c r="FW83" i="194" s="1"/>
  <c r="ET84" i="194"/>
  <c r="CW84" i="194"/>
  <c r="CR84" i="194"/>
  <c r="CK84" i="194"/>
  <c r="CJ84" i="194"/>
  <c r="BG84" i="194"/>
  <c r="J84" i="194"/>
  <c r="E84" i="194"/>
  <c r="GB83" i="194"/>
  <c r="GA83" i="194"/>
  <c r="FZ83" i="194"/>
  <c r="FY83" i="194"/>
  <c r="FU83" i="194"/>
  <c r="FT83" i="194"/>
  <c r="FS83" i="194"/>
  <c r="FR83" i="194"/>
  <c r="FQ83" i="194"/>
  <c r="FP83" i="194"/>
  <c r="FO83" i="194"/>
  <c r="FN83" i="194"/>
  <c r="FM83" i="194"/>
  <c r="FL83" i="194"/>
  <c r="FK83" i="194"/>
  <c r="FJ83" i="194"/>
  <c r="FI83" i="194"/>
  <c r="FH83" i="194"/>
  <c r="FG83" i="194"/>
  <c r="FF83" i="194"/>
  <c r="FE83" i="194"/>
  <c r="FD83" i="194"/>
  <c r="FC83" i="194"/>
  <c r="FB83" i="194"/>
  <c r="FA83" i="194"/>
  <c r="EX83" i="194"/>
  <c r="EW83" i="194"/>
  <c r="EV83" i="194"/>
  <c r="EU83" i="194"/>
  <c r="EQ83" i="194"/>
  <c r="EP83" i="194"/>
  <c r="EO83" i="194"/>
  <c r="EN83" i="194"/>
  <c r="EM83" i="194"/>
  <c r="EL83" i="194"/>
  <c r="EK83" i="194"/>
  <c r="EJ83" i="194"/>
  <c r="EI83" i="194"/>
  <c r="EH83" i="194"/>
  <c r="EG83" i="194"/>
  <c r="EF83" i="194"/>
  <c r="EE83" i="194"/>
  <c r="ED83" i="194"/>
  <c r="EC83" i="194"/>
  <c r="EB83" i="194"/>
  <c r="EA83" i="194"/>
  <c r="DZ83" i="194"/>
  <c r="DY83" i="194"/>
  <c r="DX83" i="194"/>
  <c r="DW83" i="194"/>
  <c r="DV83" i="194"/>
  <c r="DU83" i="194"/>
  <c r="DT83" i="194"/>
  <c r="DS83" i="194"/>
  <c r="DR83" i="194"/>
  <c r="DQ83" i="194"/>
  <c r="DP83" i="194"/>
  <c r="DO83" i="194"/>
  <c r="DN83" i="194"/>
  <c r="DM83" i="194"/>
  <c r="DL83" i="194"/>
  <c r="DK83" i="194"/>
  <c r="DJ83" i="194"/>
  <c r="DI83" i="194"/>
  <c r="DH83" i="194"/>
  <c r="DG83" i="194"/>
  <c r="DF83" i="194"/>
  <c r="DE83" i="194"/>
  <c r="DD83" i="194"/>
  <c r="DC83" i="194"/>
  <c r="DB83" i="194"/>
  <c r="DA83" i="194"/>
  <c r="CZ83" i="194"/>
  <c r="CY83" i="194"/>
  <c r="CX83" i="194"/>
  <c r="CV83" i="194"/>
  <c r="CU83" i="194"/>
  <c r="CT83" i="194"/>
  <c r="CS83" i="194"/>
  <c r="CN83" i="194"/>
  <c r="CM83" i="194"/>
  <c r="CL83" i="194"/>
  <c r="CH83" i="194"/>
  <c r="CG83" i="194"/>
  <c r="CF83" i="194"/>
  <c r="CE83" i="194"/>
  <c r="CD83" i="194"/>
  <c r="CC83" i="194"/>
  <c r="CB83" i="194"/>
  <c r="CA83" i="194"/>
  <c r="BZ83" i="194"/>
  <c r="BY83" i="194"/>
  <c r="BX83" i="194"/>
  <c r="BW83" i="194"/>
  <c r="BV83" i="194"/>
  <c r="BU83" i="194"/>
  <c r="BT83" i="194"/>
  <c r="BS83" i="194"/>
  <c r="BR83" i="194"/>
  <c r="BQ83" i="194"/>
  <c r="BP83" i="194"/>
  <c r="BO83" i="194"/>
  <c r="BN83" i="194"/>
  <c r="BK83" i="194"/>
  <c r="BJ83" i="194"/>
  <c r="BI83" i="194"/>
  <c r="BH83" i="194"/>
  <c r="BD83" i="194"/>
  <c r="BC83" i="194"/>
  <c r="BB83" i="194"/>
  <c r="BA83" i="194"/>
  <c r="AZ83" i="194"/>
  <c r="AY83" i="194"/>
  <c r="AX83" i="194"/>
  <c r="AW83" i="194"/>
  <c r="AV83" i="194"/>
  <c r="AU83" i="194"/>
  <c r="AT83" i="194"/>
  <c r="AS83" i="194"/>
  <c r="AR83" i="194"/>
  <c r="AQ83" i="194"/>
  <c r="AP83" i="194"/>
  <c r="AO83" i="194"/>
  <c r="AN83" i="194"/>
  <c r="AM83" i="194"/>
  <c r="AL83" i="194"/>
  <c r="AK83" i="194"/>
  <c r="AJ83" i="194"/>
  <c r="AI83" i="194"/>
  <c r="AH83" i="194"/>
  <c r="AG83" i="194"/>
  <c r="AF83" i="194"/>
  <c r="AE83" i="194"/>
  <c r="AD83" i="194"/>
  <c r="AC83" i="194"/>
  <c r="AB83" i="194"/>
  <c r="AA83" i="194"/>
  <c r="Z83" i="194"/>
  <c r="Y83" i="194"/>
  <c r="X83" i="194"/>
  <c r="W83" i="194"/>
  <c r="V83" i="194"/>
  <c r="U83" i="194"/>
  <c r="T83" i="194"/>
  <c r="S83" i="194"/>
  <c r="R83" i="194"/>
  <c r="Q83" i="194"/>
  <c r="P83" i="194"/>
  <c r="O83" i="194"/>
  <c r="N83" i="194"/>
  <c r="M83" i="194"/>
  <c r="I83" i="194"/>
  <c r="H83" i="194"/>
  <c r="G83" i="194"/>
  <c r="F83" i="194"/>
  <c r="FX82" i="194"/>
  <c r="FW82" i="194"/>
  <c r="FV82" i="194" s="1"/>
  <c r="ET82" i="194"/>
  <c r="CW82" i="194"/>
  <c r="GE82" i="194" s="1"/>
  <c r="CR82" i="194"/>
  <c r="CK82" i="194"/>
  <c r="CJ82" i="194"/>
  <c r="BG82" i="194"/>
  <c r="J82" i="194"/>
  <c r="E82" i="194"/>
  <c r="E80" i="194" s="1"/>
  <c r="FX81" i="194"/>
  <c r="FW81" i="194"/>
  <c r="ET81" i="194"/>
  <c r="CW81" i="194"/>
  <c r="CR81" i="194"/>
  <c r="CK81" i="194"/>
  <c r="CJ81" i="194"/>
  <c r="BG81" i="194"/>
  <c r="J81" i="194"/>
  <c r="E81" i="194"/>
  <c r="GB80" i="194"/>
  <c r="GA80" i="194"/>
  <c r="FZ80" i="194"/>
  <c r="FY80" i="194"/>
  <c r="FU80" i="194"/>
  <c r="FT80" i="194"/>
  <c r="FS80" i="194"/>
  <c r="FR80" i="194"/>
  <c r="FQ80" i="194"/>
  <c r="FP80" i="194"/>
  <c r="FO80" i="194"/>
  <c r="FN80" i="194"/>
  <c r="FM80" i="194"/>
  <c r="FL80" i="194"/>
  <c r="FK80" i="194"/>
  <c r="FJ80" i="194"/>
  <c r="FI80" i="194"/>
  <c r="FH80" i="194"/>
  <c r="FG80" i="194"/>
  <c r="FF80" i="194"/>
  <c r="FE80" i="194"/>
  <c r="FD80" i="194"/>
  <c r="FC80" i="194"/>
  <c r="FB80" i="194"/>
  <c r="FA80" i="194"/>
  <c r="EX80" i="194"/>
  <c r="EW80" i="194"/>
  <c r="EV80" i="194"/>
  <c r="EU80" i="194"/>
  <c r="EQ80" i="194"/>
  <c r="EP80" i="194"/>
  <c r="EO80" i="194"/>
  <c r="EN80" i="194"/>
  <c r="EM80" i="194"/>
  <c r="EL80" i="194"/>
  <c r="EK80" i="194"/>
  <c r="EJ80" i="194"/>
  <c r="EI80" i="194"/>
  <c r="EH80" i="194"/>
  <c r="EG80" i="194"/>
  <c r="EF80" i="194"/>
  <c r="EE80" i="194"/>
  <c r="ED80" i="194"/>
  <c r="EC80" i="194"/>
  <c r="EB80" i="194"/>
  <c r="EA80" i="194"/>
  <c r="DZ80" i="194"/>
  <c r="DY80" i="194"/>
  <c r="DX80" i="194"/>
  <c r="DW80" i="194"/>
  <c r="DV80" i="194"/>
  <c r="DU80" i="194"/>
  <c r="DT80" i="194"/>
  <c r="DS80" i="194"/>
  <c r="DR80" i="194"/>
  <c r="DQ80" i="194"/>
  <c r="DP80" i="194"/>
  <c r="DO80" i="194"/>
  <c r="DN80" i="194"/>
  <c r="DM80" i="194"/>
  <c r="DL80" i="194"/>
  <c r="DK80" i="194"/>
  <c r="DJ80" i="194"/>
  <c r="DI80" i="194"/>
  <c r="DH80" i="194"/>
  <c r="DG80" i="194"/>
  <c r="DF80" i="194"/>
  <c r="DE80" i="194"/>
  <c r="DD80" i="194"/>
  <c r="DC80" i="194"/>
  <c r="DB80" i="194"/>
  <c r="DA80" i="194"/>
  <c r="CZ80" i="194"/>
  <c r="CY80" i="194"/>
  <c r="CX80" i="194"/>
  <c r="CV80" i="194"/>
  <c r="CU80" i="194"/>
  <c r="CT80" i="194"/>
  <c r="CS80" i="194"/>
  <c r="CN80" i="194"/>
  <c r="CM80" i="194"/>
  <c r="CL80" i="194"/>
  <c r="CH80" i="194"/>
  <c r="CG80" i="194"/>
  <c r="CF80" i="194"/>
  <c r="CE80" i="194"/>
  <c r="CD80" i="194"/>
  <c r="CC80" i="194"/>
  <c r="CB80" i="194"/>
  <c r="CA80" i="194"/>
  <c r="BZ80" i="194"/>
  <c r="BY80" i="194"/>
  <c r="BX80" i="194"/>
  <c r="BW80" i="194"/>
  <c r="BV80" i="194"/>
  <c r="BU80" i="194"/>
  <c r="BT80" i="194"/>
  <c r="BS80" i="194"/>
  <c r="BR80" i="194"/>
  <c r="BQ80" i="194"/>
  <c r="BP80" i="194"/>
  <c r="BO80" i="194"/>
  <c r="BN80" i="194"/>
  <c r="BK80" i="194"/>
  <c r="BJ80" i="194"/>
  <c r="BI80" i="194"/>
  <c r="BH80" i="194"/>
  <c r="BD80" i="194"/>
  <c r="BC80" i="194"/>
  <c r="BB80" i="194"/>
  <c r="BA80" i="194"/>
  <c r="AZ80" i="194"/>
  <c r="AY80" i="194"/>
  <c r="AX80" i="194"/>
  <c r="AW80" i="194"/>
  <c r="AV80" i="194"/>
  <c r="AU80" i="194"/>
  <c r="AT80" i="194"/>
  <c r="AS80" i="194"/>
  <c r="AR80" i="194"/>
  <c r="AQ80" i="194"/>
  <c r="AP80" i="194"/>
  <c r="AO80" i="194"/>
  <c r="AN80" i="194"/>
  <c r="AM80" i="194"/>
  <c r="AL80" i="194"/>
  <c r="AK80" i="194"/>
  <c r="AJ80" i="194"/>
  <c r="AI80" i="194"/>
  <c r="AH80" i="194"/>
  <c r="AG80" i="194"/>
  <c r="AF80" i="194"/>
  <c r="AE80" i="194"/>
  <c r="AD80" i="194"/>
  <c r="AC80" i="194"/>
  <c r="AB80" i="194"/>
  <c r="AA80" i="194"/>
  <c r="Z80" i="194"/>
  <c r="Y80" i="194"/>
  <c r="X80" i="194"/>
  <c r="W80" i="194"/>
  <c r="V80" i="194"/>
  <c r="U80" i="194"/>
  <c r="T80" i="194"/>
  <c r="S80" i="194"/>
  <c r="R80" i="194"/>
  <c r="Q80" i="194"/>
  <c r="P80" i="194"/>
  <c r="O80" i="194"/>
  <c r="N80" i="194"/>
  <c r="M80" i="194"/>
  <c r="I80" i="194"/>
  <c r="H80" i="194"/>
  <c r="G80" i="194"/>
  <c r="F80" i="194"/>
  <c r="FX79" i="194"/>
  <c r="FW79" i="194"/>
  <c r="FV79" i="194" s="1"/>
  <c r="ET79" i="194"/>
  <c r="CR79" i="194"/>
  <c r="CK79" i="194"/>
  <c r="CJ79" i="194"/>
  <c r="BG79" i="194"/>
  <c r="E79" i="194"/>
  <c r="FX78" i="194"/>
  <c r="FW78" i="194"/>
  <c r="ET78" i="194"/>
  <c r="CW78" i="194"/>
  <c r="CR78" i="194"/>
  <c r="CK78" i="194"/>
  <c r="CK77" i="194" s="1"/>
  <c r="CJ78" i="194"/>
  <c r="BG78" i="194"/>
  <c r="J78" i="194"/>
  <c r="E78" i="194"/>
  <c r="E77" i="194" s="1"/>
  <c r="GB77" i="194"/>
  <c r="GA77" i="194"/>
  <c r="FZ77" i="194"/>
  <c r="FY77" i="194"/>
  <c r="FU77" i="194"/>
  <c r="FT77" i="194"/>
  <c r="FS77" i="194"/>
  <c r="FR77" i="194"/>
  <c r="FQ77" i="194"/>
  <c r="FP77" i="194"/>
  <c r="FO77" i="194"/>
  <c r="FN77" i="194"/>
  <c r="FM77" i="194"/>
  <c r="FL77" i="194"/>
  <c r="FK77" i="194"/>
  <c r="FJ77" i="194"/>
  <c r="FI77" i="194"/>
  <c r="FH77" i="194"/>
  <c r="FG77" i="194"/>
  <c r="FF77" i="194"/>
  <c r="FE77" i="194"/>
  <c r="FD77" i="194"/>
  <c r="FC77" i="194"/>
  <c r="FB77" i="194"/>
  <c r="FA77" i="194"/>
  <c r="EX77" i="194"/>
  <c r="EW77" i="194"/>
  <c r="EV77" i="194"/>
  <c r="EU77" i="194"/>
  <c r="EQ77" i="194"/>
  <c r="EP77" i="194"/>
  <c r="EO77" i="194"/>
  <c r="EO11" i="194" s="1"/>
  <c r="EN77" i="194"/>
  <c r="EM77" i="194"/>
  <c r="EL77" i="194"/>
  <c r="EK77" i="194"/>
  <c r="EJ77" i="194"/>
  <c r="EI77" i="194"/>
  <c r="EH77" i="194"/>
  <c r="EG77" i="194"/>
  <c r="EF77" i="194"/>
  <c r="EE77" i="194"/>
  <c r="ED77" i="194"/>
  <c r="EC77" i="194"/>
  <c r="EC11" i="194" s="1"/>
  <c r="EA77" i="194"/>
  <c r="DZ77" i="194"/>
  <c r="DY77" i="194"/>
  <c r="DX77" i="194"/>
  <c r="DW77" i="194"/>
  <c r="DV77" i="194"/>
  <c r="DU77" i="194"/>
  <c r="DT77" i="194"/>
  <c r="DS77" i="194"/>
  <c r="DR77" i="194"/>
  <c r="DQ77" i="194"/>
  <c r="DP77" i="194"/>
  <c r="DP11" i="194" s="1"/>
  <c r="DO77" i="194"/>
  <c r="DN77" i="194"/>
  <c r="DM77" i="194"/>
  <c r="DL77" i="194"/>
  <c r="DK77" i="194"/>
  <c r="DJ77" i="194"/>
  <c r="DI77" i="194"/>
  <c r="DH77" i="194"/>
  <c r="DG77" i="194"/>
  <c r="DF77" i="194"/>
  <c r="DE77" i="194"/>
  <c r="DD77" i="194"/>
  <c r="DD11" i="194" s="1"/>
  <c r="DC77" i="194"/>
  <c r="DB77" i="194"/>
  <c r="DA77" i="194"/>
  <c r="CZ77" i="194"/>
  <c r="CY77" i="194"/>
  <c r="CX77" i="194"/>
  <c r="CV77" i="194"/>
  <c r="CU77" i="194"/>
  <c r="CT77" i="194"/>
  <c r="CS77" i="194"/>
  <c r="CN77" i="194"/>
  <c r="CM77" i="194"/>
  <c r="CM11" i="194" s="1"/>
  <c r="CL77" i="194"/>
  <c r="CH77" i="194"/>
  <c r="CG77" i="194"/>
  <c r="CF77" i="194"/>
  <c r="CE77" i="194"/>
  <c r="CD77" i="194"/>
  <c r="CC77" i="194"/>
  <c r="CB77" i="194"/>
  <c r="CA77" i="194"/>
  <c r="BZ77" i="194"/>
  <c r="BY77" i="194"/>
  <c r="BX77" i="194"/>
  <c r="BX11" i="194" s="1"/>
  <c r="BW77" i="194"/>
  <c r="BV77" i="194"/>
  <c r="BU77" i="194"/>
  <c r="BT77" i="194"/>
  <c r="BS77" i="194"/>
  <c r="BR77" i="194"/>
  <c r="BQ77" i="194"/>
  <c r="BP77" i="194"/>
  <c r="BO77" i="194"/>
  <c r="BN77" i="194"/>
  <c r="BK77" i="194"/>
  <c r="BJ77" i="194"/>
  <c r="BJ11" i="194" s="1"/>
  <c r="BI77" i="194"/>
  <c r="BH77" i="194"/>
  <c r="BD77" i="194"/>
  <c r="BC77" i="194"/>
  <c r="BB77" i="194"/>
  <c r="BA77" i="194"/>
  <c r="AZ77" i="194"/>
  <c r="AY77" i="194"/>
  <c r="AX77" i="194"/>
  <c r="AW77" i="194"/>
  <c r="AV77" i="194"/>
  <c r="AT77" i="194"/>
  <c r="AS77" i="194"/>
  <c r="AR77" i="194"/>
  <c r="AQ77" i="194"/>
  <c r="AP77" i="194"/>
  <c r="AO77" i="194"/>
  <c r="AN77" i="194"/>
  <c r="AM77" i="194"/>
  <c r="AL77" i="194"/>
  <c r="AK77" i="194"/>
  <c r="AJ77" i="194"/>
  <c r="AI77" i="194"/>
  <c r="AH77" i="194"/>
  <c r="AG77" i="194"/>
  <c r="AF77" i="194"/>
  <c r="AE77" i="194"/>
  <c r="AD77" i="194"/>
  <c r="AC77" i="194"/>
  <c r="AB77" i="194"/>
  <c r="AA77" i="194"/>
  <c r="Z77" i="194"/>
  <c r="Y77" i="194"/>
  <c r="X77" i="194"/>
  <c r="W77" i="194"/>
  <c r="V77" i="194"/>
  <c r="V11" i="194" s="1"/>
  <c r="U77" i="194"/>
  <c r="T77" i="194"/>
  <c r="S77" i="194"/>
  <c r="R77" i="194"/>
  <c r="Q77" i="194"/>
  <c r="P77" i="194"/>
  <c r="O77" i="194"/>
  <c r="N77" i="194"/>
  <c r="M77" i="194"/>
  <c r="L77" i="194"/>
  <c r="K77" i="194"/>
  <c r="I77" i="194"/>
  <c r="H77" i="194"/>
  <c r="G77" i="194"/>
  <c r="F77" i="194"/>
  <c r="FX76" i="194"/>
  <c r="FW76" i="194"/>
  <c r="ET76" i="194"/>
  <c r="CW76" i="194"/>
  <c r="CR76" i="194"/>
  <c r="CK76" i="194"/>
  <c r="CI76" i="194" s="1"/>
  <c r="CJ76" i="194"/>
  <c r="BG76" i="194"/>
  <c r="J76" i="194"/>
  <c r="GE76" i="194" s="1"/>
  <c r="E76" i="194"/>
  <c r="FX75" i="194"/>
  <c r="FW75" i="194"/>
  <c r="ET75" i="194"/>
  <c r="CW75" i="194"/>
  <c r="CR75" i="194"/>
  <c r="CK75" i="194"/>
  <c r="CJ75" i="194"/>
  <c r="BG75" i="194"/>
  <c r="J75" i="194"/>
  <c r="E75" i="194"/>
  <c r="GB74" i="194"/>
  <c r="GA74" i="194"/>
  <c r="FZ74" i="194"/>
  <c r="FY74" i="194"/>
  <c r="FU74" i="194"/>
  <c r="FT74" i="194"/>
  <c r="FS74" i="194"/>
  <c r="FR74" i="194"/>
  <c r="FQ74" i="194"/>
  <c r="FP74" i="194"/>
  <c r="FO74" i="194"/>
  <c r="FN74" i="194"/>
  <c r="FM74" i="194"/>
  <c r="FL74" i="194"/>
  <c r="FK74" i="194"/>
  <c r="FJ74" i="194"/>
  <c r="FI74" i="194"/>
  <c r="FH74" i="194"/>
  <c r="FG74" i="194"/>
  <c r="FF74" i="194"/>
  <c r="FE74" i="194"/>
  <c r="FD74" i="194"/>
  <c r="FC74" i="194"/>
  <c r="FB74" i="194"/>
  <c r="FA74" i="194"/>
  <c r="EX74" i="194"/>
  <c r="EW74" i="194"/>
  <c r="EV74" i="194"/>
  <c r="EU74" i="194"/>
  <c r="EQ74" i="194"/>
  <c r="EP74" i="194"/>
  <c r="EO74" i="194"/>
  <c r="EN74" i="194"/>
  <c r="EM74" i="194"/>
  <c r="EL74" i="194"/>
  <c r="EK74" i="194"/>
  <c r="EJ74" i="194"/>
  <c r="EI74" i="194"/>
  <c r="EH74" i="194"/>
  <c r="EG74" i="194"/>
  <c r="EF74" i="194"/>
  <c r="EE74" i="194"/>
  <c r="ED74" i="194"/>
  <c r="EC74" i="194"/>
  <c r="EB74" i="194"/>
  <c r="EA74" i="194"/>
  <c r="DZ74" i="194"/>
  <c r="DY74" i="194"/>
  <c r="DX74" i="194"/>
  <c r="DX11" i="194" s="1"/>
  <c r="DW74" i="194"/>
  <c r="DV74" i="194"/>
  <c r="DU74" i="194"/>
  <c r="DT74" i="194"/>
  <c r="DS74" i="194"/>
  <c r="DR74" i="194"/>
  <c r="DQ74" i="194"/>
  <c r="DP74" i="194"/>
  <c r="DO74" i="194"/>
  <c r="DN74" i="194"/>
  <c r="DM74" i="194"/>
  <c r="DL74" i="194"/>
  <c r="DL11" i="194" s="1"/>
  <c r="DK74" i="194"/>
  <c r="DJ74" i="194"/>
  <c r="DI74" i="194"/>
  <c r="DH74" i="194"/>
  <c r="DG74" i="194"/>
  <c r="DF74" i="194"/>
  <c r="DE74" i="194"/>
  <c r="DD74" i="194"/>
  <c r="DC74" i="194"/>
  <c r="DB74" i="194"/>
  <c r="DA74" i="194"/>
  <c r="CZ74" i="194"/>
  <c r="CY74" i="194"/>
  <c r="CX74" i="194"/>
  <c r="CV74" i="194"/>
  <c r="CU74" i="194"/>
  <c r="CT74" i="194"/>
  <c r="CS74" i="194"/>
  <c r="CN74" i="194"/>
  <c r="CM74" i="194"/>
  <c r="CL74" i="194"/>
  <c r="CH74" i="194"/>
  <c r="CG74" i="194"/>
  <c r="CF74" i="194"/>
  <c r="CE74" i="194"/>
  <c r="CD74" i="194"/>
  <c r="CC74" i="194"/>
  <c r="CB74" i="194"/>
  <c r="CA74" i="194"/>
  <c r="BZ74" i="194"/>
  <c r="BY74" i="194"/>
  <c r="BX74" i="194"/>
  <c r="BW74" i="194"/>
  <c r="BV74" i="194"/>
  <c r="BU74" i="194"/>
  <c r="BT74" i="194"/>
  <c r="BT11" i="194" s="1"/>
  <c r="BS74" i="194"/>
  <c r="BR74" i="194"/>
  <c r="BQ74" i="194"/>
  <c r="BP74" i="194"/>
  <c r="BO74" i="194"/>
  <c r="BN74" i="194"/>
  <c r="BK74" i="194"/>
  <c r="BJ74" i="194"/>
  <c r="BI74" i="194"/>
  <c r="BH74" i="194"/>
  <c r="BD74" i="194"/>
  <c r="BC74" i="194"/>
  <c r="BC11" i="194" s="1"/>
  <c r="BB74" i="194"/>
  <c r="BA74" i="194"/>
  <c r="AZ74" i="194"/>
  <c r="AY74" i="194"/>
  <c r="AX74" i="194"/>
  <c r="AW74" i="194"/>
  <c r="AV74" i="194"/>
  <c r="AU74" i="194"/>
  <c r="AT74" i="194"/>
  <c r="AS74" i="194"/>
  <c r="AR74" i="194"/>
  <c r="AQ74" i="194"/>
  <c r="AQ11" i="194" s="1"/>
  <c r="AP74" i="194"/>
  <c r="AO74" i="194"/>
  <c r="AN74" i="194"/>
  <c r="AM74" i="194"/>
  <c r="AL74" i="194"/>
  <c r="AK74" i="194"/>
  <c r="AJ74" i="194"/>
  <c r="AI74" i="194"/>
  <c r="AH74" i="194"/>
  <c r="AG74" i="194"/>
  <c r="AF74" i="194"/>
  <c r="AE74" i="194"/>
  <c r="AE11" i="194" s="1"/>
  <c r="AD74" i="194"/>
  <c r="AC74" i="194"/>
  <c r="AB74" i="194"/>
  <c r="AA74" i="194"/>
  <c r="Z74" i="194"/>
  <c r="Y74" i="194"/>
  <c r="X74" i="194"/>
  <c r="W74" i="194"/>
  <c r="V74" i="194"/>
  <c r="U74" i="194"/>
  <c r="T74" i="194"/>
  <c r="S74" i="194"/>
  <c r="R74" i="194"/>
  <c r="Q74" i="194"/>
  <c r="P74" i="194"/>
  <c r="O74" i="194"/>
  <c r="N74" i="194"/>
  <c r="M74" i="194"/>
  <c r="L74" i="194"/>
  <c r="K74" i="194"/>
  <c r="I74" i="194"/>
  <c r="H74" i="194"/>
  <c r="G74" i="194"/>
  <c r="F74" i="194"/>
  <c r="F11" i="194" s="1"/>
  <c r="CW71" i="194"/>
  <c r="Y31" i="175" s="1"/>
  <c r="Z31" i="175" s="1"/>
  <c r="GB71" i="194"/>
  <c r="GA71" i="194"/>
  <c r="FZ71" i="194"/>
  <c r="FY71" i="194"/>
  <c r="FU71" i="194"/>
  <c r="FT71" i="194"/>
  <c r="FS71" i="194"/>
  <c r="FR71" i="194"/>
  <c r="FQ71" i="194"/>
  <c r="FP71" i="194"/>
  <c r="FO71" i="194"/>
  <c r="FN71" i="194"/>
  <c r="FM71" i="194"/>
  <c r="FL71" i="194"/>
  <c r="FK71" i="194"/>
  <c r="FJ71" i="194"/>
  <c r="FI71" i="194"/>
  <c r="FH71" i="194"/>
  <c r="FG71" i="194"/>
  <c r="FF71" i="194"/>
  <c r="FE71" i="194"/>
  <c r="FD71" i="194"/>
  <c r="FC71" i="194"/>
  <c r="FB71" i="194"/>
  <c r="FA71" i="194"/>
  <c r="EX71" i="194"/>
  <c r="EW71" i="194"/>
  <c r="EV71" i="194"/>
  <c r="EU71" i="194"/>
  <c r="EQ71" i="194"/>
  <c r="EP71" i="194"/>
  <c r="EO71" i="194"/>
  <c r="EN71" i="194"/>
  <c r="EM71" i="194"/>
  <c r="EL71" i="194"/>
  <c r="EK71" i="194"/>
  <c r="EJ71" i="194"/>
  <c r="EI71" i="194"/>
  <c r="EH71" i="194"/>
  <c r="EG71" i="194"/>
  <c r="EF71" i="194"/>
  <c r="EE71" i="194"/>
  <c r="ED71" i="194"/>
  <c r="EC71" i="194"/>
  <c r="EB71" i="194"/>
  <c r="EA71" i="194"/>
  <c r="DZ71" i="194"/>
  <c r="DY71" i="194"/>
  <c r="DX71" i="194"/>
  <c r="DW71" i="194"/>
  <c r="DV71" i="194"/>
  <c r="DU71" i="194"/>
  <c r="DT71" i="194"/>
  <c r="DS71" i="194"/>
  <c r="DR71" i="194"/>
  <c r="DQ71" i="194"/>
  <c r="DP71" i="194"/>
  <c r="DO71" i="194"/>
  <c r="DN71" i="194"/>
  <c r="DM71" i="194"/>
  <c r="DL71" i="194"/>
  <c r="DK71" i="194"/>
  <c r="DJ71" i="194"/>
  <c r="DI71" i="194"/>
  <c r="DH71" i="194"/>
  <c r="DG71" i="194"/>
  <c r="DF71" i="194"/>
  <c r="DE71" i="194"/>
  <c r="DD71" i="194"/>
  <c r="DC71" i="194"/>
  <c r="DB71" i="194"/>
  <c r="DA71" i="194"/>
  <c r="CZ71" i="194"/>
  <c r="CY71" i="194"/>
  <c r="CX71" i="194"/>
  <c r="CV71" i="194"/>
  <c r="CU71" i="194"/>
  <c r="CT71" i="194"/>
  <c r="CS71" i="194"/>
  <c r="CN71" i="194"/>
  <c r="CM71" i="194"/>
  <c r="CL71" i="194"/>
  <c r="CH71" i="194"/>
  <c r="CG71" i="194"/>
  <c r="CF71" i="194"/>
  <c r="CE71" i="194"/>
  <c r="CD71" i="194"/>
  <c r="CC71" i="194"/>
  <c r="CB71" i="194"/>
  <c r="CA71" i="194"/>
  <c r="BZ71" i="194"/>
  <c r="BY71" i="194"/>
  <c r="BX71" i="194"/>
  <c r="BW71" i="194"/>
  <c r="BV71" i="194"/>
  <c r="BU71" i="194"/>
  <c r="BT71" i="194"/>
  <c r="BS71" i="194"/>
  <c r="BR71" i="194"/>
  <c r="BQ71" i="194"/>
  <c r="BP71" i="194"/>
  <c r="BO71" i="194"/>
  <c r="BN71" i="194"/>
  <c r="BK71" i="194"/>
  <c r="BJ71" i="194"/>
  <c r="BI71" i="194"/>
  <c r="BH71" i="194"/>
  <c r="BD71" i="194"/>
  <c r="BC71" i="194"/>
  <c r="BB71" i="194"/>
  <c r="BA71" i="194"/>
  <c r="AZ71" i="194"/>
  <c r="AY71" i="194"/>
  <c r="AX71" i="194"/>
  <c r="AW71" i="194"/>
  <c r="AV71" i="194"/>
  <c r="AU71" i="194"/>
  <c r="AT71" i="194"/>
  <c r="AS71" i="194"/>
  <c r="AR71" i="194"/>
  <c r="AQ71" i="194"/>
  <c r="AP71" i="194"/>
  <c r="AO71" i="194"/>
  <c r="AN71" i="194"/>
  <c r="AM71" i="194"/>
  <c r="AL71" i="194"/>
  <c r="AK71" i="194"/>
  <c r="AJ71" i="194"/>
  <c r="AI71" i="194"/>
  <c r="AH71" i="194"/>
  <c r="AG71" i="194"/>
  <c r="AF71" i="194"/>
  <c r="AE71" i="194"/>
  <c r="AD71" i="194"/>
  <c r="AC71" i="194"/>
  <c r="AB71" i="194"/>
  <c r="AA71" i="194"/>
  <c r="Z71" i="194"/>
  <c r="Y71" i="194"/>
  <c r="X71" i="194"/>
  <c r="W71" i="194"/>
  <c r="V71" i="194"/>
  <c r="U71" i="194"/>
  <c r="T71" i="194"/>
  <c r="S71" i="194"/>
  <c r="R71" i="194"/>
  <c r="Q71" i="194"/>
  <c r="P71" i="194"/>
  <c r="O71" i="194"/>
  <c r="N71" i="194"/>
  <c r="M71" i="194"/>
  <c r="L71" i="194"/>
  <c r="K71" i="194"/>
  <c r="I71" i="194"/>
  <c r="H71" i="194"/>
  <c r="G71" i="194"/>
  <c r="F71" i="194"/>
  <c r="GB68" i="194"/>
  <c r="CA68" i="194"/>
  <c r="BR13" i="194"/>
  <c r="GA68" i="194"/>
  <c r="FZ68" i="194"/>
  <c r="FY68" i="194"/>
  <c r="FU68" i="194"/>
  <c r="FT68" i="194"/>
  <c r="FS68" i="194"/>
  <c r="FR68" i="194"/>
  <c r="FQ68" i="194"/>
  <c r="FP68" i="194"/>
  <c r="FO68" i="194"/>
  <c r="FN68" i="194"/>
  <c r="FM68" i="194"/>
  <c r="FL68" i="194"/>
  <c r="FK68" i="194"/>
  <c r="FJ68" i="194"/>
  <c r="FI68" i="194"/>
  <c r="FH68" i="194"/>
  <c r="FG68" i="194"/>
  <c r="FF68" i="194"/>
  <c r="FE68" i="194"/>
  <c r="FD68" i="194"/>
  <c r="FC68" i="194"/>
  <c r="FB68" i="194"/>
  <c r="FA68" i="194"/>
  <c r="EX68" i="194"/>
  <c r="EW68" i="194"/>
  <c r="EV68" i="194"/>
  <c r="EU68" i="194"/>
  <c r="EQ68" i="194"/>
  <c r="EP68" i="194"/>
  <c r="EO68" i="194"/>
  <c r="EN68" i="194"/>
  <c r="EM68" i="194"/>
  <c r="EL68" i="194"/>
  <c r="EK68" i="194"/>
  <c r="EJ68" i="194"/>
  <c r="EI68" i="194"/>
  <c r="EH68" i="194"/>
  <c r="EG68" i="194"/>
  <c r="EF68" i="194"/>
  <c r="EE68" i="194"/>
  <c r="ED68" i="194"/>
  <c r="EC68" i="194"/>
  <c r="EB68" i="194"/>
  <c r="EA68" i="194"/>
  <c r="DZ68" i="194"/>
  <c r="DY68" i="194"/>
  <c r="DX68" i="194"/>
  <c r="DW68" i="194"/>
  <c r="DV68" i="194"/>
  <c r="DU68" i="194"/>
  <c r="DT68" i="194"/>
  <c r="DS68" i="194"/>
  <c r="DR68" i="194"/>
  <c r="DQ68" i="194"/>
  <c r="DP68" i="194"/>
  <c r="DO68" i="194"/>
  <c r="DN68" i="194"/>
  <c r="DM68" i="194"/>
  <c r="DL68" i="194"/>
  <c r="DK68" i="194"/>
  <c r="DJ68" i="194"/>
  <c r="DI68" i="194"/>
  <c r="DH68" i="194"/>
  <c r="DG68" i="194"/>
  <c r="DF68" i="194"/>
  <c r="DE68" i="194"/>
  <c r="DD68" i="194"/>
  <c r="DC68" i="194"/>
  <c r="DB68" i="194"/>
  <c r="DA68" i="194"/>
  <c r="CZ68" i="194"/>
  <c r="CY68" i="194"/>
  <c r="CX68" i="194"/>
  <c r="CV68" i="194"/>
  <c r="CU68" i="194"/>
  <c r="CT68" i="194"/>
  <c r="CS68" i="194"/>
  <c r="CN68" i="194"/>
  <c r="CM68" i="194"/>
  <c r="CL68" i="194"/>
  <c r="CH68" i="194"/>
  <c r="CG68" i="194"/>
  <c r="CF68" i="194"/>
  <c r="CE68" i="194"/>
  <c r="CD68" i="194"/>
  <c r="CC68" i="194"/>
  <c r="CB68" i="194"/>
  <c r="BZ68" i="194"/>
  <c r="BY68" i="194"/>
  <c r="BX68" i="194"/>
  <c r="BW68" i="194"/>
  <c r="BV68" i="194"/>
  <c r="BU68" i="194"/>
  <c r="BT68" i="194"/>
  <c r="BS68" i="194"/>
  <c r="BQ68" i="194"/>
  <c r="BP68" i="194"/>
  <c r="BO68" i="194"/>
  <c r="BN68" i="194"/>
  <c r="BK68" i="194"/>
  <c r="BJ68" i="194"/>
  <c r="BI68" i="194"/>
  <c r="BH68" i="194"/>
  <c r="BD68" i="194"/>
  <c r="BC68" i="194"/>
  <c r="BB68" i="194"/>
  <c r="BA68" i="194"/>
  <c r="AZ68" i="194"/>
  <c r="AY68" i="194"/>
  <c r="AX68" i="194"/>
  <c r="AW68" i="194"/>
  <c r="AV68" i="194"/>
  <c r="AU68" i="194"/>
  <c r="AT68" i="194"/>
  <c r="AS68" i="194"/>
  <c r="AR68" i="194"/>
  <c r="AQ68" i="194"/>
  <c r="AP68" i="194"/>
  <c r="AO68" i="194"/>
  <c r="AN68" i="194"/>
  <c r="AM68" i="194"/>
  <c r="AL68" i="194"/>
  <c r="AK68" i="194"/>
  <c r="AJ68" i="194"/>
  <c r="AI68" i="194"/>
  <c r="AH68" i="194"/>
  <c r="AG68" i="194"/>
  <c r="AF68" i="194"/>
  <c r="AE68" i="194"/>
  <c r="AD68" i="194"/>
  <c r="AC68" i="194"/>
  <c r="AB68" i="194"/>
  <c r="AA68" i="194"/>
  <c r="Z68" i="194"/>
  <c r="Y68" i="194"/>
  <c r="X68" i="194"/>
  <c r="V68" i="194"/>
  <c r="U68" i="194"/>
  <c r="T68" i="194"/>
  <c r="S68" i="194"/>
  <c r="R68" i="194"/>
  <c r="Q68" i="194"/>
  <c r="P68" i="194"/>
  <c r="O68" i="194"/>
  <c r="N68" i="194"/>
  <c r="M68" i="194"/>
  <c r="L68" i="194"/>
  <c r="K68" i="194"/>
  <c r="I68" i="194"/>
  <c r="H68" i="194"/>
  <c r="G68" i="194"/>
  <c r="F68" i="194"/>
  <c r="CK67" i="194"/>
  <c r="CJ67" i="194"/>
  <c r="BG67" i="194"/>
  <c r="BA65" i="194"/>
  <c r="E67" i="194"/>
  <c r="FX66" i="194"/>
  <c r="FW66" i="194"/>
  <c r="FW65" i="194"/>
  <c r="ET66" i="194"/>
  <c r="CW66" i="194"/>
  <c r="CR66" i="194"/>
  <c r="CK66" i="194"/>
  <c r="CJ66" i="194"/>
  <c r="CI66" i="194" s="1"/>
  <c r="BG66" i="194"/>
  <c r="J66" i="194"/>
  <c r="E66" i="194"/>
  <c r="GB65" i="194"/>
  <c r="GA65" i="194"/>
  <c r="FZ65" i="194"/>
  <c r="FY65" i="194"/>
  <c r="FY11" i="194" s="1"/>
  <c r="FU65" i="194"/>
  <c r="FT65" i="194"/>
  <c r="FS65" i="194"/>
  <c r="FR65" i="194"/>
  <c r="FQ65" i="194"/>
  <c r="FP65" i="194"/>
  <c r="FO65" i="194"/>
  <c r="FN65" i="194"/>
  <c r="FM65" i="194"/>
  <c r="FL65" i="194"/>
  <c r="FK65" i="194"/>
  <c r="FJ65" i="194"/>
  <c r="FJ11" i="194" s="1"/>
  <c r="FI65" i="194"/>
  <c r="FH65" i="194"/>
  <c r="FG65" i="194"/>
  <c r="FF65" i="194"/>
  <c r="FE65" i="194"/>
  <c r="FD65" i="194"/>
  <c r="FC65" i="194"/>
  <c r="FB65" i="194"/>
  <c r="FA65" i="194"/>
  <c r="EX65" i="194"/>
  <c r="EW65" i="194"/>
  <c r="EV65" i="194"/>
  <c r="EV11" i="194" s="1"/>
  <c r="EU65" i="194"/>
  <c r="EQ65" i="194"/>
  <c r="EP65" i="194"/>
  <c r="EO65" i="194"/>
  <c r="EM65" i="194"/>
  <c r="EL65" i="194"/>
  <c r="EK65" i="194"/>
  <c r="EJ65" i="194"/>
  <c r="EI65" i="194"/>
  <c r="EH65" i="194"/>
  <c r="EG65" i="194"/>
  <c r="EF65" i="194"/>
  <c r="EE65" i="194"/>
  <c r="ED65" i="194"/>
  <c r="EC65" i="194"/>
  <c r="EB65" i="194"/>
  <c r="EA65" i="194"/>
  <c r="DZ65" i="194"/>
  <c r="DY65" i="194"/>
  <c r="DX65" i="194"/>
  <c r="DW65" i="194"/>
  <c r="DV65" i="194"/>
  <c r="DU65" i="194"/>
  <c r="DT65" i="194"/>
  <c r="DS65" i="194"/>
  <c r="DR65" i="194"/>
  <c r="DQ65" i="194"/>
  <c r="DP65" i="194"/>
  <c r="DO65" i="194"/>
  <c r="DN65" i="194"/>
  <c r="DM65" i="194"/>
  <c r="DL65" i="194"/>
  <c r="DK65" i="194"/>
  <c r="DJ65" i="194"/>
  <c r="DI65" i="194"/>
  <c r="DH65" i="194"/>
  <c r="DG65" i="194"/>
  <c r="DF65" i="194"/>
  <c r="DE65" i="194"/>
  <c r="DD65" i="194"/>
  <c r="DC65" i="194"/>
  <c r="DB65" i="194"/>
  <c r="DA65" i="194"/>
  <c r="CZ65" i="194"/>
  <c r="CY65" i="194"/>
  <c r="CX65" i="194"/>
  <c r="CV65" i="194"/>
  <c r="CU65" i="194"/>
  <c r="CT65" i="194"/>
  <c r="CS65" i="194"/>
  <c r="CN65" i="194"/>
  <c r="CM65" i="194"/>
  <c r="CL65" i="194"/>
  <c r="CH65" i="194"/>
  <c r="CG65" i="194"/>
  <c r="CF65" i="194"/>
  <c r="CE65" i="194"/>
  <c r="CD65" i="194"/>
  <c r="CC65" i="194"/>
  <c r="CB65" i="194"/>
  <c r="CA65" i="194"/>
  <c r="BZ65" i="194"/>
  <c r="BY65" i="194"/>
  <c r="BX65" i="194"/>
  <c r="BW65" i="194"/>
  <c r="BV65" i="194"/>
  <c r="BU65" i="194"/>
  <c r="BT65" i="194"/>
  <c r="BS65" i="194"/>
  <c r="BR65" i="194"/>
  <c r="BQ65" i="194"/>
  <c r="BP65" i="194"/>
  <c r="BO65" i="194"/>
  <c r="BN65" i="194"/>
  <c r="BK65" i="194"/>
  <c r="BJ65" i="194"/>
  <c r="BI65" i="194"/>
  <c r="BH65" i="194"/>
  <c r="BD65" i="194"/>
  <c r="BC65" i="194"/>
  <c r="BB65" i="194"/>
  <c r="AZ65" i="194"/>
  <c r="AY65" i="194"/>
  <c r="AX65" i="194"/>
  <c r="AW65" i="194"/>
  <c r="AV65" i="194"/>
  <c r="AU65" i="194"/>
  <c r="AT65" i="194"/>
  <c r="AS65" i="194"/>
  <c r="AR65" i="194"/>
  <c r="AQ65" i="194"/>
  <c r="AP65" i="194"/>
  <c r="AO65" i="194"/>
  <c r="AN65" i="194"/>
  <c r="AM65" i="194"/>
  <c r="AL65" i="194"/>
  <c r="AL11" i="194" s="1"/>
  <c r="AK65" i="194"/>
  <c r="AJ65" i="194"/>
  <c r="AI65" i="194"/>
  <c r="AH65" i="194"/>
  <c r="AG65" i="194"/>
  <c r="AF65" i="194"/>
  <c r="AE65" i="194"/>
  <c r="AD65" i="194"/>
  <c r="AC65" i="194"/>
  <c r="AB65" i="194"/>
  <c r="AA65" i="194"/>
  <c r="Z65" i="194"/>
  <c r="Y65" i="194"/>
  <c r="X65" i="194"/>
  <c r="W65" i="194"/>
  <c r="V65" i="194"/>
  <c r="U65" i="194"/>
  <c r="T65" i="194"/>
  <c r="S65" i="194"/>
  <c r="R65" i="194"/>
  <c r="Q65" i="194"/>
  <c r="P65" i="194"/>
  <c r="O65" i="194"/>
  <c r="N65" i="194"/>
  <c r="M65" i="194"/>
  <c r="L65" i="194"/>
  <c r="K65" i="194"/>
  <c r="I65" i="194"/>
  <c r="H65" i="194"/>
  <c r="G65" i="194"/>
  <c r="F65" i="194"/>
  <c r="GB62" i="194"/>
  <c r="GA62" i="194"/>
  <c r="FZ62" i="194"/>
  <c r="FY62" i="194"/>
  <c r="FU62" i="194"/>
  <c r="FT62" i="194"/>
  <c r="FS62" i="194"/>
  <c r="FR62" i="194"/>
  <c r="FQ62" i="194"/>
  <c r="FP62" i="194"/>
  <c r="FO62" i="194"/>
  <c r="FN62" i="194"/>
  <c r="FM62" i="194"/>
  <c r="FL62" i="194"/>
  <c r="FK62" i="194"/>
  <c r="FJ62" i="194"/>
  <c r="FI62" i="194"/>
  <c r="FH62" i="194"/>
  <c r="FG62" i="194"/>
  <c r="FF62" i="194"/>
  <c r="FE62" i="194"/>
  <c r="FD62" i="194"/>
  <c r="FC62" i="194"/>
  <c r="FB62" i="194"/>
  <c r="FA62" i="194"/>
  <c r="EX62" i="194"/>
  <c r="EW62" i="194"/>
  <c r="EV62" i="194"/>
  <c r="EU62" i="194"/>
  <c r="EQ62" i="194"/>
  <c r="EP62" i="194"/>
  <c r="EO62" i="194"/>
  <c r="EN62" i="194"/>
  <c r="EM62" i="194"/>
  <c r="EL62" i="194"/>
  <c r="EK62" i="194"/>
  <c r="EJ62" i="194"/>
  <c r="EI62" i="194"/>
  <c r="EH62" i="194"/>
  <c r="EG62" i="194"/>
  <c r="EF62" i="194"/>
  <c r="EE62" i="194"/>
  <c r="ED62" i="194"/>
  <c r="EC62" i="194"/>
  <c r="EB62" i="194"/>
  <c r="EA62" i="194"/>
  <c r="DZ62" i="194"/>
  <c r="DY62" i="194"/>
  <c r="DX62" i="194"/>
  <c r="DW62" i="194"/>
  <c r="DV62" i="194"/>
  <c r="DU62" i="194"/>
  <c r="DT62" i="194"/>
  <c r="DS62" i="194"/>
  <c r="DR62" i="194"/>
  <c r="DQ62" i="194"/>
  <c r="DP62" i="194"/>
  <c r="DO62" i="194"/>
  <c r="DN62" i="194"/>
  <c r="DM62" i="194"/>
  <c r="DL62" i="194"/>
  <c r="DK62" i="194"/>
  <c r="DJ62" i="194"/>
  <c r="DI62" i="194"/>
  <c r="DH62" i="194"/>
  <c r="DG62" i="194"/>
  <c r="DF62" i="194"/>
  <c r="DE62" i="194"/>
  <c r="DD62" i="194"/>
  <c r="DC62" i="194"/>
  <c r="DB62" i="194"/>
  <c r="DA62" i="194"/>
  <c r="CZ62" i="194"/>
  <c r="CY62" i="194"/>
  <c r="CX62" i="194"/>
  <c r="CV62" i="194"/>
  <c r="CU62" i="194"/>
  <c r="CT62" i="194"/>
  <c r="CS62" i="194"/>
  <c r="CN62" i="194"/>
  <c r="CM62" i="194"/>
  <c r="CL62" i="194"/>
  <c r="CH62" i="194"/>
  <c r="CG62" i="194"/>
  <c r="CF62" i="194"/>
  <c r="CE62" i="194"/>
  <c r="CD62" i="194"/>
  <c r="CC62" i="194"/>
  <c r="CB62" i="194"/>
  <c r="CA62" i="194"/>
  <c r="BZ62" i="194"/>
  <c r="BY62" i="194"/>
  <c r="BX62" i="194"/>
  <c r="BW62" i="194"/>
  <c r="BV62" i="194"/>
  <c r="BU62" i="194"/>
  <c r="BT62" i="194"/>
  <c r="BS62" i="194"/>
  <c r="BR62" i="194"/>
  <c r="BQ62" i="194"/>
  <c r="BP62" i="194"/>
  <c r="BO62" i="194"/>
  <c r="BN62" i="194"/>
  <c r="BK62" i="194"/>
  <c r="BJ62" i="194"/>
  <c r="BI62" i="194"/>
  <c r="BH62" i="194"/>
  <c r="BD62" i="194"/>
  <c r="BC62" i="194"/>
  <c r="BB62" i="194"/>
  <c r="BA62" i="194"/>
  <c r="AZ62" i="194"/>
  <c r="AY62" i="194"/>
  <c r="AX62" i="194"/>
  <c r="AW62" i="194"/>
  <c r="AV62" i="194"/>
  <c r="AU62" i="194"/>
  <c r="AT62" i="194"/>
  <c r="AS62" i="194"/>
  <c r="AR62" i="194"/>
  <c r="AQ62" i="194"/>
  <c r="AP62" i="194"/>
  <c r="AO62" i="194"/>
  <c r="AN62" i="194"/>
  <c r="AM62" i="194"/>
  <c r="AL62" i="194"/>
  <c r="AK62" i="194"/>
  <c r="AJ62" i="194"/>
  <c r="AI62" i="194"/>
  <c r="AH62" i="194"/>
  <c r="AG62" i="194"/>
  <c r="AF62" i="194"/>
  <c r="AE62" i="194"/>
  <c r="AD62" i="194"/>
  <c r="AC62" i="194"/>
  <c r="AB62" i="194"/>
  <c r="AA62" i="194"/>
  <c r="Z62" i="194"/>
  <c r="Y62" i="194"/>
  <c r="X62" i="194"/>
  <c r="W62" i="194"/>
  <c r="V62" i="194"/>
  <c r="U62" i="194"/>
  <c r="T62" i="194"/>
  <c r="S62" i="194"/>
  <c r="R62" i="194"/>
  <c r="Q62" i="194"/>
  <c r="P62" i="194"/>
  <c r="O62" i="194"/>
  <c r="N62" i="194"/>
  <c r="M62" i="194"/>
  <c r="L62" i="194"/>
  <c r="K62" i="194"/>
  <c r="I62" i="194"/>
  <c r="H62" i="194"/>
  <c r="G62" i="194"/>
  <c r="F62" i="194"/>
  <c r="FX61" i="194"/>
  <c r="FW61" i="194"/>
  <c r="ET61" i="194"/>
  <c r="CK61" i="194"/>
  <c r="CJ61" i="194"/>
  <c r="J61" i="194"/>
  <c r="E61" i="194"/>
  <c r="FX60" i="194"/>
  <c r="FW60" i="194"/>
  <c r="ET60" i="194"/>
  <c r="CW60" i="194"/>
  <c r="CW59" i="194" s="1"/>
  <c r="Y27" i="175" s="1"/>
  <c r="CR60" i="194"/>
  <c r="CK60" i="194"/>
  <c r="CJ60" i="194"/>
  <c r="BG60" i="194"/>
  <c r="J60" i="194"/>
  <c r="J59" i="194" s="1"/>
  <c r="M26" i="176" s="1"/>
  <c r="N26" i="176" s="1"/>
  <c r="E60" i="194"/>
  <c r="GB59" i="194"/>
  <c r="GA59" i="194"/>
  <c r="FZ59" i="194"/>
  <c r="FY59" i="194"/>
  <c r="FU59" i="194"/>
  <c r="FT59" i="194"/>
  <c r="FS59" i="194"/>
  <c r="FR59" i="194"/>
  <c r="FQ59" i="194"/>
  <c r="FP59" i="194"/>
  <c r="FO59" i="194"/>
  <c r="FN59" i="194"/>
  <c r="FM59" i="194"/>
  <c r="FL59" i="194"/>
  <c r="FK59" i="194"/>
  <c r="FJ59" i="194"/>
  <c r="FI59" i="194"/>
  <c r="FH59" i="194"/>
  <c r="FG59" i="194"/>
  <c r="FF59" i="194"/>
  <c r="FE59" i="194"/>
  <c r="FD59" i="194"/>
  <c r="FC59" i="194"/>
  <c r="FB59" i="194"/>
  <c r="FA59" i="194"/>
  <c r="EX59" i="194"/>
  <c r="EW59" i="194"/>
  <c r="EV59" i="194"/>
  <c r="EU59" i="194"/>
  <c r="EQ59" i="194"/>
  <c r="EP59" i="194"/>
  <c r="EO59" i="194"/>
  <c r="EN59" i="194"/>
  <c r="EM59" i="194"/>
  <c r="EL59" i="194"/>
  <c r="EK59" i="194"/>
  <c r="EJ59" i="194"/>
  <c r="EI59" i="194"/>
  <c r="EH59" i="194"/>
  <c r="EG59" i="194"/>
  <c r="EF59" i="194"/>
  <c r="EE59" i="194"/>
  <c r="ED59" i="194"/>
  <c r="EC59" i="194"/>
  <c r="EB59" i="194"/>
  <c r="EA59" i="194"/>
  <c r="DZ59" i="194"/>
  <c r="DY59" i="194"/>
  <c r="DX59" i="194"/>
  <c r="DW59" i="194"/>
  <c r="DV59" i="194"/>
  <c r="DU59" i="194"/>
  <c r="DT59" i="194"/>
  <c r="DS59" i="194"/>
  <c r="DR59" i="194"/>
  <c r="DQ59" i="194"/>
  <c r="DP59" i="194"/>
  <c r="DO59" i="194"/>
  <c r="DN59" i="194"/>
  <c r="DM59" i="194"/>
  <c r="DL59" i="194"/>
  <c r="DK59" i="194"/>
  <c r="DJ59" i="194"/>
  <c r="DI59" i="194"/>
  <c r="DH59" i="194"/>
  <c r="DG59" i="194"/>
  <c r="DF59" i="194"/>
  <c r="DE59" i="194"/>
  <c r="DD59" i="194"/>
  <c r="DC59" i="194"/>
  <c r="DB59" i="194"/>
  <c r="DA59" i="194"/>
  <c r="CZ59" i="194"/>
  <c r="CY59" i="194"/>
  <c r="CX59" i="194"/>
  <c r="CV59" i="194"/>
  <c r="CU59" i="194"/>
  <c r="CT59" i="194"/>
  <c r="CS59" i="194"/>
  <c r="CN59" i="194"/>
  <c r="CM59" i="194"/>
  <c r="CL59" i="194"/>
  <c r="CH59" i="194"/>
  <c r="CG59" i="194"/>
  <c r="CF59" i="194"/>
  <c r="CE59" i="194"/>
  <c r="CD59" i="194"/>
  <c r="CC59" i="194"/>
  <c r="CB59" i="194"/>
  <c r="CA59" i="194"/>
  <c r="BZ59" i="194"/>
  <c r="BY59" i="194"/>
  <c r="BX59" i="194"/>
  <c r="BW59" i="194"/>
  <c r="BV59" i="194"/>
  <c r="BT59" i="194"/>
  <c r="BS59" i="194"/>
  <c r="BR59" i="194"/>
  <c r="BQ59" i="194"/>
  <c r="BP59" i="194"/>
  <c r="BO59" i="194"/>
  <c r="BN59" i="194"/>
  <c r="BK59" i="194"/>
  <c r="BJ59" i="194"/>
  <c r="BI59" i="194"/>
  <c r="BH59" i="194"/>
  <c r="BD59" i="194"/>
  <c r="BC59" i="194"/>
  <c r="BB59" i="194"/>
  <c r="BA59" i="194"/>
  <c r="AZ59" i="194"/>
  <c r="AY59" i="194"/>
  <c r="AX59" i="194"/>
  <c r="AW59" i="194"/>
  <c r="AV59" i="194"/>
  <c r="AU59" i="194"/>
  <c r="AT59" i="194"/>
  <c r="AS59" i="194"/>
  <c r="AR59" i="194"/>
  <c r="AQ59" i="194"/>
  <c r="AP59" i="194"/>
  <c r="AO59" i="194"/>
  <c r="AN59" i="194"/>
  <c r="AM59" i="194"/>
  <c r="AL59" i="194"/>
  <c r="AK59" i="194"/>
  <c r="AJ59" i="194"/>
  <c r="AI59" i="194"/>
  <c r="AH59" i="194"/>
  <c r="AG59" i="194"/>
  <c r="AF59" i="194"/>
  <c r="AE59" i="194"/>
  <c r="AD59" i="194"/>
  <c r="AC59" i="194"/>
  <c r="AB59" i="194"/>
  <c r="AA59" i="194"/>
  <c r="Z59" i="194"/>
  <c r="Y59" i="194"/>
  <c r="X59" i="194"/>
  <c r="W59" i="194"/>
  <c r="V59" i="194"/>
  <c r="U59" i="194"/>
  <c r="T59" i="194"/>
  <c r="S59" i="194"/>
  <c r="R59" i="194"/>
  <c r="Q59" i="194"/>
  <c r="P59" i="194"/>
  <c r="O59" i="194"/>
  <c r="N59" i="194"/>
  <c r="M59" i="194"/>
  <c r="L59" i="194"/>
  <c r="K59" i="194"/>
  <c r="I59" i="194"/>
  <c r="H59" i="194"/>
  <c r="G59" i="194"/>
  <c r="F59" i="194"/>
  <c r="GB56" i="194"/>
  <c r="GA56" i="194"/>
  <c r="FZ56" i="194"/>
  <c r="FY56" i="194"/>
  <c r="FU56" i="194"/>
  <c r="FT56" i="194"/>
  <c r="FS56" i="194"/>
  <c r="FR56" i="194"/>
  <c r="FQ56" i="194"/>
  <c r="FP56" i="194"/>
  <c r="FO56" i="194"/>
  <c r="FN56" i="194"/>
  <c r="FM56" i="194"/>
  <c r="FL56" i="194"/>
  <c r="FK56" i="194"/>
  <c r="FJ56" i="194"/>
  <c r="FI56" i="194"/>
  <c r="FH56" i="194"/>
  <c r="FG56" i="194"/>
  <c r="FF56" i="194"/>
  <c r="FE56" i="194"/>
  <c r="FD56" i="194"/>
  <c r="FC56" i="194"/>
  <c r="FB56" i="194"/>
  <c r="FA56" i="194"/>
  <c r="EX56" i="194"/>
  <c r="EW56" i="194"/>
  <c r="EV56" i="194"/>
  <c r="EU56" i="194"/>
  <c r="EQ56" i="194"/>
  <c r="EP56" i="194"/>
  <c r="EO56" i="194"/>
  <c r="EN56" i="194"/>
  <c r="EM56" i="194"/>
  <c r="EL56" i="194"/>
  <c r="EK56" i="194"/>
  <c r="EJ56" i="194"/>
  <c r="EI56" i="194"/>
  <c r="EH56" i="194"/>
  <c r="EG56" i="194"/>
  <c r="EF56" i="194"/>
  <c r="EE56" i="194"/>
  <c r="ED56" i="194"/>
  <c r="EC56" i="194"/>
  <c r="EB56" i="194"/>
  <c r="EA56" i="194"/>
  <c r="DZ56" i="194"/>
  <c r="DY56" i="194"/>
  <c r="DX56" i="194"/>
  <c r="DW56" i="194"/>
  <c r="DV56" i="194"/>
  <c r="DU56" i="194"/>
  <c r="DT56" i="194"/>
  <c r="DS56" i="194"/>
  <c r="DO56" i="194"/>
  <c r="DN56" i="194"/>
  <c r="DM56" i="194"/>
  <c r="DL56" i="194"/>
  <c r="DK56" i="194"/>
  <c r="DJ56" i="194"/>
  <c r="DI56" i="194"/>
  <c r="DH56" i="194"/>
  <c r="DG56" i="194"/>
  <c r="DF56" i="194"/>
  <c r="DE56" i="194"/>
  <c r="DD56" i="194"/>
  <c r="DC56" i="194"/>
  <c r="DB56" i="194"/>
  <c r="DA56" i="194"/>
  <c r="CZ56" i="194"/>
  <c r="CY56" i="194"/>
  <c r="CX56" i="194"/>
  <c r="CV56" i="194"/>
  <c r="CU56" i="194"/>
  <c r="CT56" i="194"/>
  <c r="CS56" i="194"/>
  <c r="CN56" i="194"/>
  <c r="CM56" i="194"/>
  <c r="CL56" i="194"/>
  <c r="CH56" i="194"/>
  <c r="CG56" i="194"/>
  <c r="CF56" i="194"/>
  <c r="CE56" i="194"/>
  <c r="CD56" i="194"/>
  <c r="CC56" i="194"/>
  <c r="CB56" i="194"/>
  <c r="CA56" i="194"/>
  <c r="BZ56" i="194"/>
  <c r="BY56" i="194"/>
  <c r="BX56" i="194"/>
  <c r="BW56" i="194"/>
  <c r="BV56" i="194"/>
  <c r="BU56" i="194"/>
  <c r="BT56" i="194"/>
  <c r="BS56" i="194"/>
  <c r="BR56" i="194"/>
  <c r="BQ56" i="194"/>
  <c r="BP56" i="194"/>
  <c r="BO56" i="194"/>
  <c r="BN56" i="194"/>
  <c r="BK56" i="194"/>
  <c r="BJ56" i="194"/>
  <c r="BI56" i="194"/>
  <c r="BH56" i="194"/>
  <c r="BD56" i="194"/>
  <c r="BC56" i="194"/>
  <c r="BB56" i="194"/>
  <c r="BA56" i="194"/>
  <c r="AZ56" i="194"/>
  <c r="AY56" i="194"/>
  <c r="AX56" i="194"/>
  <c r="AW56" i="194"/>
  <c r="AV56" i="194"/>
  <c r="AU56" i="194"/>
  <c r="AT56" i="194"/>
  <c r="AS56" i="194"/>
  <c r="AR56" i="194"/>
  <c r="AQ56" i="194"/>
  <c r="AP56" i="194"/>
  <c r="AO56" i="194"/>
  <c r="AN56" i="194"/>
  <c r="AM56" i="194"/>
  <c r="AL56" i="194"/>
  <c r="AK56" i="194"/>
  <c r="AJ56" i="194"/>
  <c r="AI56" i="194"/>
  <c r="AH56" i="194"/>
  <c r="AG56" i="194"/>
  <c r="AF56" i="194"/>
  <c r="AE56" i="194"/>
  <c r="AB56" i="194"/>
  <c r="AA56" i="194"/>
  <c r="Z56" i="194"/>
  <c r="Y56" i="194"/>
  <c r="X56" i="194"/>
  <c r="W56" i="194"/>
  <c r="V56" i="194"/>
  <c r="U56" i="194"/>
  <c r="T56" i="194"/>
  <c r="S56" i="194"/>
  <c r="R56" i="194"/>
  <c r="Q56" i="194"/>
  <c r="P56" i="194"/>
  <c r="O56" i="194"/>
  <c r="N56" i="194"/>
  <c r="M56" i="194"/>
  <c r="L56" i="194"/>
  <c r="K56" i="194"/>
  <c r="I56" i="194"/>
  <c r="H56" i="194"/>
  <c r="G56" i="194"/>
  <c r="F56" i="194"/>
  <c r="GB53" i="194"/>
  <c r="GA53" i="194"/>
  <c r="FZ53" i="194"/>
  <c r="FY53" i="194"/>
  <c r="FU53" i="194"/>
  <c r="FT53" i="194"/>
  <c r="FS53" i="194"/>
  <c r="FR53" i="194"/>
  <c r="FQ53" i="194"/>
  <c r="FP53" i="194"/>
  <c r="FO53" i="194"/>
  <c r="FN53" i="194"/>
  <c r="FM53" i="194"/>
  <c r="FL53" i="194"/>
  <c r="FK53" i="194"/>
  <c r="FJ53" i="194"/>
  <c r="FI53" i="194"/>
  <c r="FH53" i="194"/>
  <c r="FG53" i="194"/>
  <c r="FF53" i="194"/>
  <c r="FE53" i="194"/>
  <c r="FD53" i="194"/>
  <c r="FC53" i="194"/>
  <c r="FB53" i="194"/>
  <c r="FA53" i="194"/>
  <c r="EX53" i="194"/>
  <c r="EW53" i="194"/>
  <c r="EV53" i="194"/>
  <c r="EU53" i="194"/>
  <c r="EQ53" i="194"/>
  <c r="EP53" i="194"/>
  <c r="EO53" i="194"/>
  <c r="EN53" i="194"/>
  <c r="EM53" i="194"/>
  <c r="EL53" i="194"/>
  <c r="EK53" i="194"/>
  <c r="EJ53" i="194"/>
  <c r="EI53" i="194"/>
  <c r="EH53" i="194"/>
  <c r="EG53" i="194"/>
  <c r="EF53" i="194"/>
  <c r="EE53" i="194"/>
  <c r="ED53" i="194"/>
  <c r="EC53" i="194"/>
  <c r="EB53" i="194"/>
  <c r="EA53" i="194"/>
  <c r="DZ53" i="194"/>
  <c r="DY53" i="194"/>
  <c r="DX53" i="194"/>
  <c r="DW53" i="194"/>
  <c r="DV53" i="194"/>
  <c r="DU53" i="194"/>
  <c r="DT53" i="194"/>
  <c r="DS53" i="194"/>
  <c r="DR53" i="194"/>
  <c r="DQ53" i="194"/>
  <c r="DP53" i="194"/>
  <c r="DO53" i="194"/>
  <c r="DN53" i="194"/>
  <c r="DM53" i="194"/>
  <c r="DL53" i="194"/>
  <c r="DK53" i="194"/>
  <c r="DJ53" i="194"/>
  <c r="DI53" i="194"/>
  <c r="DH53" i="194"/>
  <c r="DG53" i="194"/>
  <c r="DF53" i="194"/>
  <c r="DE53" i="194"/>
  <c r="DD53" i="194"/>
  <c r="DC53" i="194"/>
  <c r="DB53" i="194"/>
  <c r="DA53" i="194"/>
  <c r="CZ53" i="194"/>
  <c r="CY53" i="194"/>
  <c r="CX53" i="194"/>
  <c r="CV53" i="194"/>
  <c r="CU53" i="194"/>
  <c r="CT53" i="194"/>
  <c r="CS53" i="194"/>
  <c r="CN53" i="194"/>
  <c r="CM53" i="194"/>
  <c r="CL53" i="194"/>
  <c r="CH53" i="194"/>
  <c r="CG53" i="194"/>
  <c r="CF53" i="194"/>
  <c r="CE53" i="194"/>
  <c r="CD53" i="194"/>
  <c r="CC53" i="194"/>
  <c r="CB53" i="194"/>
  <c r="CA53" i="194"/>
  <c r="BZ53" i="194"/>
  <c r="BY53" i="194"/>
  <c r="BX53" i="194"/>
  <c r="BW53" i="194"/>
  <c r="BV53" i="194"/>
  <c r="BU53" i="194"/>
  <c r="BT53" i="194"/>
  <c r="BS53" i="194"/>
  <c r="BR53" i="194"/>
  <c r="BQ53" i="194"/>
  <c r="BP53" i="194"/>
  <c r="BO53" i="194"/>
  <c r="BN53" i="194"/>
  <c r="BK53" i="194"/>
  <c r="BJ53" i="194"/>
  <c r="BI53" i="194"/>
  <c r="BH53" i="194"/>
  <c r="BD53" i="194"/>
  <c r="BC53" i="194"/>
  <c r="BB53" i="194"/>
  <c r="BA53" i="194"/>
  <c r="AZ53" i="194"/>
  <c r="AY53" i="194"/>
  <c r="AX53" i="194"/>
  <c r="AW53" i="194"/>
  <c r="AV53" i="194"/>
  <c r="AU53" i="194"/>
  <c r="AT53" i="194"/>
  <c r="AS53" i="194"/>
  <c r="AR53" i="194"/>
  <c r="AQ53" i="194"/>
  <c r="AP53" i="194"/>
  <c r="AO53" i="194"/>
  <c r="AN53" i="194"/>
  <c r="AM53" i="194"/>
  <c r="AL53" i="194"/>
  <c r="AK53" i="194"/>
  <c r="AJ53" i="194"/>
  <c r="AI53" i="194"/>
  <c r="AH53" i="194"/>
  <c r="AG53" i="194"/>
  <c r="AF53" i="194"/>
  <c r="AE53" i="194"/>
  <c r="AD53" i="194"/>
  <c r="AC53" i="194"/>
  <c r="AB53" i="194"/>
  <c r="AA53" i="194"/>
  <c r="Z53" i="194"/>
  <c r="Y53" i="194"/>
  <c r="X53" i="194"/>
  <c r="W53" i="194"/>
  <c r="V53" i="194"/>
  <c r="U53" i="194"/>
  <c r="T53" i="194"/>
  <c r="S53" i="194"/>
  <c r="R53" i="194"/>
  <c r="Q53" i="194"/>
  <c r="P53" i="194"/>
  <c r="O53" i="194"/>
  <c r="N53" i="194"/>
  <c r="M53" i="194"/>
  <c r="L53" i="194"/>
  <c r="K53" i="194"/>
  <c r="I53" i="194"/>
  <c r="H53" i="194"/>
  <c r="G53" i="194"/>
  <c r="F53" i="194"/>
  <c r="E50" i="194"/>
  <c r="GB50" i="194"/>
  <c r="GA50" i="194"/>
  <c r="FZ50" i="194"/>
  <c r="FY50" i="194"/>
  <c r="FU50" i="194"/>
  <c r="FT50" i="194"/>
  <c r="FS50" i="194"/>
  <c r="FR50" i="194"/>
  <c r="FQ50" i="194"/>
  <c r="FP50" i="194"/>
  <c r="FO50" i="194"/>
  <c r="FN50" i="194"/>
  <c r="FM50" i="194"/>
  <c r="FL50" i="194"/>
  <c r="FK50" i="194"/>
  <c r="FJ50" i="194"/>
  <c r="FI50" i="194"/>
  <c r="FH50" i="194"/>
  <c r="FG50" i="194"/>
  <c r="FF50" i="194"/>
  <c r="FE50" i="194"/>
  <c r="FD50" i="194"/>
  <c r="FC50" i="194"/>
  <c r="FB50" i="194"/>
  <c r="FA50" i="194"/>
  <c r="EX50" i="194"/>
  <c r="EW50" i="194"/>
  <c r="EV50" i="194"/>
  <c r="EU50" i="194"/>
  <c r="EQ50" i="194"/>
  <c r="EP50" i="194"/>
  <c r="EO50" i="194"/>
  <c r="EN50" i="194"/>
  <c r="EM50" i="194"/>
  <c r="EL50" i="194"/>
  <c r="EK50" i="194"/>
  <c r="EJ50" i="194"/>
  <c r="EI50" i="194"/>
  <c r="EH50" i="194"/>
  <c r="EG50" i="194"/>
  <c r="EF50" i="194"/>
  <c r="EE50" i="194"/>
  <c r="ED50" i="194"/>
  <c r="EC50" i="194"/>
  <c r="EB50" i="194"/>
  <c r="EA50" i="194"/>
  <c r="DZ50" i="194"/>
  <c r="DY50" i="194"/>
  <c r="DX50" i="194"/>
  <c r="DW50" i="194"/>
  <c r="DV50" i="194"/>
  <c r="DU50" i="194"/>
  <c r="DT50" i="194"/>
  <c r="DS50" i="194"/>
  <c r="DR50" i="194"/>
  <c r="DQ50" i="194"/>
  <c r="DP50" i="194"/>
  <c r="DO50" i="194"/>
  <c r="DN50" i="194"/>
  <c r="DM50" i="194"/>
  <c r="DL50" i="194"/>
  <c r="DK50" i="194"/>
  <c r="DJ50" i="194"/>
  <c r="DI50" i="194"/>
  <c r="DH50" i="194"/>
  <c r="DG50" i="194"/>
  <c r="DF50" i="194"/>
  <c r="DE50" i="194"/>
  <c r="DD50" i="194"/>
  <c r="DC50" i="194"/>
  <c r="DB50" i="194"/>
  <c r="DA50" i="194"/>
  <c r="CZ50" i="194"/>
  <c r="CY50" i="194"/>
  <c r="CX50" i="194"/>
  <c r="CV50" i="194"/>
  <c r="CU50" i="194"/>
  <c r="CT50" i="194"/>
  <c r="CS50" i="194"/>
  <c r="CN50" i="194"/>
  <c r="CM50" i="194"/>
  <c r="CL50" i="194"/>
  <c r="CH50" i="194"/>
  <c r="CG50" i="194"/>
  <c r="CF50" i="194"/>
  <c r="CE50" i="194"/>
  <c r="CD50" i="194"/>
  <c r="CC50" i="194"/>
  <c r="CB50" i="194"/>
  <c r="CA50" i="194"/>
  <c r="BZ50" i="194"/>
  <c r="BY50" i="194"/>
  <c r="BX50" i="194"/>
  <c r="BW50" i="194"/>
  <c r="BV50" i="194"/>
  <c r="BU50" i="194"/>
  <c r="BT50" i="194"/>
  <c r="BS50" i="194"/>
  <c r="BR50" i="194"/>
  <c r="BQ50" i="194"/>
  <c r="BP50" i="194"/>
  <c r="BO50" i="194"/>
  <c r="BN50" i="194"/>
  <c r="BK50" i="194"/>
  <c r="BJ50" i="194"/>
  <c r="BI50" i="194"/>
  <c r="BH50" i="194"/>
  <c r="BD50" i="194"/>
  <c r="BC50" i="194"/>
  <c r="BB50" i="194"/>
  <c r="BA50" i="194"/>
  <c r="AZ50" i="194"/>
  <c r="AY50" i="194"/>
  <c r="AX50" i="194"/>
  <c r="AW50" i="194"/>
  <c r="AV50" i="194"/>
  <c r="AU50" i="194"/>
  <c r="AT50" i="194"/>
  <c r="AS50" i="194"/>
  <c r="AR50" i="194"/>
  <c r="AQ50" i="194"/>
  <c r="AP50" i="194"/>
  <c r="AO50" i="194"/>
  <c r="AN50" i="194"/>
  <c r="AM50" i="194"/>
  <c r="AL50" i="194"/>
  <c r="AK50" i="194"/>
  <c r="AJ50" i="194"/>
  <c r="AI50" i="194"/>
  <c r="AH50" i="194"/>
  <c r="AG50" i="194"/>
  <c r="AF50" i="194"/>
  <c r="AE50" i="194"/>
  <c r="AD50" i="194"/>
  <c r="AC50" i="194"/>
  <c r="AB50" i="194"/>
  <c r="AA50" i="194"/>
  <c r="Z50" i="194"/>
  <c r="Y50" i="194"/>
  <c r="X50" i="194"/>
  <c r="W50" i="194"/>
  <c r="V50" i="194"/>
  <c r="U50" i="194"/>
  <c r="T50" i="194"/>
  <c r="S50" i="194"/>
  <c r="R50" i="194"/>
  <c r="Q50" i="194"/>
  <c r="P50" i="194"/>
  <c r="O50" i="194"/>
  <c r="N50" i="194"/>
  <c r="M50" i="194"/>
  <c r="L50" i="194"/>
  <c r="K50" i="194"/>
  <c r="I50" i="194"/>
  <c r="H50" i="194"/>
  <c r="G50" i="194"/>
  <c r="F50" i="194"/>
  <c r="GB47" i="194"/>
  <c r="GA47" i="194"/>
  <c r="FZ47" i="194"/>
  <c r="FY47" i="194"/>
  <c r="FU47" i="194"/>
  <c r="FT47" i="194"/>
  <c r="FS47" i="194"/>
  <c r="FR47" i="194"/>
  <c r="FQ47" i="194"/>
  <c r="FP47" i="194"/>
  <c r="FO47" i="194"/>
  <c r="FN47" i="194"/>
  <c r="FN11" i="194" s="1"/>
  <c r="FM47" i="194"/>
  <c r="FL47" i="194"/>
  <c r="FK47" i="194"/>
  <c r="FJ47" i="194"/>
  <c r="FI47" i="194"/>
  <c r="FH47" i="194"/>
  <c r="FG47" i="194"/>
  <c r="FF47" i="194"/>
  <c r="FE47" i="194"/>
  <c r="FD47" i="194"/>
  <c r="FC47" i="194"/>
  <c r="FB47" i="194"/>
  <c r="FB11" i="194" s="1"/>
  <c r="FA47" i="194"/>
  <c r="EX47" i="194"/>
  <c r="EW47" i="194"/>
  <c r="EV47" i="194"/>
  <c r="EU47" i="194"/>
  <c r="EQ47" i="194"/>
  <c r="EP47" i="194"/>
  <c r="EO47" i="194"/>
  <c r="EN47" i="194"/>
  <c r="EM47" i="194"/>
  <c r="EL47" i="194"/>
  <c r="EK47" i="194"/>
  <c r="EJ47" i="194"/>
  <c r="EI47" i="194"/>
  <c r="EH47" i="194"/>
  <c r="EG47" i="194"/>
  <c r="EF47" i="194"/>
  <c r="EE47" i="194"/>
  <c r="ED47" i="194"/>
  <c r="EC47" i="194"/>
  <c r="EB47" i="194"/>
  <c r="EA47" i="194"/>
  <c r="DZ47" i="194"/>
  <c r="DY47" i="194"/>
  <c r="DX47" i="194"/>
  <c r="DW47" i="194"/>
  <c r="DV47" i="194"/>
  <c r="DU47" i="194"/>
  <c r="DT47" i="194"/>
  <c r="DS47" i="194"/>
  <c r="DR47" i="194"/>
  <c r="DQ47" i="194"/>
  <c r="DP47" i="194"/>
  <c r="DO47" i="194"/>
  <c r="DN47" i="194"/>
  <c r="DM47" i="194"/>
  <c r="DM11" i="194" s="1"/>
  <c r="DL47" i="194"/>
  <c r="DK47" i="194"/>
  <c r="DJ47" i="194"/>
  <c r="DI47" i="194"/>
  <c r="DH47" i="194"/>
  <c r="DG47" i="194"/>
  <c r="DF47" i="194"/>
  <c r="DE47" i="194"/>
  <c r="DD47" i="194"/>
  <c r="DC47" i="194"/>
  <c r="DB47" i="194"/>
  <c r="DA47" i="194"/>
  <c r="CZ47" i="194"/>
  <c r="CY47" i="194"/>
  <c r="CX47" i="194"/>
  <c r="CV47" i="194"/>
  <c r="CU47" i="194"/>
  <c r="CT47" i="194"/>
  <c r="CS47" i="194"/>
  <c r="CN47" i="194"/>
  <c r="CM47" i="194"/>
  <c r="CL47" i="194"/>
  <c r="CH47" i="194"/>
  <c r="CG47" i="194"/>
  <c r="CF47" i="194"/>
  <c r="CE47" i="194"/>
  <c r="CD47" i="194"/>
  <c r="CC47" i="194"/>
  <c r="CB47" i="194"/>
  <c r="CA47" i="194"/>
  <c r="BZ47" i="194"/>
  <c r="BY47" i="194"/>
  <c r="BX47" i="194"/>
  <c r="BW47" i="194"/>
  <c r="BV47" i="194"/>
  <c r="BU47" i="194"/>
  <c r="BT47" i="194"/>
  <c r="BS47" i="194"/>
  <c r="BR47" i="194"/>
  <c r="BQ47" i="194"/>
  <c r="BP47" i="194"/>
  <c r="BO47" i="194"/>
  <c r="BN47" i="194"/>
  <c r="BK47" i="194"/>
  <c r="BJ47" i="194"/>
  <c r="BI47" i="194"/>
  <c r="BH47" i="194"/>
  <c r="BD47" i="194"/>
  <c r="BC47" i="194"/>
  <c r="BB47" i="194"/>
  <c r="BA47" i="194"/>
  <c r="AZ47" i="194"/>
  <c r="AY47" i="194"/>
  <c r="AW47" i="194"/>
  <c r="AV47" i="194"/>
  <c r="AU47" i="194"/>
  <c r="AT47" i="194"/>
  <c r="AS47" i="194"/>
  <c r="AR47" i="194"/>
  <c r="AQ47" i="194"/>
  <c r="AP47" i="194"/>
  <c r="AO47" i="194"/>
  <c r="AN47" i="194"/>
  <c r="AM47" i="194"/>
  <c r="AL47" i="194"/>
  <c r="AK47" i="194"/>
  <c r="AJ47" i="194"/>
  <c r="AI47" i="194"/>
  <c r="AH47" i="194"/>
  <c r="AG47" i="194"/>
  <c r="AF47" i="194"/>
  <c r="AE47" i="194"/>
  <c r="AD47" i="194"/>
  <c r="AC47" i="194"/>
  <c r="AB47" i="194"/>
  <c r="AA47" i="194"/>
  <c r="Z47" i="194"/>
  <c r="Y47" i="194"/>
  <c r="X47" i="194"/>
  <c r="W47" i="194"/>
  <c r="V47" i="194"/>
  <c r="U47" i="194"/>
  <c r="T47" i="194"/>
  <c r="S47" i="194"/>
  <c r="R47" i="194"/>
  <c r="Q47" i="194"/>
  <c r="P47" i="194"/>
  <c r="O47" i="194"/>
  <c r="N47" i="194"/>
  <c r="M47" i="194"/>
  <c r="L47" i="194"/>
  <c r="K47" i="194"/>
  <c r="I47" i="194"/>
  <c r="H47" i="194"/>
  <c r="G47" i="194"/>
  <c r="F47" i="194"/>
  <c r="GB44" i="194"/>
  <c r="GA44" i="194"/>
  <c r="FZ44" i="194"/>
  <c r="FY44" i="194"/>
  <c r="FU44" i="194"/>
  <c r="FT44" i="194"/>
  <c r="FS44" i="194"/>
  <c r="FR44" i="194"/>
  <c r="FQ44" i="194"/>
  <c r="FP44" i="194"/>
  <c r="FO44" i="194"/>
  <c r="FN44" i="194"/>
  <c r="FM44" i="194"/>
  <c r="FL44" i="194"/>
  <c r="FK44" i="194"/>
  <c r="FJ44" i="194"/>
  <c r="FI44" i="194"/>
  <c r="FH44" i="194"/>
  <c r="FG44" i="194"/>
  <c r="FF44" i="194"/>
  <c r="FE44" i="194"/>
  <c r="FD44" i="194"/>
  <c r="FC44" i="194"/>
  <c r="FB44" i="194"/>
  <c r="FA44" i="194"/>
  <c r="EX44" i="194"/>
  <c r="EW44" i="194"/>
  <c r="EV44" i="194"/>
  <c r="EU44" i="194"/>
  <c r="EQ44" i="194"/>
  <c r="EP44" i="194"/>
  <c r="EO44" i="194"/>
  <c r="EM44" i="194"/>
  <c r="EL44" i="194"/>
  <c r="EK44" i="194"/>
  <c r="EJ44" i="194"/>
  <c r="EI44" i="194"/>
  <c r="EH44" i="194"/>
  <c r="EG44" i="194"/>
  <c r="EF44" i="194"/>
  <c r="EE44" i="194"/>
  <c r="ED44" i="194"/>
  <c r="EC44" i="194"/>
  <c r="EB44" i="194"/>
  <c r="EA44" i="194"/>
  <c r="DZ44" i="194"/>
  <c r="DY44" i="194"/>
  <c r="DX44" i="194"/>
  <c r="DW44" i="194"/>
  <c r="DV44" i="194"/>
  <c r="DU44" i="194"/>
  <c r="DT44" i="194"/>
  <c r="DS44" i="194"/>
  <c r="DR44" i="194"/>
  <c r="DQ44" i="194"/>
  <c r="DP44" i="194"/>
  <c r="DO44" i="194"/>
  <c r="DN44" i="194"/>
  <c r="DM44" i="194"/>
  <c r="DL44" i="194"/>
  <c r="DK44" i="194"/>
  <c r="DJ44" i="194"/>
  <c r="DI44" i="194"/>
  <c r="DH44" i="194"/>
  <c r="DG44" i="194"/>
  <c r="DF44" i="194"/>
  <c r="DE44" i="194"/>
  <c r="DD44" i="194"/>
  <c r="DC44" i="194"/>
  <c r="DB44" i="194"/>
  <c r="DA44" i="194"/>
  <c r="CZ44" i="194"/>
  <c r="CY44" i="194"/>
  <c r="CX44" i="194"/>
  <c r="CV44" i="194"/>
  <c r="CU44" i="194"/>
  <c r="CT44" i="194"/>
  <c r="CS44" i="194"/>
  <c r="CN44" i="194"/>
  <c r="CM44" i="194"/>
  <c r="CL44" i="194"/>
  <c r="CH44" i="194"/>
  <c r="CG44" i="194"/>
  <c r="CF44" i="194"/>
  <c r="CE44" i="194"/>
  <c r="CD44" i="194"/>
  <c r="CC44" i="194"/>
  <c r="CB44" i="194"/>
  <c r="CA44" i="194"/>
  <c r="BZ44" i="194"/>
  <c r="BY44" i="194"/>
  <c r="BX44" i="194"/>
  <c r="BW44" i="194"/>
  <c r="BU44" i="194"/>
  <c r="BT44" i="194"/>
  <c r="BS44" i="194"/>
  <c r="BR44" i="194"/>
  <c r="BQ44" i="194"/>
  <c r="BP44" i="194"/>
  <c r="BO44" i="194"/>
  <c r="BN44" i="194"/>
  <c r="BK44" i="194"/>
  <c r="BJ44" i="194"/>
  <c r="BI44" i="194"/>
  <c r="BH44" i="194"/>
  <c r="BD44" i="194"/>
  <c r="BC44" i="194"/>
  <c r="BB44" i="194"/>
  <c r="AZ44" i="194"/>
  <c r="AY44" i="194"/>
  <c r="AX44" i="194"/>
  <c r="AW44" i="194"/>
  <c r="AV44" i="194"/>
  <c r="AU44" i="194"/>
  <c r="AT44" i="194"/>
  <c r="AS44" i="194"/>
  <c r="AR44" i="194"/>
  <c r="AQ44" i="194"/>
  <c r="AP44" i="194"/>
  <c r="AO44" i="194"/>
  <c r="AN44" i="194"/>
  <c r="AM44" i="194"/>
  <c r="AL44" i="194"/>
  <c r="AK44" i="194"/>
  <c r="AJ44" i="194"/>
  <c r="AI44" i="194"/>
  <c r="AH44" i="194"/>
  <c r="AG44" i="194"/>
  <c r="AF44" i="194"/>
  <c r="AE44" i="194"/>
  <c r="AD44" i="194"/>
  <c r="AC44" i="194"/>
  <c r="AB44" i="194"/>
  <c r="AA44" i="194"/>
  <c r="Z44" i="194"/>
  <c r="Y44" i="194"/>
  <c r="X44" i="194"/>
  <c r="W44" i="194"/>
  <c r="V44" i="194"/>
  <c r="U44" i="194"/>
  <c r="T44" i="194"/>
  <c r="S44" i="194"/>
  <c r="R44" i="194"/>
  <c r="Q44" i="194"/>
  <c r="P44" i="194"/>
  <c r="O44" i="194"/>
  <c r="N44" i="194"/>
  <c r="M44" i="194"/>
  <c r="L44" i="194"/>
  <c r="K44" i="194"/>
  <c r="I44" i="194"/>
  <c r="H44" i="194"/>
  <c r="G44" i="194"/>
  <c r="F44" i="194"/>
  <c r="GB41" i="194"/>
  <c r="GA41" i="194"/>
  <c r="FZ41" i="194"/>
  <c r="FY41" i="194"/>
  <c r="FU41" i="194"/>
  <c r="FT41" i="194"/>
  <c r="FS41" i="194"/>
  <c r="FR41" i="194"/>
  <c r="FQ41" i="194"/>
  <c r="FP41" i="194"/>
  <c r="FO41" i="194"/>
  <c r="FN41" i="194"/>
  <c r="FM41" i="194"/>
  <c r="FL41" i="194"/>
  <c r="FK41" i="194"/>
  <c r="FJ41" i="194"/>
  <c r="FI41" i="194"/>
  <c r="FH41" i="194"/>
  <c r="FG41" i="194"/>
  <c r="FF41" i="194"/>
  <c r="FE41" i="194"/>
  <c r="FD41" i="194"/>
  <c r="FC41" i="194"/>
  <c r="FB41" i="194"/>
  <c r="FA41" i="194"/>
  <c r="EX41" i="194"/>
  <c r="EW41" i="194"/>
  <c r="EV41" i="194"/>
  <c r="EU41" i="194"/>
  <c r="EQ41" i="194"/>
  <c r="EP41" i="194"/>
  <c r="EO41" i="194"/>
  <c r="EN41" i="194"/>
  <c r="EM41" i="194"/>
  <c r="EL41" i="194"/>
  <c r="EK41" i="194"/>
  <c r="EJ41" i="194"/>
  <c r="EI41" i="194"/>
  <c r="EH41" i="194"/>
  <c r="EG41" i="194"/>
  <c r="EF41" i="194"/>
  <c r="EE41" i="194"/>
  <c r="ED41" i="194"/>
  <c r="EC41" i="194"/>
  <c r="EB41" i="194"/>
  <c r="EA41" i="194"/>
  <c r="DZ41" i="194"/>
  <c r="DY41" i="194"/>
  <c r="DX41" i="194"/>
  <c r="DW41" i="194"/>
  <c r="DW11" i="194" s="1"/>
  <c r="DT41" i="194"/>
  <c r="DS41" i="194"/>
  <c r="DR41" i="194"/>
  <c r="DQ41" i="194"/>
  <c r="DP41" i="194"/>
  <c r="DO41" i="194"/>
  <c r="DN41" i="194"/>
  <c r="DM41" i="194"/>
  <c r="DL41" i="194"/>
  <c r="DK41" i="194"/>
  <c r="DJ41" i="194"/>
  <c r="DI41" i="194"/>
  <c r="DI11" i="194" s="1"/>
  <c r="DH41" i="194"/>
  <c r="DG41" i="194"/>
  <c r="DF41" i="194"/>
  <c r="DE41" i="194"/>
  <c r="DD41" i="194"/>
  <c r="DC41" i="194"/>
  <c r="DB41" i="194"/>
  <c r="DA41" i="194"/>
  <c r="CZ41" i="194"/>
  <c r="CY41" i="194"/>
  <c r="CX41" i="194"/>
  <c r="CV41" i="194"/>
  <c r="CU41" i="194"/>
  <c r="CT41" i="194"/>
  <c r="CS41" i="194"/>
  <c r="CN41" i="194"/>
  <c r="CM41" i="194"/>
  <c r="CL41" i="194"/>
  <c r="CH41" i="194"/>
  <c r="CG41" i="194"/>
  <c r="CF41" i="194"/>
  <c r="CE41" i="194"/>
  <c r="CC41" i="194"/>
  <c r="CB41" i="194"/>
  <c r="CA41" i="194"/>
  <c r="BZ41" i="194"/>
  <c r="BY41" i="194"/>
  <c r="BX41" i="194"/>
  <c r="BW41" i="194"/>
  <c r="BV41" i="194"/>
  <c r="BU41" i="194"/>
  <c r="BT41" i="194"/>
  <c r="BS41" i="194"/>
  <c r="BR41" i="194"/>
  <c r="BQ41" i="194"/>
  <c r="BP41" i="194"/>
  <c r="BO41" i="194"/>
  <c r="BN41" i="194"/>
  <c r="BK41" i="194"/>
  <c r="BJ41" i="194"/>
  <c r="BI41" i="194"/>
  <c r="BH41" i="194"/>
  <c r="BD41" i="194"/>
  <c r="BC41" i="194"/>
  <c r="BB41" i="194"/>
  <c r="BA41" i="194"/>
  <c r="AZ41" i="194"/>
  <c r="AY41" i="194"/>
  <c r="AX41" i="194"/>
  <c r="AW41" i="194"/>
  <c r="AV41" i="194"/>
  <c r="AU41" i="194"/>
  <c r="AT41" i="194"/>
  <c r="AS41" i="194"/>
  <c r="AR41" i="194"/>
  <c r="AQ41" i="194"/>
  <c r="AP41" i="194"/>
  <c r="AO41" i="194"/>
  <c r="AN41" i="194"/>
  <c r="AM41" i="194"/>
  <c r="AL41" i="194"/>
  <c r="AK41" i="194"/>
  <c r="AJ41" i="194"/>
  <c r="AG41" i="194"/>
  <c r="AF41" i="194"/>
  <c r="AE41" i="194"/>
  <c r="AD41" i="194"/>
  <c r="AC41" i="194"/>
  <c r="AB41" i="194"/>
  <c r="AA41" i="194"/>
  <c r="Z41" i="194"/>
  <c r="Y41" i="194"/>
  <c r="X41" i="194"/>
  <c r="W41" i="194"/>
  <c r="V41" i="194"/>
  <c r="U41" i="194"/>
  <c r="T41" i="194"/>
  <c r="S41" i="194"/>
  <c r="R41" i="194"/>
  <c r="Q41" i="194"/>
  <c r="P41" i="194"/>
  <c r="O41" i="194"/>
  <c r="N41" i="194"/>
  <c r="M41" i="194"/>
  <c r="L41" i="194"/>
  <c r="K41" i="194"/>
  <c r="I41" i="194"/>
  <c r="H41" i="194"/>
  <c r="G41" i="194"/>
  <c r="F41" i="194"/>
  <c r="FX40" i="194"/>
  <c r="FW40" i="194"/>
  <c r="ET40" i="194"/>
  <c r="ER40" i="194" s="1"/>
  <c r="CW40" i="194"/>
  <c r="CR40" i="194"/>
  <c r="CK40" i="194"/>
  <c r="CJ40" i="194"/>
  <c r="BG40" i="194"/>
  <c r="J40" i="194"/>
  <c r="E40" i="194"/>
  <c r="FX39" i="194"/>
  <c r="FW39" i="194"/>
  <c r="FV39" i="194" s="1"/>
  <c r="ET39" i="194"/>
  <c r="CW39" i="194"/>
  <c r="CW38" i="194" s="1"/>
  <c r="Y20" i="175" s="1"/>
  <c r="CR39" i="194"/>
  <c r="CK39" i="194"/>
  <c r="CI39" i="194"/>
  <c r="CI38" i="194" s="1"/>
  <c r="CJ39" i="194"/>
  <c r="BG39" i="194"/>
  <c r="BE39" i="194" s="1"/>
  <c r="J39" i="194"/>
  <c r="E39" i="194"/>
  <c r="GB38" i="194"/>
  <c r="GA38" i="194"/>
  <c r="FZ38" i="194"/>
  <c r="FY38" i="194"/>
  <c r="FU38" i="194"/>
  <c r="FT38" i="194"/>
  <c r="FS38" i="194"/>
  <c r="FR38" i="194"/>
  <c r="FQ38" i="194"/>
  <c r="FP38" i="194"/>
  <c r="FO38" i="194"/>
  <c r="FN38" i="194"/>
  <c r="FM38" i="194"/>
  <c r="FL38" i="194"/>
  <c r="FK38" i="194"/>
  <c r="FJ38" i="194"/>
  <c r="FI38" i="194"/>
  <c r="FH38" i="194"/>
  <c r="FG38" i="194"/>
  <c r="FF38" i="194"/>
  <c r="FE38" i="194"/>
  <c r="FD38" i="194"/>
  <c r="FC38" i="194"/>
  <c r="FB38" i="194"/>
  <c r="FA38" i="194"/>
  <c r="EX38" i="194"/>
  <c r="EW38" i="194"/>
  <c r="EV38" i="194"/>
  <c r="EU38" i="194"/>
  <c r="EQ38" i="194"/>
  <c r="EP38" i="194"/>
  <c r="EO38" i="194"/>
  <c r="EN38" i="194"/>
  <c r="EM38" i="194"/>
  <c r="EL38" i="194"/>
  <c r="EK38" i="194"/>
  <c r="EJ38" i="194"/>
  <c r="EI38" i="194"/>
  <c r="EH38" i="194"/>
  <c r="EG38" i="194"/>
  <c r="EF38" i="194"/>
  <c r="EE38" i="194"/>
  <c r="ED38" i="194"/>
  <c r="EC38" i="194"/>
  <c r="EB38" i="194"/>
  <c r="EA38" i="194"/>
  <c r="DZ38" i="194"/>
  <c r="DY38" i="194"/>
  <c r="DX38" i="194"/>
  <c r="DW38" i="194"/>
  <c r="DV38" i="194"/>
  <c r="DU38" i="194"/>
  <c r="DT38" i="194"/>
  <c r="DS38" i="194"/>
  <c r="DR38" i="194"/>
  <c r="DQ38" i="194"/>
  <c r="DP38" i="194"/>
  <c r="DO38" i="194"/>
  <c r="DN38" i="194"/>
  <c r="DM38" i="194"/>
  <c r="DL38" i="194"/>
  <c r="DK38" i="194"/>
  <c r="DJ38" i="194"/>
  <c r="DI38" i="194"/>
  <c r="DH38" i="194"/>
  <c r="DG38" i="194"/>
  <c r="DF38" i="194"/>
  <c r="DE38" i="194"/>
  <c r="DD38" i="194"/>
  <c r="DC38" i="194"/>
  <c r="DB38" i="194"/>
  <c r="DA38" i="194"/>
  <c r="CZ38" i="194"/>
  <c r="CY38" i="194"/>
  <c r="CX38" i="194"/>
  <c r="CV38" i="194"/>
  <c r="CU38" i="194"/>
  <c r="CT38" i="194"/>
  <c r="CS38" i="194"/>
  <c r="CN38" i="194"/>
  <c r="CM38" i="194"/>
  <c r="CL38" i="194"/>
  <c r="CH38" i="194"/>
  <c r="CG38" i="194"/>
  <c r="CF38" i="194"/>
  <c r="CE38" i="194"/>
  <c r="CD38" i="194"/>
  <c r="CC38" i="194"/>
  <c r="CB38" i="194"/>
  <c r="CA38" i="194"/>
  <c r="BZ38" i="194"/>
  <c r="BY38" i="194"/>
  <c r="BX38" i="194"/>
  <c r="BW38" i="194"/>
  <c r="BV38" i="194"/>
  <c r="BU38" i="194"/>
  <c r="BT38" i="194"/>
  <c r="BS38" i="194"/>
  <c r="BR38" i="194"/>
  <c r="BQ38" i="194"/>
  <c r="BP38" i="194"/>
  <c r="BO38" i="194"/>
  <c r="BN38" i="194"/>
  <c r="BK38" i="194"/>
  <c r="BJ38" i="194"/>
  <c r="BI38" i="194"/>
  <c r="BH38" i="194"/>
  <c r="BD38" i="194"/>
  <c r="BC38" i="194"/>
  <c r="BB38" i="194"/>
  <c r="BA38" i="194"/>
  <c r="AZ38" i="194"/>
  <c r="AY38" i="194"/>
  <c r="AX38" i="194"/>
  <c r="AW38" i="194"/>
  <c r="AV38" i="194"/>
  <c r="AU38" i="194"/>
  <c r="AT38" i="194"/>
  <c r="AS38" i="194"/>
  <c r="AR38" i="194"/>
  <c r="AQ38" i="194"/>
  <c r="AP38" i="194"/>
  <c r="AO38" i="194"/>
  <c r="AN38" i="194"/>
  <c r="AM38" i="194"/>
  <c r="AL38" i="194"/>
  <c r="AK38" i="194"/>
  <c r="AJ38" i="194"/>
  <c r="AI38" i="194"/>
  <c r="AH38" i="194"/>
  <c r="AG38" i="194"/>
  <c r="AF38" i="194"/>
  <c r="AE38" i="194"/>
  <c r="AD38" i="194"/>
  <c r="AC38" i="194"/>
  <c r="AB38" i="194"/>
  <c r="AA38" i="194"/>
  <c r="Z38" i="194"/>
  <c r="Y38" i="194"/>
  <c r="X38" i="194"/>
  <c r="W38" i="194"/>
  <c r="V38" i="194"/>
  <c r="U38" i="194"/>
  <c r="T38" i="194"/>
  <c r="S38" i="194"/>
  <c r="R38" i="194"/>
  <c r="Q38" i="194"/>
  <c r="P38" i="194"/>
  <c r="O38" i="194"/>
  <c r="N38" i="194"/>
  <c r="M38" i="194"/>
  <c r="L38" i="194"/>
  <c r="K38" i="194"/>
  <c r="I38" i="194"/>
  <c r="H38" i="194"/>
  <c r="G38" i="194"/>
  <c r="F38" i="194"/>
  <c r="GB35" i="194"/>
  <c r="GA35" i="194"/>
  <c r="FZ35" i="194"/>
  <c r="FY35" i="194"/>
  <c r="FU35" i="194"/>
  <c r="FT35" i="194"/>
  <c r="FS35" i="194"/>
  <c r="FR35" i="194"/>
  <c r="FQ35" i="194"/>
  <c r="FP35" i="194"/>
  <c r="FO35" i="194"/>
  <c r="FN35" i="194"/>
  <c r="FM35" i="194"/>
  <c r="FL35" i="194"/>
  <c r="FK35" i="194"/>
  <c r="FJ35" i="194"/>
  <c r="FI35" i="194"/>
  <c r="FH35" i="194"/>
  <c r="FG35" i="194"/>
  <c r="FF35" i="194"/>
  <c r="FE35" i="194"/>
  <c r="FD35" i="194"/>
  <c r="FC35" i="194"/>
  <c r="FB35" i="194"/>
  <c r="FA35" i="194"/>
  <c r="EX35" i="194"/>
  <c r="EW35" i="194"/>
  <c r="EV35" i="194"/>
  <c r="EU35" i="194"/>
  <c r="EQ35" i="194"/>
  <c r="EP35" i="194"/>
  <c r="EO35" i="194"/>
  <c r="EN35" i="194"/>
  <c r="EM35" i="194"/>
  <c r="EL35" i="194"/>
  <c r="EK35" i="194"/>
  <c r="EJ35" i="194"/>
  <c r="EI35" i="194"/>
  <c r="EH35" i="194"/>
  <c r="EG35" i="194"/>
  <c r="EF35" i="194"/>
  <c r="EE35" i="194"/>
  <c r="ED35" i="194"/>
  <c r="EC35" i="194"/>
  <c r="EB35" i="194"/>
  <c r="EA35" i="194"/>
  <c r="DZ35" i="194"/>
  <c r="DY35" i="194"/>
  <c r="DX35" i="194"/>
  <c r="DW35" i="194"/>
  <c r="DV35" i="194"/>
  <c r="DU35" i="194"/>
  <c r="DT35" i="194"/>
  <c r="DS35" i="194"/>
  <c r="DR35" i="194"/>
  <c r="DQ35" i="194"/>
  <c r="DP35" i="194"/>
  <c r="DO35" i="194"/>
  <c r="DN35" i="194"/>
  <c r="DM35" i="194"/>
  <c r="DL35" i="194"/>
  <c r="DK35" i="194"/>
  <c r="DJ35" i="194"/>
  <c r="DI35" i="194"/>
  <c r="DH35" i="194"/>
  <c r="DG35" i="194"/>
  <c r="DF35" i="194"/>
  <c r="DE35" i="194"/>
  <c r="DD35" i="194"/>
  <c r="DC35" i="194"/>
  <c r="DB35" i="194"/>
  <c r="DA35" i="194"/>
  <c r="CY35" i="194"/>
  <c r="CX35" i="194"/>
  <c r="CV35" i="194"/>
  <c r="CU35" i="194"/>
  <c r="CT35" i="194"/>
  <c r="CS35" i="194"/>
  <c r="CN35" i="194"/>
  <c r="CM35" i="194"/>
  <c r="CL35" i="194"/>
  <c r="CH35" i="194"/>
  <c r="CG35" i="194"/>
  <c r="CF35" i="194"/>
  <c r="CE35" i="194"/>
  <c r="CD35" i="194"/>
  <c r="CC35" i="194"/>
  <c r="CB35" i="194"/>
  <c r="CA35" i="194"/>
  <c r="BZ35" i="194"/>
  <c r="BY35" i="194"/>
  <c r="BX35" i="194"/>
  <c r="BW35" i="194"/>
  <c r="BV35" i="194"/>
  <c r="BU35" i="194"/>
  <c r="BT35" i="194"/>
  <c r="BS35" i="194"/>
  <c r="BR35" i="194"/>
  <c r="BQ35" i="194"/>
  <c r="BP35" i="194"/>
  <c r="BO35" i="194"/>
  <c r="BN35" i="194"/>
  <c r="BK35" i="194"/>
  <c r="BJ35" i="194"/>
  <c r="BI35" i="194"/>
  <c r="BH35" i="194"/>
  <c r="BD35" i="194"/>
  <c r="BC35" i="194"/>
  <c r="BB35" i="194"/>
  <c r="BA35" i="194"/>
  <c r="AZ35" i="194"/>
  <c r="AY35" i="194"/>
  <c r="AX35" i="194"/>
  <c r="AW35" i="194"/>
  <c r="AV35" i="194"/>
  <c r="AU35" i="194"/>
  <c r="AT35" i="194"/>
  <c r="AS35" i="194"/>
  <c r="AR35" i="194"/>
  <c r="AQ35" i="194"/>
  <c r="AP35" i="194"/>
  <c r="AO35" i="194"/>
  <c r="AN35" i="194"/>
  <c r="AM35" i="194"/>
  <c r="AL35" i="194"/>
  <c r="AK35" i="194"/>
  <c r="AJ35" i="194"/>
  <c r="AI35" i="194"/>
  <c r="AH35" i="194"/>
  <c r="AG35" i="194"/>
  <c r="AF35" i="194"/>
  <c r="AE35" i="194"/>
  <c r="AD35" i="194"/>
  <c r="AC35" i="194"/>
  <c r="AB35" i="194"/>
  <c r="AA35" i="194"/>
  <c r="Z35" i="194"/>
  <c r="Y35" i="194"/>
  <c r="X35" i="194"/>
  <c r="W35" i="194"/>
  <c r="V35" i="194"/>
  <c r="U35" i="194"/>
  <c r="T35" i="194"/>
  <c r="S35" i="194"/>
  <c r="R35" i="194"/>
  <c r="Q35" i="194"/>
  <c r="P35" i="194"/>
  <c r="O35" i="194"/>
  <c r="N35" i="194"/>
  <c r="L35" i="194"/>
  <c r="K35" i="194"/>
  <c r="K11" i="194" s="1"/>
  <c r="I35" i="194"/>
  <c r="H35" i="194"/>
  <c r="G35" i="194"/>
  <c r="F35" i="194"/>
  <c r="CK34" i="194"/>
  <c r="CJ34" i="194"/>
  <c r="BG34" i="194"/>
  <c r="J34" i="194"/>
  <c r="E34" i="194"/>
  <c r="D34" i="194" s="1"/>
  <c r="FX33" i="194"/>
  <c r="FW33" i="194"/>
  <c r="FW32" i="194"/>
  <c r="ET33" i="194"/>
  <c r="CW33" i="194"/>
  <c r="CR33" i="194"/>
  <c r="CR32" i="194"/>
  <c r="CK33" i="194"/>
  <c r="CK32" i="194" s="1"/>
  <c r="CJ33" i="194"/>
  <c r="BG33" i="194"/>
  <c r="J33" i="194"/>
  <c r="E33" i="194"/>
  <c r="GB32" i="194"/>
  <c r="GA32" i="194"/>
  <c r="FZ32" i="194"/>
  <c r="FY32" i="194"/>
  <c r="FU32" i="194"/>
  <c r="FT32" i="194"/>
  <c r="FS32" i="194"/>
  <c r="FR32" i="194"/>
  <c r="FQ32" i="194"/>
  <c r="FP32" i="194"/>
  <c r="FO32" i="194"/>
  <c r="FN32" i="194"/>
  <c r="FM32" i="194"/>
  <c r="FL32" i="194"/>
  <c r="FK32" i="194"/>
  <c r="FJ32" i="194"/>
  <c r="FI32" i="194"/>
  <c r="FH32" i="194"/>
  <c r="FG32" i="194"/>
  <c r="FF32" i="194"/>
  <c r="FE32" i="194"/>
  <c r="FD32" i="194"/>
  <c r="FC32" i="194"/>
  <c r="FB32" i="194"/>
  <c r="FA32" i="194"/>
  <c r="EX32" i="194"/>
  <c r="EW32" i="194"/>
  <c r="EV32" i="194"/>
  <c r="EU32" i="194"/>
  <c r="EQ32" i="194"/>
  <c r="EP32" i="194"/>
  <c r="EO32" i="194"/>
  <c r="EN32" i="194"/>
  <c r="EM32" i="194"/>
  <c r="EL32" i="194"/>
  <c r="EK32" i="194"/>
  <c r="EJ32" i="194"/>
  <c r="EI32" i="194"/>
  <c r="EH32" i="194"/>
  <c r="EG32" i="194"/>
  <c r="EF32" i="194"/>
  <c r="EE32" i="194"/>
  <c r="ED32" i="194"/>
  <c r="EC32" i="194"/>
  <c r="EB32" i="194"/>
  <c r="EA32" i="194"/>
  <c r="DZ32" i="194"/>
  <c r="DY32" i="194"/>
  <c r="DX32" i="194"/>
  <c r="DW32" i="194"/>
  <c r="DV32" i="194"/>
  <c r="DU32" i="194"/>
  <c r="DT32" i="194"/>
  <c r="DS32" i="194"/>
  <c r="DR32" i="194"/>
  <c r="DQ32" i="194"/>
  <c r="DP32" i="194"/>
  <c r="DO32" i="194"/>
  <c r="DN32" i="194"/>
  <c r="DM32" i="194"/>
  <c r="DL32" i="194"/>
  <c r="DK32" i="194"/>
  <c r="DJ32" i="194"/>
  <c r="DI32" i="194"/>
  <c r="DH32" i="194"/>
  <c r="DG32" i="194"/>
  <c r="DF32" i="194"/>
  <c r="DE32" i="194"/>
  <c r="DD32" i="194"/>
  <c r="DC32" i="194"/>
  <c r="DB32" i="194"/>
  <c r="DA32" i="194"/>
  <c r="CZ32" i="194"/>
  <c r="CY32" i="194"/>
  <c r="CX32" i="194"/>
  <c r="CV32" i="194"/>
  <c r="CU32" i="194"/>
  <c r="CT32" i="194"/>
  <c r="CS32" i="194"/>
  <c r="CN32" i="194"/>
  <c r="CM32" i="194"/>
  <c r="CL32" i="194"/>
  <c r="CH32" i="194"/>
  <c r="CG32" i="194"/>
  <c r="CF32" i="194"/>
  <c r="CE32" i="194"/>
  <c r="CD32" i="194"/>
  <c r="CC32" i="194"/>
  <c r="CB32" i="194"/>
  <c r="CA32" i="194"/>
  <c r="BZ32" i="194"/>
  <c r="BY32" i="194"/>
  <c r="BX32" i="194"/>
  <c r="BW32" i="194"/>
  <c r="BV32" i="194"/>
  <c r="BU32" i="194"/>
  <c r="BT32" i="194"/>
  <c r="BS32" i="194"/>
  <c r="BR32" i="194"/>
  <c r="BQ32" i="194"/>
  <c r="BP32" i="194"/>
  <c r="BO32" i="194"/>
  <c r="BN32" i="194"/>
  <c r="BK32" i="194"/>
  <c r="BJ32" i="194"/>
  <c r="BI32" i="194"/>
  <c r="BH32" i="194"/>
  <c r="BD32" i="194"/>
  <c r="BC32" i="194"/>
  <c r="BB32" i="194"/>
  <c r="BA32" i="194"/>
  <c r="AZ32" i="194"/>
  <c r="AY32" i="194"/>
  <c r="AX32" i="194"/>
  <c r="AW32" i="194"/>
  <c r="AV32" i="194"/>
  <c r="AU32" i="194"/>
  <c r="AT32" i="194"/>
  <c r="AS32" i="194"/>
  <c r="AR32" i="194"/>
  <c r="AQ32" i="194"/>
  <c r="AP32" i="194"/>
  <c r="AO32" i="194"/>
  <c r="AN32" i="194"/>
  <c r="AM32" i="194"/>
  <c r="AL32" i="194"/>
  <c r="AK32" i="194"/>
  <c r="AJ32" i="194"/>
  <c r="AI32" i="194"/>
  <c r="AH32" i="194"/>
  <c r="AG32" i="194"/>
  <c r="AF32" i="194"/>
  <c r="AE32" i="194"/>
  <c r="AD32" i="194"/>
  <c r="AC32" i="194"/>
  <c r="AB32" i="194"/>
  <c r="AA32" i="194"/>
  <c r="Z32" i="194"/>
  <c r="Y32" i="194"/>
  <c r="X32" i="194"/>
  <c r="W32" i="194"/>
  <c r="V32" i="194"/>
  <c r="U32" i="194"/>
  <c r="T32" i="194"/>
  <c r="S32" i="194"/>
  <c r="R32" i="194"/>
  <c r="Q32" i="194"/>
  <c r="P32" i="194"/>
  <c r="O32" i="194"/>
  <c r="N32" i="194"/>
  <c r="M32" i="194"/>
  <c r="L32" i="194"/>
  <c r="K32" i="194"/>
  <c r="I32" i="194"/>
  <c r="H32" i="194"/>
  <c r="G32" i="194"/>
  <c r="F32" i="194"/>
  <c r="GB29" i="194"/>
  <c r="GA29" i="194"/>
  <c r="FZ29" i="194"/>
  <c r="FY29" i="194"/>
  <c r="FU29" i="194"/>
  <c r="FT29" i="194"/>
  <c r="FS29" i="194"/>
  <c r="FR29" i="194"/>
  <c r="FQ29" i="194"/>
  <c r="FP29" i="194"/>
  <c r="FO29" i="194"/>
  <c r="FN29" i="194"/>
  <c r="FM29" i="194"/>
  <c r="FL29" i="194"/>
  <c r="FK29" i="194"/>
  <c r="FJ29" i="194"/>
  <c r="FI29" i="194"/>
  <c r="FH29" i="194"/>
  <c r="FG29" i="194"/>
  <c r="FF29" i="194"/>
  <c r="FE29" i="194"/>
  <c r="FD29" i="194"/>
  <c r="FC29" i="194"/>
  <c r="FB29" i="194"/>
  <c r="FA29" i="194"/>
  <c r="EX29" i="194"/>
  <c r="EW29" i="194"/>
  <c r="EV29" i="194"/>
  <c r="EU29" i="194"/>
  <c r="EQ29" i="194"/>
  <c r="EP29" i="194"/>
  <c r="EO29" i="194"/>
  <c r="EN29" i="194"/>
  <c r="EM29" i="194"/>
  <c r="EL29" i="194"/>
  <c r="EK29" i="194"/>
  <c r="EJ29" i="194"/>
  <c r="EI29" i="194"/>
  <c r="EH29" i="194"/>
  <c r="EG29" i="194"/>
  <c r="EF29" i="194"/>
  <c r="EE29" i="194"/>
  <c r="ED29" i="194"/>
  <c r="EC29" i="194"/>
  <c r="EB29" i="194"/>
  <c r="EA29" i="194"/>
  <c r="DZ29" i="194"/>
  <c r="DY29" i="194"/>
  <c r="DX29" i="194"/>
  <c r="DW29" i="194"/>
  <c r="DV29" i="194"/>
  <c r="DU29" i="194"/>
  <c r="DT29" i="194"/>
  <c r="DS29" i="194"/>
  <c r="DR29" i="194"/>
  <c r="DQ29" i="194"/>
  <c r="DP29" i="194"/>
  <c r="DO29" i="194"/>
  <c r="DN29" i="194"/>
  <c r="DM29" i="194"/>
  <c r="DL29" i="194"/>
  <c r="DK29" i="194"/>
  <c r="DJ29" i="194"/>
  <c r="DI29" i="194"/>
  <c r="DH29" i="194"/>
  <c r="DG29" i="194"/>
  <c r="DF29" i="194"/>
  <c r="DE29" i="194"/>
  <c r="DD29" i="194"/>
  <c r="DC29" i="194"/>
  <c r="DB29" i="194"/>
  <c r="DA29" i="194"/>
  <c r="CZ29" i="194"/>
  <c r="CY29" i="194"/>
  <c r="CX29" i="194"/>
  <c r="CV29" i="194"/>
  <c r="CU29" i="194"/>
  <c r="CT29" i="194"/>
  <c r="CS29" i="194"/>
  <c r="CN29" i="194"/>
  <c r="CM29" i="194"/>
  <c r="CL29" i="194"/>
  <c r="CH29" i="194"/>
  <c r="CG29" i="194"/>
  <c r="CF29" i="194"/>
  <c r="CE29" i="194"/>
  <c r="CD29" i="194"/>
  <c r="CC29" i="194"/>
  <c r="CB29" i="194"/>
  <c r="CA29" i="194"/>
  <c r="BZ29" i="194"/>
  <c r="BY29" i="194"/>
  <c r="BX29" i="194"/>
  <c r="BW29" i="194"/>
  <c r="BV29" i="194"/>
  <c r="BU29" i="194"/>
  <c r="BT29" i="194"/>
  <c r="BS29" i="194"/>
  <c r="BR29" i="194"/>
  <c r="BQ29" i="194"/>
  <c r="BP29" i="194"/>
  <c r="BO29" i="194"/>
  <c r="BN29" i="194"/>
  <c r="BK29" i="194"/>
  <c r="BJ29" i="194"/>
  <c r="BI29" i="194"/>
  <c r="BH29" i="194"/>
  <c r="BD29" i="194"/>
  <c r="BC29" i="194"/>
  <c r="BB29" i="194"/>
  <c r="BA29" i="194"/>
  <c r="AZ29" i="194"/>
  <c r="AY29" i="194"/>
  <c r="AX29" i="194"/>
  <c r="AW29" i="194"/>
  <c r="AV29" i="194"/>
  <c r="AU29" i="194"/>
  <c r="AT29" i="194"/>
  <c r="AS29" i="194"/>
  <c r="AR29" i="194"/>
  <c r="AQ29" i="194"/>
  <c r="AP29" i="194"/>
  <c r="AO29" i="194"/>
  <c r="AN29" i="194"/>
  <c r="AM29" i="194"/>
  <c r="AL29" i="194"/>
  <c r="AK29" i="194"/>
  <c r="AJ29" i="194"/>
  <c r="AI29" i="194"/>
  <c r="AH29" i="194"/>
  <c r="AG29" i="194"/>
  <c r="AF29" i="194"/>
  <c r="AE29" i="194"/>
  <c r="AD29" i="194"/>
  <c r="AC29" i="194"/>
  <c r="AB29" i="194"/>
  <c r="AA29" i="194"/>
  <c r="Z29" i="194"/>
  <c r="Y29" i="194"/>
  <c r="X29" i="194"/>
  <c r="W29" i="194"/>
  <c r="V29" i="194"/>
  <c r="U29" i="194"/>
  <c r="T29" i="194"/>
  <c r="S29" i="194"/>
  <c r="R29" i="194"/>
  <c r="Q29" i="194"/>
  <c r="P29" i="194"/>
  <c r="O29" i="194"/>
  <c r="N29" i="194"/>
  <c r="M29" i="194"/>
  <c r="L29" i="194"/>
  <c r="K29" i="194"/>
  <c r="I29" i="194"/>
  <c r="H29" i="194"/>
  <c r="G29" i="194"/>
  <c r="F29" i="194"/>
  <c r="FX28" i="194"/>
  <c r="FW28" i="194"/>
  <c r="ET28" i="194"/>
  <c r="CW28" i="194"/>
  <c r="CR28" i="194"/>
  <c r="CK28" i="194"/>
  <c r="CJ28" i="194"/>
  <c r="CI28" i="194" s="1"/>
  <c r="BG28" i="194"/>
  <c r="J28" i="194"/>
  <c r="E28" i="194"/>
  <c r="FX27" i="194"/>
  <c r="FW27" i="194"/>
  <c r="ET27" i="194"/>
  <c r="ER27" i="194" s="1"/>
  <c r="CW27" i="194"/>
  <c r="CR27" i="194"/>
  <c r="CR26" i="194" s="1"/>
  <c r="CK27" i="194"/>
  <c r="CJ27" i="194"/>
  <c r="BG27" i="194"/>
  <c r="BG26" i="194" s="1"/>
  <c r="J27" i="194"/>
  <c r="E27" i="194"/>
  <c r="GB26" i="194"/>
  <c r="GA26" i="194"/>
  <c r="FZ26" i="194"/>
  <c r="FY26" i="194"/>
  <c r="FU26" i="194"/>
  <c r="FT26" i="194"/>
  <c r="FS26" i="194"/>
  <c r="FR26" i="194"/>
  <c r="FQ26" i="194"/>
  <c r="FP26" i="194"/>
  <c r="FO26" i="194"/>
  <c r="FN26" i="194"/>
  <c r="FM26" i="194"/>
  <c r="FL26" i="194"/>
  <c r="FK26" i="194"/>
  <c r="FJ26" i="194"/>
  <c r="FI26" i="194"/>
  <c r="FH26" i="194"/>
  <c r="FG26" i="194"/>
  <c r="FF26" i="194"/>
  <c r="FE26" i="194"/>
  <c r="FD26" i="194"/>
  <c r="FC26" i="194"/>
  <c r="FB26" i="194"/>
  <c r="FA26" i="194"/>
  <c r="EX26" i="194"/>
  <c r="EW26" i="194"/>
  <c r="EV26" i="194"/>
  <c r="EU26" i="194"/>
  <c r="EQ26" i="194"/>
  <c r="EP26" i="194"/>
  <c r="EO26" i="194"/>
  <c r="EN26" i="194"/>
  <c r="EM26" i="194"/>
  <c r="EL26" i="194"/>
  <c r="EK26" i="194"/>
  <c r="EJ26" i="194"/>
  <c r="EI26" i="194"/>
  <c r="EH26" i="194"/>
  <c r="EG26" i="194"/>
  <c r="EF26" i="194"/>
  <c r="EE26" i="194"/>
  <c r="ED26" i="194"/>
  <c r="EC26" i="194"/>
  <c r="EB26" i="194"/>
  <c r="EA26" i="194"/>
  <c r="DZ26" i="194"/>
  <c r="DY26" i="194"/>
  <c r="DX26" i="194"/>
  <c r="DW26" i="194"/>
  <c r="DV26" i="194"/>
  <c r="DU26" i="194"/>
  <c r="DT26" i="194"/>
  <c r="DS26" i="194"/>
  <c r="DR26" i="194"/>
  <c r="DQ26" i="194"/>
  <c r="DP26" i="194"/>
  <c r="DO26" i="194"/>
  <c r="DN26" i="194"/>
  <c r="DM26" i="194"/>
  <c r="DL26" i="194"/>
  <c r="DK26" i="194"/>
  <c r="DJ26" i="194"/>
  <c r="DI26" i="194"/>
  <c r="DH26" i="194"/>
  <c r="DG26" i="194"/>
  <c r="DF26" i="194"/>
  <c r="DE26" i="194"/>
  <c r="DD26" i="194"/>
  <c r="DC26" i="194"/>
  <c r="DB26" i="194"/>
  <c r="DA26" i="194"/>
  <c r="CZ26" i="194"/>
  <c r="CY26" i="194"/>
  <c r="CX26" i="194"/>
  <c r="CV26" i="194"/>
  <c r="CU26" i="194"/>
  <c r="CT26" i="194"/>
  <c r="CS26" i="194"/>
  <c r="CN26" i="194"/>
  <c r="CM26" i="194"/>
  <c r="CL26" i="194"/>
  <c r="CH26" i="194"/>
  <c r="CG26" i="194"/>
  <c r="CF26" i="194"/>
  <c r="CE26" i="194"/>
  <c r="CD26" i="194"/>
  <c r="CC26" i="194"/>
  <c r="CB26" i="194"/>
  <c r="CA26" i="194"/>
  <c r="BZ26" i="194"/>
  <c r="BY26" i="194"/>
  <c r="BX26" i="194"/>
  <c r="BW26" i="194"/>
  <c r="BV26" i="194"/>
  <c r="BU26" i="194"/>
  <c r="BT26" i="194"/>
  <c r="BS26" i="194"/>
  <c r="BR26" i="194"/>
  <c r="BQ26" i="194"/>
  <c r="BP26" i="194"/>
  <c r="BO26" i="194"/>
  <c r="BN26" i="194"/>
  <c r="BK26" i="194"/>
  <c r="BJ26" i="194"/>
  <c r="BI26" i="194"/>
  <c r="BH26" i="194"/>
  <c r="BD26" i="194"/>
  <c r="BC26" i="194"/>
  <c r="BB26" i="194"/>
  <c r="BA26" i="194"/>
  <c r="AZ26" i="194"/>
  <c r="AY26" i="194"/>
  <c r="AX26" i="194"/>
  <c r="AW26" i="194"/>
  <c r="AV26" i="194"/>
  <c r="AU26" i="194"/>
  <c r="AT26" i="194"/>
  <c r="AS26" i="194"/>
  <c r="AR26" i="194"/>
  <c r="AQ26" i="194"/>
  <c r="AP26" i="194"/>
  <c r="AO26" i="194"/>
  <c r="AN26" i="194"/>
  <c r="AM26" i="194"/>
  <c r="AL26" i="194"/>
  <c r="AK26" i="194"/>
  <c r="AJ26" i="194"/>
  <c r="AI26" i="194"/>
  <c r="AH26" i="194"/>
  <c r="AG26" i="194"/>
  <c r="AF26" i="194"/>
  <c r="AE26" i="194"/>
  <c r="AD26" i="194"/>
  <c r="AC26" i="194"/>
  <c r="AB26" i="194"/>
  <c r="AA26" i="194"/>
  <c r="Z26" i="194"/>
  <c r="Y26" i="194"/>
  <c r="X26" i="194"/>
  <c r="W26" i="194"/>
  <c r="V26" i="194"/>
  <c r="U26" i="194"/>
  <c r="T26" i="194"/>
  <c r="S26" i="194"/>
  <c r="R26" i="194"/>
  <c r="Q26" i="194"/>
  <c r="P26" i="194"/>
  <c r="O26" i="194"/>
  <c r="N26" i="194"/>
  <c r="M26" i="194"/>
  <c r="L26" i="194"/>
  <c r="K26" i="194"/>
  <c r="I26" i="194"/>
  <c r="H26" i="194"/>
  <c r="G26" i="194"/>
  <c r="F26" i="194"/>
  <c r="GA23" i="194"/>
  <c r="FZ23" i="194"/>
  <c r="FY23" i="194"/>
  <c r="FS23" i="194"/>
  <c r="FR23" i="194"/>
  <c r="FQ23" i="194"/>
  <c r="FP23" i="194"/>
  <c r="FO23" i="194"/>
  <c r="FN23" i="194"/>
  <c r="FM23" i="194"/>
  <c r="FL23" i="194"/>
  <c r="FK23" i="194"/>
  <c r="FJ23" i="194"/>
  <c r="FI23" i="194"/>
  <c r="FH23" i="194"/>
  <c r="FG23" i="194"/>
  <c r="FF23" i="194"/>
  <c r="FE23" i="194"/>
  <c r="FD23" i="194"/>
  <c r="FC23" i="194"/>
  <c r="FB23" i="194"/>
  <c r="FA23" i="194"/>
  <c r="EX23" i="194"/>
  <c r="EW23" i="194"/>
  <c r="EV23" i="194"/>
  <c r="EU23" i="194"/>
  <c r="EQ23" i="194"/>
  <c r="EP23" i="194"/>
  <c r="EO23" i="194"/>
  <c r="EM23" i="194"/>
  <c r="EL23" i="194"/>
  <c r="EK23" i="194"/>
  <c r="EJ23" i="194"/>
  <c r="EH23" i="194"/>
  <c r="EG23" i="194"/>
  <c r="EG11" i="194" s="1"/>
  <c r="EF23" i="194"/>
  <c r="EE23" i="194"/>
  <c r="ED23" i="194"/>
  <c r="EC23" i="194"/>
  <c r="EB23" i="194"/>
  <c r="EA23" i="194"/>
  <c r="DZ23" i="194"/>
  <c r="DY23" i="194"/>
  <c r="DX23" i="194"/>
  <c r="DW23" i="194"/>
  <c r="DV23" i="194"/>
  <c r="DU23" i="194"/>
  <c r="DT23" i="194"/>
  <c r="DS23" i="194"/>
  <c r="DR23" i="194"/>
  <c r="DQ23" i="194"/>
  <c r="DP23" i="194"/>
  <c r="DO23" i="194"/>
  <c r="DN23" i="194"/>
  <c r="DM23" i="194"/>
  <c r="DL23" i="194"/>
  <c r="DK23" i="194"/>
  <c r="DJ23" i="194"/>
  <c r="DI23" i="194"/>
  <c r="DH23" i="194"/>
  <c r="DG23" i="194"/>
  <c r="DF23" i="194"/>
  <c r="DE23" i="194"/>
  <c r="DD23" i="194"/>
  <c r="DC23" i="194"/>
  <c r="DB23" i="194"/>
  <c r="DA23" i="194"/>
  <c r="CZ23" i="194"/>
  <c r="CY23" i="194"/>
  <c r="CX23" i="194"/>
  <c r="CV23" i="194"/>
  <c r="CU23" i="194"/>
  <c r="CT23" i="194"/>
  <c r="CS23" i="194"/>
  <c r="CN23" i="194"/>
  <c r="CM23" i="194"/>
  <c r="CL23" i="194"/>
  <c r="CG23" i="194"/>
  <c r="CF23" i="194"/>
  <c r="CE23" i="194"/>
  <c r="CD23" i="194"/>
  <c r="CC23" i="194"/>
  <c r="CB23" i="194"/>
  <c r="CA23" i="194"/>
  <c r="BZ23" i="194"/>
  <c r="BY23" i="194"/>
  <c r="BX23" i="194"/>
  <c r="BW23" i="194"/>
  <c r="BV23" i="194"/>
  <c r="BU23" i="194"/>
  <c r="BT23" i="194"/>
  <c r="BS23" i="194"/>
  <c r="BR23" i="194"/>
  <c r="BQ23" i="194"/>
  <c r="BP23" i="194"/>
  <c r="BO23" i="194"/>
  <c r="BN23" i="194"/>
  <c r="BK23" i="194"/>
  <c r="BJ23" i="194"/>
  <c r="BI23" i="194"/>
  <c r="BH23" i="194"/>
  <c r="BD23" i="194"/>
  <c r="BC23" i="194"/>
  <c r="BB23" i="194"/>
  <c r="AZ23" i="194"/>
  <c r="AY23" i="194"/>
  <c r="AX23" i="194"/>
  <c r="AW23" i="194"/>
  <c r="AU23" i="194"/>
  <c r="AT23" i="194"/>
  <c r="AS23" i="194"/>
  <c r="AR23" i="194"/>
  <c r="AQ23" i="194"/>
  <c r="AP23" i="194"/>
  <c r="AO23" i="194"/>
  <c r="AN23" i="194"/>
  <c r="AM23" i="194"/>
  <c r="AL23" i="194"/>
  <c r="AK23" i="194"/>
  <c r="AJ23" i="194"/>
  <c r="AI23" i="194"/>
  <c r="AH23" i="194"/>
  <c r="AG23" i="194"/>
  <c r="AF23" i="194"/>
  <c r="AE23" i="194"/>
  <c r="AD23" i="194"/>
  <c r="AC23" i="194"/>
  <c r="AB23" i="194"/>
  <c r="AA23" i="194"/>
  <c r="Z23" i="194"/>
  <c r="Y23" i="194"/>
  <c r="X23" i="194"/>
  <c r="W23" i="194"/>
  <c r="V23" i="194"/>
  <c r="U23" i="194"/>
  <c r="T23" i="194"/>
  <c r="S23" i="194"/>
  <c r="R23" i="194"/>
  <c r="Q23" i="194"/>
  <c r="P23" i="194"/>
  <c r="O23" i="194"/>
  <c r="N23" i="194"/>
  <c r="M23" i="194"/>
  <c r="L23" i="194"/>
  <c r="K23" i="194"/>
  <c r="I23" i="194"/>
  <c r="H23" i="194"/>
  <c r="G23" i="194"/>
  <c r="F23" i="194"/>
  <c r="FX22" i="194"/>
  <c r="FW22" i="194"/>
  <c r="ET22" i="194"/>
  <c r="ER22" i="194" s="1"/>
  <c r="CW22" i="194"/>
  <c r="CR22" i="194"/>
  <c r="CK22" i="194"/>
  <c r="CI22" i="194" s="1"/>
  <c r="CJ22" i="194"/>
  <c r="BG22" i="194"/>
  <c r="BE22" i="194" s="1"/>
  <c r="J22" i="194"/>
  <c r="E22" i="194"/>
  <c r="FX21" i="194"/>
  <c r="FW21" i="194"/>
  <c r="ET21" i="194"/>
  <c r="CW21" i="194"/>
  <c r="CR21" i="194"/>
  <c r="CQ21" i="194" s="1"/>
  <c r="CK21" i="194"/>
  <c r="CJ21" i="194"/>
  <c r="CJ20" i="194" s="1"/>
  <c r="BG21" i="194"/>
  <c r="BE21" i="194" s="1"/>
  <c r="J21" i="194"/>
  <c r="E21" i="194"/>
  <c r="GB20" i="194"/>
  <c r="GA20" i="194"/>
  <c r="FZ20" i="194"/>
  <c r="FY20" i="194"/>
  <c r="FU20" i="194"/>
  <c r="FT20" i="194"/>
  <c r="FS20" i="194"/>
  <c r="FR20" i="194"/>
  <c r="FQ20" i="194"/>
  <c r="FP20" i="194"/>
  <c r="FO20" i="194"/>
  <c r="FN20" i="194"/>
  <c r="FM20" i="194"/>
  <c r="FL20" i="194"/>
  <c r="FK20" i="194"/>
  <c r="FJ20" i="194"/>
  <c r="FI20" i="194"/>
  <c r="FH20" i="194"/>
  <c r="FG20" i="194"/>
  <c r="FF20" i="194"/>
  <c r="FE20" i="194"/>
  <c r="FD20" i="194"/>
  <c r="FC20" i="194"/>
  <c r="FB20" i="194"/>
  <c r="FA20" i="194"/>
  <c r="EX20" i="194"/>
  <c r="EW20" i="194"/>
  <c r="EV20" i="194"/>
  <c r="EU20" i="194"/>
  <c r="EQ20" i="194"/>
  <c r="EP20" i="194"/>
  <c r="EO20" i="194"/>
  <c r="EN20" i="194"/>
  <c r="EM20" i="194"/>
  <c r="EL20" i="194"/>
  <c r="EK20" i="194"/>
  <c r="EJ20" i="194"/>
  <c r="EI20" i="194"/>
  <c r="EH20" i="194"/>
  <c r="EG20" i="194"/>
  <c r="EF20" i="194"/>
  <c r="EE20" i="194"/>
  <c r="ED20" i="194"/>
  <c r="EC20" i="194"/>
  <c r="EB20" i="194"/>
  <c r="EA20" i="194"/>
  <c r="DZ20" i="194"/>
  <c r="DY20" i="194"/>
  <c r="DX20" i="194"/>
  <c r="DW20" i="194"/>
  <c r="DV20" i="194"/>
  <c r="DU20" i="194"/>
  <c r="DT20" i="194"/>
  <c r="DS20" i="194"/>
  <c r="DR20" i="194"/>
  <c r="DQ20" i="194"/>
  <c r="DP20" i="194"/>
  <c r="DO20" i="194"/>
  <c r="DN20" i="194"/>
  <c r="DM20" i="194"/>
  <c r="DL20" i="194"/>
  <c r="DK20" i="194"/>
  <c r="DJ20" i="194"/>
  <c r="DI20" i="194"/>
  <c r="DH20" i="194"/>
  <c r="DG20" i="194"/>
  <c r="DF20" i="194"/>
  <c r="DE20" i="194"/>
  <c r="DD20" i="194"/>
  <c r="DC20" i="194"/>
  <c r="DB20" i="194"/>
  <c r="DA20" i="194"/>
  <c r="CZ20" i="194"/>
  <c r="CY20" i="194"/>
  <c r="CX20" i="194"/>
  <c r="CV20" i="194"/>
  <c r="CU20" i="194"/>
  <c r="CT20" i="194"/>
  <c r="CS20" i="194"/>
  <c r="CN20" i="194"/>
  <c r="CM20" i="194"/>
  <c r="CL20" i="194"/>
  <c r="CH20" i="194"/>
  <c r="CG20" i="194"/>
  <c r="CF20" i="194"/>
  <c r="CE20" i="194"/>
  <c r="CD20" i="194"/>
  <c r="CC20" i="194"/>
  <c r="CB20" i="194"/>
  <c r="CA20" i="194"/>
  <c r="BZ20" i="194"/>
  <c r="BY20" i="194"/>
  <c r="BX20" i="194"/>
  <c r="BW20" i="194"/>
  <c r="BV20" i="194"/>
  <c r="BU20" i="194"/>
  <c r="BT20" i="194"/>
  <c r="BS20" i="194"/>
  <c r="BR20" i="194"/>
  <c r="BQ20" i="194"/>
  <c r="BP20" i="194"/>
  <c r="BO20" i="194"/>
  <c r="BN20" i="194"/>
  <c r="BK20" i="194"/>
  <c r="BJ20" i="194"/>
  <c r="BI20" i="194"/>
  <c r="BH20" i="194"/>
  <c r="BD20" i="194"/>
  <c r="BC20" i="194"/>
  <c r="BB20" i="194"/>
  <c r="BA20" i="194"/>
  <c r="AZ20" i="194"/>
  <c r="AY20" i="194"/>
  <c r="AX20" i="194"/>
  <c r="AW20" i="194"/>
  <c r="AV20" i="194"/>
  <c r="AU20" i="194"/>
  <c r="AT20" i="194"/>
  <c r="AS20" i="194"/>
  <c r="AR20" i="194"/>
  <c r="AQ20" i="194"/>
  <c r="AP20" i="194"/>
  <c r="AO20" i="194"/>
  <c r="AN20" i="194"/>
  <c r="AM20" i="194"/>
  <c r="AL20" i="194"/>
  <c r="AK20" i="194"/>
  <c r="AJ20" i="194"/>
  <c r="AI20" i="194"/>
  <c r="AH20" i="194"/>
  <c r="AG20" i="194"/>
  <c r="AF20" i="194"/>
  <c r="AE20" i="194"/>
  <c r="AD20" i="194"/>
  <c r="AC20" i="194"/>
  <c r="AB20" i="194"/>
  <c r="AA20" i="194"/>
  <c r="Z20" i="194"/>
  <c r="Y20" i="194"/>
  <c r="X20" i="194"/>
  <c r="W20" i="194"/>
  <c r="V20" i="194"/>
  <c r="U20" i="194"/>
  <c r="T20" i="194"/>
  <c r="S20" i="194"/>
  <c r="R20" i="194"/>
  <c r="Q20" i="194"/>
  <c r="P20" i="194"/>
  <c r="O20" i="194"/>
  <c r="N20" i="194"/>
  <c r="M20" i="194"/>
  <c r="L20" i="194"/>
  <c r="K20" i="194"/>
  <c r="I20" i="194"/>
  <c r="H20" i="194"/>
  <c r="G20" i="194"/>
  <c r="F20" i="194"/>
  <c r="FX19" i="194"/>
  <c r="FV19" i="194" s="1"/>
  <c r="FW19" i="194"/>
  <c r="ET19" i="194"/>
  <c r="CK19" i="194"/>
  <c r="CJ19" i="194"/>
  <c r="BG19" i="194"/>
  <c r="BE19" i="194" s="1"/>
  <c r="J19" i="194"/>
  <c r="E19" i="194"/>
  <c r="D19" i="194" s="1"/>
  <c r="FX18" i="194"/>
  <c r="FW18" i="194"/>
  <c r="ET18" i="194"/>
  <c r="CW18" i="194"/>
  <c r="CR18" i="194"/>
  <c r="CK18" i="194"/>
  <c r="CJ18" i="194"/>
  <c r="BG18" i="194"/>
  <c r="J18" i="194"/>
  <c r="E18" i="194"/>
  <c r="GB17" i="194"/>
  <c r="GA17" i="194"/>
  <c r="FZ17" i="194"/>
  <c r="FY17" i="194"/>
  <c r="FU17" i="194"/>
  <c r="FT17" i="194"/>
  <c r="FS17" i="194"/>
  <c r="FR17" i="194"/>
  <c r="FQ17" i="194"/>
  <c r="FP17" i="194"/>
  <c r="FO17" i="194"/>
  <c r="FN17" i="194"/>
  <c r="FM17" i="194"/>
  <c r="FL17" i="194"/>
  <c r="FK17" i="194"/>
  <c r="FJ17" i="194"/>
  <c r="FI17" i="194"/>
  <c r="FH17" i="194"/>
  <c r="FG17" i="194"/>
  <c r="FF17" i="194"/>
  <c r="FE17" i="194"/>
  <c r="FD17" i="194"/>
  <c r="FC17" i="194"/>
  <c r="FB17" i="194"/>
  <c r="FA17" i="194"/>
  <c r="EX17" i="194"/>
  <c r="EW17" i="194"/>
  <c r="EV17" i="194"/>
  <c r="EU17" i="194"/>
  <c r="EQ17" i="194"/>
  <c r="EP17" i="194"/>
  <c r="EO17" i="194"/>
  <c r="EN17" i="194"/>
  <c r="EM17" i="194"/>
  <c r="EL17" i="194"/>
  <c r="EK17" i="194"/>
  <c r="EJ17" i="194"/>
  <c r="EI17" i="194"/>
  <c r="EH17" i="194"/>
  <c r="EG17" i="194"/>
  <c r="EF17" i="194"/>
  <c r="EE17" i="194"/>
  <c r="ED17" i="194"/>
  <c r="EC17" i="194"/>
  <c r="EB17" i="194"/>
  <c r="EA17" i="194"/>
  <c r="DZ17" i="194"/>
  <c r="DY17" i="194"/>
  <c r="DX17" i="194"/>
  <c r="DW17" i="194"/>
  <c r="DV17" i="194"/>
  <c r="DU17" i="194"/>
  <c r="DT17" i="194"/>
  <c r="DS17" i="194"/>
  <c r="DR17" i="194"/>
  <c r="DQ17" i="194"/>
  <c r="DP17" i="194"/>
  <c r="DO17" i="194"/>
  <c r="DN17" i="194"/>
  <c r="DM17" i="194"/>
  <c r="DL17" i="194"/>
  <c r="DK17" i="194"/>
  <c r="DJ17" i="194"/>
  <c r="DI17" i="194"/>
  <c r="DH17" i="194"/>
  <c r="DG17" i="194"/>
  <c r="DF17" i="194"/>
  <c r="DE17" i="194"/>
  <c r="DD17" i="194"/>
  <c r="DC17" i="194"/>
  <c r="DB17" i="194"/>
  <c r="DA17" i="194"/>
  <c r="CZ17" i="194"/>
  <c r="CY17" i="194"/>
  <c r="CX17" i="194"/>
  <c r="CV17" i="194"/>
  <c r="CU17" i="194"/>
  <c r="CT17" i="194"/>
  <c r="CS17" i="194"/>
  <c r="CN17" i="194"/>
  <c r="CM17" i="194"/>
  <c r="CL17" i="194"/>
  <c r="CH17" i="194"/>
  <c r="CG17" i="194"/>
  <c r="CF17" i="194"/>
  <c r="CE17" i="194"/>
  <c r="CD17" i="194"/>
  <c r="CC17" i="194"/>
  <c r="CB17" i="194"/>
  <c r="CA17" i="194"/>
  <c r="BZ17" i="194"/>
  <c r="BY17" i="194"/>
  <c r="BX17" i="194"/>
  <c r="BW17" i="194"/>
  <c r="BV17" i="194"/>
  <c r="BU17" i="194"/>
  <c r="BT17" i="194"/>
  <c r="BS17" i="194"/>
  <c r="BR17" i="194"/>
  <c r="BQ17" i="194"/>
  <c r="BP17" i="194"/>
  <c r="BO17" i="194"/>
  <c r="BN17" i="194"/>
  <c r="BK17" i="194"/>
  <c r="BJ17" i="194"/>
  <c r="BI17" i="194"/>
  <c r="BH17" i="194"/>
  <c r="BH11" i="194" s="1"/>
  <c r="BD17" i="194"/>
  <c r="BC17" i="194"/>
  <c r="BB17" i="194"/>
  <c r="BA17" i="194"/>
  <c r="AZ17" i="194"/>
  <c r="AY17" i="194"/>
  <c r="AX17" i="194"/>
  <c r="AW17" i="194"/>
  <c r="AV17" i="194"/>
  <c r="AU17" i="194"/>
  <c r="AT17" i="194"/>
  <c r="AS17" i="194"/>
  <c r="AS11" i="194" s="1"/>
  <c r="AR17" i="194"/>
  <c r="AQ17" i="194"/>
  <c r="AP17" i="194"/>
  <c r="AO17" i="194"/>
  <c r="AN17" i="194"/>
  <c r="AM17" i="194"/>
  <c r="AL17" i="194"/>
  <c r="AK17" i="194"/>
  <c r="AJ17" i="194"/>
  <c r="AI17" i="194"/>
  <c r="AH17" i="194"/>
  <c r="AG17" i="194"/>
  <c r="AG11" i="194" s="1"/>
  <c r="AF17" i="194"/>
  <c r="AE17" i="194"/>
  <c r="AD17" i="194"/>
  <c r="AC17" i="194"/>
  <c r="AB17" i="194"/>
  <c r="AA17" i="194"/>
  <c r="Z17" i="194"/>
  <c r="Y17" i="194"/>
  <c r="X17" i="194"/>
  <c r="W17" i="194"/>
  <c r="V17" i="194"/>
  <c r="U17" i="194"/>
  <c r="U11" i="194" s="1"/>
  <c r="T17" i="194"/>
  <c r="S17" i="194"/>
  <c r="R17" i="194"/>
  <c r="Q17" i="194"/>
  <c r="P17" i="194"/>
  <c r="O17" i="194"/>
  <c r="N17" i="194"/>
  <c r="M17" i="194"/>
  <c r="L17" i="194"/>
  <c r="K17" i="194"/>
  <c r="I17" i="194"/>
  <c r="H17" i="194"/>
  <c r="H11" i="194" s="1"/>
  <c r="G17" i="194"/>
  <c r="F17" i="194"/>
  <c r="FX16" i="194"/>
  <c r="FX14" i="194" s="1"/>
  <c r="FW16" i="194"/>
  <c r="ET16" i="194"/>
  <c r="CW16" i="194"/>
  <c r="CR16" i="194"/>
  <c r="CK16" i="194"/>
  <c r="CJ16" i="194"/>
  <c r="BG16" i="194"/>
  <c r="J16" i="194"/>
  <c r="E16" i="194"/>
  <c r="E14" i="194" s="1"/>
  <c r="FX15" i="194"/>
  <c r="FW15" i="194"/>
  <c r="ET15" i="194"/>
  <c r="CW15" i="194"/>
  <c r="CR15" i="194"/>
  <c r="CK15" i="194"/>
  <c r="CJ15" i="194"/>
  <c r="BG15" i="194"/>
  <c r="J15" i="194"/>
  <c r="E15" i="194"/>
  <c r="GB14" i="194"/>
  <c r="GA14" i="194"/>
  <c r="FZ14" i="194"/>
  <c r="FY14" i="194"/>
  <c r="FU14" i="194"/>
  <c r="FT14" i="194"/>
  <c r="FS14" i="194"/>
  <c r="FR14" i="194"/>
  <c r="FQ14" i="194"/>
  <c r="FP14" i="194"/>
  <c r="FO14" i="194"/>
  <c r="FN14" i="194"/>
  <c r="FM14" i="194"/>
  <c r="FL14" i="194"/>
  <c r="FK14" i="194"/>
  <c r="FJ14" i="194"/>
  <c r="FI14" i="194"/>
  <c r="FH14" i="194"/>
  <c r="FG14" i="194"/>
  <c r="FF14" i="194"/>
  <c r="FE14" i="194"/>
  <c r="FD14" i="194"/>
  <c r="FC14" i="194"/>
  <c r="FB14" i="194"/>
  <c r="FA14" i="194"/>
  <c r="EX14" i="194"/>
  <c r="EW14" i="194"/>
  <c r="EV14" i="194"/>
  <c r="EU14" i="194"/>
  <c r="EQ14" i="194"/>
  <c r="EP14" i="194"/>
  <c r="EO14" i="194"/>
  <c r="EN14" i="194"/>
  <c r="EM14" i="194"/>
  <c r="EL14" i="194"/>
  <c r="EK14" i="194"/>
  <c r="EJ14" i="194"/>
  <c r="EI14" i="194"/>
  <c r="EH14" i="194"/>
  <c r="EG14" i="194"/>
  <c r="EF14" i="194"/>
  <c r="EE14" i="194"/>
  <c r="ED14" i="194"/>
  <c r="EC14" i="194"/>
  <c r="EB14" i="194"/>
  <c r="EA14" i="194"/>
  <c r="DZ14" i="194"/>
  <c r="DY14" i="194"/>
  <c r="DX14" i="194"/>
  <c r="DW14" i="194"/>
  <c r="DV14" i="194"/>
  <c r="DU14" i="194"/>
  <c r="DT14" i="194"/>
  <c r="DS14" i="194"/>
  <c r="DR14" i="194"/>
  <c r="DQ14" i="194"/>
  <c r="DP14" i="194"/>
  <c r="DO14" i="194"/>
  <c r="DN14" i="194"/>
  <c r="DM14" i="194"/>
  <c r="DL14" i="194"/>
  <c r="DK14" i="194"/>
  <c r="DJ14" i="194"/>
  <c r="DI14" i="194"/>
  <c r="DH14" i="194"/>
  <c r="DG14" i="194"/>
  <c r="DF14" i="194"/>
  <c r="DE14" i="194"/>
  <c r="DD14" i="194"/>
  <c r="DC14" i="194"/>
  <c r="DB14" i="194"/>
  <c r="DA14" i="194"/>
  <c r="CZ14" i="194"/>
  <c r="CY14" i="194"/>
  <c r="CX14" i="194"/>
  <c r="CV14" i="194"/>
  <c r="CU14" i="194"/>
  <c r="CT14" i="194"/>
  <c r="CS14" i="194"/>
  <c r="CN14" i="194"/>
  <c r="CM14" i="194"/>
  <c r="CL14" i="194"/>
  <c r="CH14" i="194"/>
  <c r="CG14" i="194"/>
  <c r="CF14" i="194"/>
  <c r="CE14" i="194"/>
  <c r="CD14" i="194"/>
  <c r="CC14" i="194"/>
  <c r="CB14" i="194"/>
  <c r="CA14" i="194"/>
  <c r="BZ14" i="194"/>
  <c r="BY14" i="194"/>
  <c r="BX14" i="194"/>
  <c r="BW14" i="194"/>
  <c r="BV14" i="194"/>
  <c r="BU14" i="194"/>
  <c r="BT14" i="194"/>
  <c r="BS14" i="194"/>
  <c r="BR14" i="194"/>
  <c r="BQ14" i="194"/>
  <c r="BP14" i="194"/>
  <c r="BO14" i="194"/>
  <c r="BN14" i="194"/>
  <c r="BK14" i="194"/>
  <c r="BJ14" i="194"/>
  <c r="BI14" i="194"/>
  <c r="BH14" i="194"/>
  <c r="BD14" i="194"/>
  <c r="BC14" i="194"/>
  <c r="BB14" i="194"/>
  <c r="BA14" i="194"/>
  <c r="AZ14" i="194"/>
  <c r="AY14" i="194"/>
  <c r="AX14" i="194"/>
  <c r="AW14" i="194"/>
  <c r="AV14" i="194"/>
  <c r="AU14" i="194"/>
  <c r="AT14" i="194"/>
  <c r="AS14" i="194"/>
  <c r="AR14" i="194"/>
  <c r="AQ14" i="194"/>
  <c r="AP14" i="194"/>
  <c r="AO14" i="194"/>
  <c r="AN14" i="194"/>
  <c r="AM14" i="194"/>
  <c r="AL14" i="194"/>
  <c r="AK14" i="194"/>
  <c r="AJ14" i="194"/>
  <c r="AI14" i="194"/>
  <c r="AH14" i="194"/>
  <c r="AG14" i="194"/>
  <c r="AF14" i="194"/>
  <c r="AE14" i="194"/>
  <c r="AD14" i="194"/>
  <c r="AC14" i="194"/>
  <c r="AB14" i="194"/>
  <c r="AA14" i="194"/>
  <c r="Z14" i="194"/>
  <c r="Y14" i="194"/>
  <c r="X14" i="194"/>
  <c r="W14" i="194"/>
  <c r="V14" i="194"/>
  <c r="U14" i="194"/>
  <c r="T14" i="194"/>
  <c r="S14" i="194"/>
  <c r="R14" i="194"/>
  <c r="Q14" i="194"/>
  <c r="P14" i="194"/>
  <c r="O14" i="194"/>
  <c r="N14" i="194"/>
  <c r="M14" i="194"/>
  <c r="L14" i="194"/>
  <c r="K14" i="194"/>
  <c r="I14" i="194"/>
  <c r="H14" i="194"/>
  <c r="G14" i="194"/>
  <c r="F14" i="194"/>
  <c r="GA13" i="194"/>
  <c r="FY13" i="194"/>
  <c r="FS13" i="194"/>
  <c r="FR13" i="194"/>
  <c r="FQ13" i="194"/>
  <c r="FQ105" i="194" s="1"/>
  <c r="FP13" i="194"/>
  <c r="FP105" i="194" s="1"/>
  <c r="FO13" i="194"/>
  <c r="FO105" i="194" s="1"/>
  <c r="FN13" i="194"/>
  <c r="FN105" i="194" s="1"/>
  <c r="FM13" i="194"/>
  <c r="FM105" i="194" s="1"/>
  <c r="FL13" i="194"/>
  <c r="FL105" i="194" s="1"/>
  <c r="FK13" i="194"/>
  <c r="FK105" i="194" s="1"/>
  <c r="FJ13" i="194"/>
  <c r="FJ103" i="194" s="1"/>
  <c r="FJ101" i="194" s="1"/>
  <c r="FI13" i="194"/>
  <c r="FI105" i="194" s="1"/>
  <c r="FH13" i="194"/>
  <c r="FG13" i="194"/>
  <c r="FG105" i="194" s="1"/>
  <c r="FF13" i="194"/>
  <c r="FF105" i="194" s="1"/>
  <c r="FE13" i="194"/>
  <c r="FE105" i="194" s="1"/>
  <c r="FD13" i="194"/>
  <c r="FD105" i="194" s="1"/>
  <c r="FC13" i="194"/>
  <c r="FC105" i="194" s="1"/>
  <c r="FB13" i="194"/>
  <c r="FB105" i="194" s="1"/>
  <c r="FA13" i="194"/>
  <c r="FA103" i="194" s="1"/>
  <c r="FA101" i="194" s="1"/>
  <c r="EX13" i="194"/>
  <c r="EX105" i="194" s="1"/>
  <c r="EW13" i="194"/>
  <c r="EV13" i="194"/>
  <c r="EU13" i="194"/>
  <c r="EQ13" i="194"/>
  <c r="EQ107" i="194" s="1"/>
  <c r="EP13" i="194"/>
  <c r="EP107" i="194" s="1"/>
  <c r="EO13" i="194"/>
  <c r="EM13" i="194"/>
  <c r="EM107" i="194"/>
  <c r="EL13" i="194"/>
  <c r="EL105" i="194"/>
  <c r="EK13" i="194"/>
  <c r="EK105" i="194" s="1"/>
  <c r="EJ13" i="194"/>
  <c r="EH13" i="194"/>
  <c r="EG13" i="194"/>
  <c r="EG105" i="194" s="1"/>
  <c r="EF13" i="194"/>
  <c r="EF105" i="194" s="1"/>
  <c r="EE13" i="194"/>
  <c r="EE105" i="194" s="1"/>
  <c r="ED13" i="194"/>
  <c r="ED105" i="194" s="1"/>
  <c r="EC13" i="194"/>
  <c r="EC107" i="194" s="1"/>
  <c r="EA13" i="194"/>
  <c r="EA105" i="194" s="1"/>
  <c r="DZ13" i="194"/>
  <c r="DZ103" i="194" s="1"/>
  <c r="DY13" i="194"/>
  <c r="DY105" i="194" s="1"/>
  <c r="DX13" i="194"/>
  <c r="DW13" i="194"/>
  <c r="DT13" i="194"/>
  <c r="DT105" i="194" s="1"/>
  <c r="DO13" i="194"/>
  <c r="DO107" i="194" s="1"/>
  <c r="DN13" i="194"/>
  <c r="DM13" i="194"/>
  <c r="DM105" i="194"/>
  <c r="DL13" i="194"/>
  <c r="DL105" i="194"/>
  <c r="DK13" i="194"/>
  <c r="DK105" i="194" s="1"/>
  <c r="DJ13" i="194"/>
  <c r="DJ105" i="194" s="1"/>
  <c r="DI13" i="194"/>
  <c r="DH13" i="194"/>
  <c r="DH105" i="194" s="1"/>
  <c r="DG13" i="194"/>
  <c r="DG105" i="194" s="1"/>
  <c r="DF13" i="194"/>
  <c r="DF105" i="194" s="1"/>
  <c r="DE13" i="194"/>
  <c r="DE105" i="194" s="1"/>
  <c r="DD13" i="194"/>
  <c r="DD105" i="194" s="1"/>
  <c r="DC13" i="194"/>
  <c r="DC105" i="194" s="1"/>
  <c r="DB13" i="194"/>
  <c r="DA13" i="194"/>
  <c r="DA105" i="194" s="1"/>
  <c r="CY13" i="194"/>
  <c r="CY105" i="194" s="1"/>
  <c r="CX13" i="194"/>
  <c r="CX105" i="194" s="1"/>
  <c r="CV13" i="194"/>
  <c r="CU13" i="194"/>
  <c r="CT13" i="194"/>
  <c r="CN13" i="194"/>
  <c r="CL13" i="194"/>
  <c r="CG13" i="194"/>
  <c r="CF13" i="194"/>
  <c r="CE13" i="194"/>
  <c r="CC13" i="194"/>
  <c r="FP103" i="194" s="1"/>
  <c r="CB13" i="194"/>
  <c r="BZ13" i="194"/>
  <c r="BY13" i="194"/>
  <c r="FL103" i="194" s="1"/>
  <c r="BX13" i="194"/>
  <c r="BW13" i="194"/>
  <c r="BV13" i="194"/>
  <c r="BT13" i="194"/>
  <c r="BS13" i="194"/>
  <c r="BQ13" i="194"/>
  <c r="FD103" i="194"/>
  <c r="BP13" i="194"/>
  <c r="BO13" i="194"/>
  <c r="BN13" i="194"/>
  <c r="BK13" i="194"/>
  <c r="BJ13" i="194"/>
  <c r="BI13" i="194"/>
  <c r="BH13" i="194"/>
  <c r="EU103" i="194"/>
  <c r="BD13" i="194"/>
  <c r="EQ103" i="194" s="1"/>
  <c r="BC13" i="194"/>
  <c r="BB13" i="194"/>
  <c r="AZ13" i="194"/>
  <c r="AY13" i="194"/>
  <c r="EL103" i="194" s="1"/>
  <c r="AW13" i="194"/>
  <c r="AT13" i="194"/>
  <c r="AS13" i="194"/>
  <c r="EF103" i="194" s="1"/>
  <c r="AQ13" i="194"/>
  <c r="ED103" i="194" s="1"/>
  <c r="AP13" i="194"/>
  <c r="AP105" i="194" s="1"/>
  <c r="AO13" i="194"/>
  <c r="AO105" i="194" s="1"/>
  <c r="AN13" i="194"/>
  <c r="AM13" i="194"/>
  <c r="AL13" i="194"/>
  <c r="AK13" i="194"/>
  <c r="AJ13" i="194"/>
  <c r="AG13" i="194"/>
  <c r="DT103" i="194" s="1"/>
  <c r="AF13" i="194"/>
  <c r="AE13" i="194"/>
  <c r="AB13" i="194"/>
  <c r="AA13" i="194"/>
  <c r="Z13" i="194"/>
  <c r="DM103" i="194" s="1"/>
  <c r="Y13" i="194"/>
  <c r="X13" i="194"/>
  <c r="V13" i="194"/>
  <c r="U13" i="194"/>
  <c r="T13" i="194"/>
  <c r="S13" i="194"/>
  <c r="DF103" i="194" s="1"/>
  <c r="R13" i="194"/>
  <c r="Q13" i="194"/>
  <c r="P13" i="194"/>
  <c r="DC103" i="194" s="1"/>
  <c r="O13" i="194"/>
  <c r="N13" i="194"/>
  <c r="L13" i="194"/>
  <c r="CY103" i="194" s="1"/>
  <c r="K13" i="194"/>
  <c r="I13" i="194"/>
  <c r="H13" i="194"/>
  <c r="G13" i="194"/>
  <c r="GB12" i="194"/>
  <c r="GA12" i="194"/>
  <c r="FZ12" i="194"/>
  <c r="FY12" i="194"/>
  <c r="FU12" i="194"/>
  <c r="FT12" i="194"/>
  <c r="FS12" i="194"/>
  <c r="FR12" i="194"/>
  <c r="FR105" i="194" s="1"/>
  <c r="FQ12" i="194"/>
  <c r="FP12" i="194"/>
  <c r="FO12" i="194"/>
  <c r="FN12" i="194"/>
  <c r="FM12" i="194"/>
  <c r="FL12" i="194"/>
  <c r="FK12" i="194"/>
  <c r="FJ12" i="194"/>
  <c r="FJ105" i="194" s="1"/>
  <c r="FI12" i="194"/>
  <c r="FH12" i="194"/>
  <c r="FG12" i="194"/>
  <c r="FF12" i="194"/>
  <c r="FE12" i="194"/>
  <c r="FD12" i="194"/>
  <c r="FC12" i="194"/>
  <c r="FB12" i="194"/>
  <c r="FA12" i="194"/>
  <c r="FA105" i="194"/>
  <c r="EY107" i="194" s="1"/>
  <c r="EX12" i="194"/>
  <c r="EW12" i="194"/>
  <c r="EW105" i="194" s="1"/>
  <c r="EV12" i="194"/>
  <c r="EU12" i="194"/>
  <c r="EU105" i="194" s="1"/>
  <c r="EQ12" i="194"/>
  <c r="EP12" i="194"/>
  <c r="EO12" i="194"/>
  <c r="EN12" i="194"/>
  <c r="EM12" i="194"/>
  <c r="EL12" i="194"/>
  <c r="EK12" i="194"/>
  <c r="EJ12" i="194"/>
  <c r="EI12" i="194"/>
  <c r="EH12" i="194"/>
  <c r="EG12" i="194"/>
  <c r="EF12" i="194"/>
  <c r="EE12" i="194"/>
  <c r="ED12" i="194"/>
  <c r="EC12" i="194"/>
  <c r="EB12" i="194"/>
  <c r="EB102" i="194" s="1"/>
  <c r="EB101" i="194" s="1"/>
  <c r="EA12" i="194"/>
  <c r="DZ12" i="194"/>
  <c r="DY12" i="194"/>
  <c r="DY102" i="194" s="1"/>
  <c r="DX12" i="194"/>
  <c r="DX102" i="194" s="1"/>
  <c r="DW12" i="194"/>
  <c r="DV12" i="194"/>
  <c r="DU12" i="194"/>
  <c r="DT12" i="194"/>
  <c r="DS12" i="194"/>
  <c r="DR12" i="194"/>
  <c r="DQ12" i="194"/>
  <c r="DP12" i="194"/>
  <c r="DO12" i="194"/>
  <c r="DN12" i="194"/>
  <c r="DM12" i="194"/>
  <c r="DM102" i="194" s="1"/>
  <c r="DL12" i="194"/>
  <c r="DK12" i="194"/>
  <c r="DJ12" i="194"/>
  <c r="DI12" i="194"/>
  <c r="DH12" i="194"/>
  <c r="DG12" i="194"/>
  <c r="DF12" i="194"/>
  <c r="DE12" i="194"/>
  <c r="DD12" i="194"/>
  <c r="DC12" i="194"/>
  <c r="DB12" i="194"/>
  <c r="DA12" i="194"/>
  <c r="CZ12" i="194"/>
  <c r="CY12" i="194"/>
  <c r="CX12" i="194"/>
  <c r="CV12" i="194"/>
  <c r="CV105" i="194" s="1"/>
  <c r="CU12" i="194"/>
  <c r="CT12" i="194"/>
  <c r="CT105" i="194" s="1"/>
  <c r="CS105" i="194"/>
  <c r="CN12" i="194"/>
  <c r="CM12" i="194"/>
  <c r="CL12" i="194"/>
  <c r="CH12" i="194"/>
  <c r="FU102" i="194" s="1"/>
  <c r="CG12" i="194"/>
  <c r="FT102" i="194" s="1"/>
  <c r="CF12" i="194"/>
  <c r="CE12" i="194"/>
  <c r="CD12" i="194"/>
  <c r="FQ102" i="194"/>
  <c r="CC12" i="194"/>
  <c r="CB12" i="194"/>
  <c r="CA12" i="194"/>
  <c r="BZ12" i="194"/>
  <c r="FM102" i="194" s="1"/>
  <c r="BY12" i="194"/>
  <c r="FL102" i="194" s="1"/>
  <c r="BX12" i="194"/>
  <c r="FK102" i="194" s="1"/>
  <c r="BW12" i="194"/>
  <c r="BV12" i="194"/>
  <c r="BU12" i="194"/>
  <c r="BT12" i="194"/>
  <c r="BS12" i="194"/>
  <c r="FF102" i="194" s="1"/>
  <c r="BR12" i="194"/>
  <c r="BQ12" i="194"/>
  <c r="FD102" i="194" s="1"/>
  <c r="FD101" i="194" s="1"/>
  <c r="BP12" i="194"/>
  <c r="BO12" i="194"/>
  <c r="FB102" i="194" s="1"/>
  <c r="BN12" i="194"/>
  <c r="FA102" i="194"/>
  <c r="BK12" i="194"/>
  <c r="BJ12" i="194"/>
  <c r="BI12" i="194"/>
  <c r="BH12" i="194"/>
  <c r="EU102" i="194" s="1"/>
  <c r="EU101" i="194" s="1"/>
  <c r="BD12" i="194"/>
  <c r="EQ102" i="194"/>
  <c r="BC12" i="194"/>
  <c r="BB12" i="194"/>
  <c r="BA12" i="194"/>
  <c r="AZ12" i="194"/>
  <c r="AY12" i="194"/>
  <c r="AX12" i="194"/>
  <c r="EK102" i="194" s="1"/>
  <c r="AW12" i="194"/>
  <c r="EJ102" i="194" s="1"/>
  <c r="AV12" i="194"/>
  <c r="AU12" i="194"/>
  <c r="AT12" i="194"/>
  <c r="EG102" i="194" s="1"/>
  <c r="AS12" i="194"/>
  <c r="EF102" i="194" s="1"/>
  <c r="AR12" i="194"/>
  <c r="EE102" i="194" s="1"/>
  <c r="AQ12" i="194"/>
  <c r="ED102" i="194" s="1"/>
  <c r="ED101" i="194" s="1"/>
  <c r="AP12" i="194"/>
  <c r="AO12" i="194"/>
  <c r="AN12" i="194"/>
  <c r="EA102" i="194" s="1"/>
  <c r="AM12" i="194"/>
  <c r="AL12" i="194"/>
  <c r="AK12" i="194"/>
  <c r="AJ12" i="194"/>
  <c r="AI12" i="194"/>
  <c r="AH12" i="194"/>
  <c r="DU102" i="194" s="1"/>
  <c r="AG12" i="194"/>
  <c r="AF12" i="194"/>
  <c r="AE12" i="194"/>
  <c r="AD12" i="194"/>
  <c r="AC12" i="194"/>
  <c r="AB12" i="194"/>
  <c r="AA12" i="194"/>
  <c r="Z12" i="194"/>
  <c r="Y12" i="194"/>
  <c r="DL102" i="194"/>
  <c r="X12" i="194"/>
  <c r="W12" i="194"/>
  <c r="V12" i="194"/>
  <c r="U12" i="194"/>
  <c r="T12" i="194"/>
  <c r="DG102" i="194" s="1"/>
  <c r="S12" i="194"/>
  <c r="R12" i="194"/>
  <c r="Q12" i="194"/>
  <c r="P12" i="194"/>
  <c r="O12" i="194"/>
  <c r="N12" i="194"/>
  <c r="M12" i="194"/>
  <c r="CZ102" i="194"/>
  <c r="L12" i="194"/>
  <c r="K12" i="194"/>
  <c r="I12" i="194"/>
  <c r="H12" i="194"/>
  <c r="F12" i="194"/>
  <c r="CS102" i="194"/>
  <c r="A3" i="194"/>
  <c r="A3" i="178"/>
  <c r="D8" i="178"/>
  <c r="E8" i="178" s="1"/>
  <c r="F8" i="178" s="1"/>
  <c r="I8" i="178"/>
  <c r="J8" i="178" s="1"/>
  <c r="D9" i="178"/>
  <c r="E9" i="178"/>
  <c r="F9" i="178"/>
  <c r="H9" i="178"/>
  <c r="I9" i="178"/>
  <c r="J9" i="178"/>
  <c r="G12" i="178"/>
  <c r="L12" i="178"/>
  <c r="L16" i="178"/>
  <c r="K17" i="178"/>
  <c r="D10" i="183"/>
  <c r="E10" i="183" s="1"/>
  <c r="F10" i="183" s="1"/>
  <c r="G10" i="183" s="1"/>
  <c r="H10" i="183" s="1"/>
  <c r="I10" i="183" s="1"/>
  <c r="J10" i="183" s="1"/>
  <c r="K10" i="183" s="1"/>
  <c r="L10" i="183" s="1"/>
  <c r="M10" i="183" s="1"/>
  <c r="N10" i="183" s="1"/>
  <c r="O10" i="183" s="1"/>
  <c r="P10" i="183" s="1"/>
  <c r="Q10" i="183" s="1"/>
  <c r="R10" i="183" s="1"/>
  <c r="S10" i="183" s="1"/>
  <c r="T10" i="183" s="1"/>
  <c r="U10" i="183" s="1"/>
  <c r="V10" i="183" s="1"/>
  <c r="W10" i="183" s="1"/>
  <c r="X10" i="183" s="1"/>
  <c r="Y10" i="183" s="1"/>
  <c r="Z10" i="183" s="1"/>
  <c r="AA10" i="183" s="1"/>
  <c r="AB10" i="183" s="1"/>
  <c r="AC10" i="183" s="1"/>
  <c r="D16" i="183"/>
  <c r="E16" i="183"/>
  <c r="L16" i="183"/>
  <c r="N16" i="183"/>
  <c r="O16" i="183"/>
  <c r="R16" i="183"/>
  <c r="S16" i="183"/>
  <c r="U16" i="183"/>
  <c r="V16" i="183"/>
  <c r="J17" i="183"/>
  <c r="M17" i="183"/>
  <c r="Q17" i="183"/>
  <c r="T17" i="183"/>
  <c r="J25" i="183"/>
  <c r="M25" i="183"/>
  <c r="Q25" i="183"/>
  <c r="T25" i="183"/>
  <c r="J23" i="183"/>
  <c r="G23" i="183" s="1"/>
  <c r="M23" i="183"/>
  <c r="Q23" i="183"/>
  <c r="T23" i="183"/>
  <c r="J19" i="183"/>
  <c r="M19" i="183"/>
  <c r="Q19" i="183"/>
  <c r="T19" i="183"/>
  <c r="J21" i="183"/>
  <c r="M21" i="183"/>
  <c r="Q21" i="183"/>
  <c r="T21" i="183"/>
  <c r="J18" i="183"/>
  <c r="M18" i="183"/>
  <c r="Q18" i="183"/>
  <c r="T18" i="183"/>
  <c r="J20" i="183"/>
  <c r="M20" i="183"/>
  <c r="Q20" i="183"/>
  <c r="T20" i="183"/>
  <c r="J27" i="183"/>
  <c r="M27" i="183"/>
  <c r="Q27" i="183"/>
  <c r="T27" i="183"/>
  <c r="A3" i="177"/>
  <c r="A3" i="183" s="1"/>
  <c r="A3" i="188" s="1"/>
  <c r="A4" i="176"/>
  <c r="A3" i="187" s="1"/>
  <c r="A3" i="189" s="1"/>
  <c r="E10" i="176"/>
  <c r="A3" i="175"/>
  <c r="F9" i="175"/>
  <c r="G9" i="175" s="1"/>
  <c r="H9" i="175" s="1"/>
  <c r="I9" i="175" s="1"/>
  <c r="J9" i="175" s="1"/>
  <c r="K9" i="175" s="1"/>
  <c r="L9" i="175" s="1"/>
  <c r="M9" i="175" s="1"/>
  <c r="P9" i="175"/>
  <c r="Q9" i="175"/>
  <c r="R9" i="175" s="1"/>
  <c r="S9" i="175" s="1"/>
  <c r="T9" i="175" s="1"/>
  <c r="U9" i="175" s="1"/>
  <c r="V9" i="175" s="1"/>
  <c r="E11" i="175"/>
  <c r="F11" i="175"/>
  <c r="G11" i="175"/>
  <c r="H11" i="175"/>
  <c r="I11" i="175"/>
  <c r="J11" i="175"/>
  <c r="K11" i="175"/>
  <c r="L11" i="175"/>
  <c r="M11" i="175"/>
  <c r="O11" i="175"/>
  <c r="R11" i="175"/>
  <c r="S11" i="175"/>
  <c r="T11" i="175"/>
  <c r="V11" i="175"/>
  <c r="N12" i="175"/>
  <c r="D12" i="175" s="1"/>
  <c r="W12" i="175" s="1"/>
  <c r="N13" i="175"/>
  <c r="D13" i="175"/>
  <c r="W13" i="175" s="1"/>
  <c r="N14" i="175"/>
  <c r="D14" i="175" s="1"/>
  <c r="W14" i="175" s="1"/>
  <c r="N16" i="175"/>
  <c r="D16" i="175"/>
  <c r="W16" i="175" s="1"/>
  <c r="N17" i="175"/>
  <c r="D17" i="175" s="1"/>
  <c r="N19" i="175"/>
  <c r="D19" i="175" s="1"/>
  <c r="W19" i="175" s="1"/>
  <c r="N20" i="175"/>
  <c r="D20" i="175"/>
  <c r="W20" i="175" s="1"/>
  <c r="N25" i="175"/>
  <c r="D25" i="175" s="1"/>
  <c r="W25" i="175" s="1"/>
  <c r="N26" i="175"/>
  <c r="D26" i="175" s="1"/>
  <c r="W26" i="175" s="1"/>
  <c r="N27" i="175"/>
  <c r="D27" i="175" s="1"/>
  <c r="N28" i="175"/>
  <c r="D28" i="175" s="1"/>
  <c r="W28" i="175" s="1"/>
  <c r="N29" i="175"/>
  <c r="D29" i="175" s="1"/>
  <c r="W29" i="175" s="1"/>
  <c r="N34" i="175"/>
  <c r="D34" i="175" s="1"/>
  <c r="W34" i="175" s="1"/>
  <c r="N35" i="175"/>
  <c r="D35" i="175" s="1"/>
  <c r="W35" i="175" s="1"/>
  <c r="N36" i="175"/>
  <c r="C38" i="175"/>
  <c r="F38" i="175"/>
  <c r="G38" i="175"/>
  <c r="H38" i="175"/>
  <c r="I38" i="175"/>
  <c r="J38" i="175"/>
  <c r="K38" i="175"/>
  <c r="L38" i="175"/>
  <c r="M38" i="175"/>
  <c r="O38" i="175"/>
  <c r="P38" i="175"/>
  <c r="Q38" i="175"/>
  <c r="R38" i="175"/>
  <c r="S38" i="175"/>
  <c r="T38" i="175"/>
  <c r="U38" i="175"/>
  <c r="N38" i="175"/>
  <c r="C42" i="175"/>
  <c r="E42" i="175"/>
  <c r="F42" i="175"/>
  <c r="G42" i="175"/>
  <c r="H42" i="175"/>
  <c r="I42" i="175"/>
  <c r="J42" i="175"/>
  <c r="K42" i="175"/>
  <c r="L42" i="175"/>
  <c r="M42" i="175"/>
  <c r="M41" i="175" s="1"/>
  <c r="M37" i="175" s="1"/>
  <c r="O42" i="175"/>
  <c r="P42" i="175"/>
  <c r="Q42" i="175"/>
  <c r="R42" i="175"/>
  <c r="S42" i="175"/>
  <c r="T42" i="175"/>
  <c r="U42" i="175"/>
  <c r="N50" i="175"/>
  <c r="D50" i="175"/>
  <c r="H49" i="176" s="1"/>
  <c r="K49" i="176" s="1"/>
  <c r="C51" i="175"/>
  <c r="E51" i="175"/>
  <c r="E41" i="175"/>
  <c r="F51" i="175"/>
  <c r="G51" i="175"/>
  <c r="H51" i="175"/>
  <c r="I51" i="175"/>
  <c r="J51" i="175"/>
  <c r="K51" i="175"/>
  <c r="L51" i="175"/>
  <c r="M51" i="175"/>
  <c r="O51" i="175"/>
  <c r="P51" i="175"/>
  <c r="R51" i="175"/>
  <c r="S51" i="175"/>
  <c r="T51" i="175"/>
  <c r="U51" i="175"/>
  <c r="N53" i="175"/>
  <c r="D53" i="175" s="1"/>
  <c r="H52" i="176" s="1"/>
  <c r="K52" i="176" s="1"/>
  <c r="C54" i="175"/>
  <c r="E54" i="175"/>
  <c r="F54" i="175"/>
  <c r="F41" i="175" s="1"/>
  <c r="G54" i="175"/>
  <c r="H54" i="175"/>
  <c r="I54" i="175"/>
  <c r="J54" i="175"/>
  <c r="J41" i="175" s="1"/>
  <c r="K54" i="175"/>
  <c r="L54" i="175"/>
  <c r="M54" i="175"/>
  <c r="O54" i="175"/>
  <c r="O41" i="175" s="1"/>
  <c r="O37" i="175" s="1"/>
  <c r="P54" i="175"/>
  <c r="R54" i="175"/>
  <c r="S54" i="175"/>
  <c r="T54" i="175"/>
  <c r="U54" i="175"/>
  <c r="N55" i="175"/>
  <c r="D55" i="175" s="1"/>
  <c r="N57" i="175"/>
  <c r="D57" i="175" s="1"/>
  <c r="W57" i="175" s="1"/>
  <c r="Q54" i="175"/>
  <c r="N62" i="175"/>
  <c r="D62" i="175" s="1"/>
  <c r="C64" i="175"/>
  <c r="E64" i="175"/>
  <c r="E63" i="175" s="1"/>
  <c r="F64" i="175"/>
  <c r="G64" i="175"/>
  <c r="H64" i="175"/>
  <c r="I64" i="175"/>
  <c r="J64" i="175"/>
  <c r="K64" i="175"/>
  <c r="L64" i="175"/>
  <c r="M64" i="175"/>
  <c r="O64" i="175"/>
  <c r="O63" i="175" s="1"/>
  <c r="P64" i="175"/>
  <c r="Q64" i="175"/>
  <c r="R64" i="175"/>
  <c r="S64" i="175"/>
  <c r="T64" i="175"/>
  <c r="T63" i="175" s="1"/>
  <c r="U64" i="175"/>
  <c r="V64" i="175"/>
  <c r="C66" i="175"/>
  <c r="E66" i="175"/>
  <c r="F66" i="175"/>
  <c r="G66" i="175"/>
  <c r="H66" i="175"/>
  <c r="H63" i="175"/>
  <c r="I66" i="175"/>
  <c r="J66" i="175"/>
  <c r="K66" i="175"/>
  <c r="L66" i="175"/>
  <c r="M66" i="175"/>
  <c r="O66" i="175"/>
  <c r="P66" i="175"/>
  <c r="Q66" i="175"/>
  <c r="R66" i="175"/>
  <c r="S66" i="175"/>
  <c r="T66" i="175"/>
  <c r="U66" i="175"/>
  <c r="U63" i="175" s="1"/>
  <c r="V66" i="175"/>
  <c r="N67" i="175"/>
  <c r="D67" i="175" s="1"/>
  <c r="D66" i="175" s="1"/>
  <c r="A4" i="174"/>
  <c r="C13" i="174"/>
  <c r="E13" i="174"/>
  <c r="F13" i="174"/>
  <c r="G13" i="174"/>
  <c r="I13" i="174"/>
  <c r="J13" i="174"/>
  <c r="L13" i="174"/>
  <c r="M13" i="174"/>
  <c r="N13" i="174"/>
  <c r="C17" i="174"/>
  <c r="E17" i="174"/>
  <c r="F17" i="174"/>
  <c r="G17" i="174"/>
  <c r="I17" i="174"/>
  <c r="J17" i="174"/>
  <c r="K17" i="174"/>
  <c r="L17" i="174"/>
  <c r="M17" i="174"/>
  <c r="N17" i="174"/>
  <c r="H18" i="174"/>
  <c r="D18" i="174" s="1"/>
  <c r="D17" i="174" s="1"/>
  <c r="H19" i="174"/>
  <c r="D19" i="174"/>
  <c r="C20" i="174"/>
  <c r="E20" i="174"/>
  <c r="F20" i="174"/>
  <c r="G20" i="174"/>
  <c r="J20" i="174"/>
  <c r="K20" i="174"/>
  <c r="L20" i="174"/>
  <c r="M20" i="174"/>
  <c r="N20" i="174"/>
  <c r="H21" i="174"/>
  <c r="D21" i="174" s="1"/>
  <c r="H23" i="174"/>
  <c r="D23" i="174" s="1"/>
  <c r="C24" i="174"/>
  <c r="E24" i="174"/>
  <c r="F24" i="174"/>
  <c r="G24" i="174"/>
  <c r="I24" i="174"/>
  <c r="J24" i="174"/>
  <c r="K24" i="174"/>
  <c r="L24" i="174"/>
  <c r="M24" i="174"/>
  <c r="N24" i="174"/>
  <c r="H25" i="174"/>
  <c r="D25" i="174" s="1"/>
  <c r="H26" i="174"/>
  <c r="D26" i="174" s="1"/>
  <c r="C29" i="174"/>
  <c r="C28" i="174" s="1"/>
  <c r="E29" i="174"/>
  <c r="F29" i="174"/>
  <c r="G29" i="174"/>
  <c r="I29" i="174"/>
  <c r="J29" i="174"/>
  <c r="K29" i="174"/>
  <c r="L29" i="174"/>
  <c r="M29" i="174"/>
  <c r="N29" i="174"/>
  <c r="H30" i="174"/>
  <c r="H29" i="174" s="1"/>
  <c r="C31" i="174"/>
  <c r="E31" i="174"/>
  <c r="F31" i="174"/>
  <c r="F28" i="174" s="1"/>
  <c r="G31" i="174"/>
  <c r="I31" i="174"/>
  <c r="J31" i="174"/>
  <c r="K31" i="174"/>
  <c r="L31" i="174"/>
  <c r="L28" i="174" s="1"/>
  <c r="M31" i="174"/>
  <c r="N31" i="174"/>
  <c r="H32" i="174"/>
  <c r="D32" i="174" s="1"/>
  <c r="C35" i="174"/>
  <c r="E35" i="174"/>
  <c r="F35" i="174"/>
  <c r="G35" i="174"/>
  <c r="I35" i="174"/>
  <c r="J35" i="174"/>
  <c r="K35" i="174"/>
  <c r="K34" i="174" s="1"/>
  <c r="K27" i="174" s="1"/>
  <c r="K11" i="174" s="1"/>
  <c r="L35" i="174"/>
  <c r="M35" i="174"/>
  <c r="N35" i="174"/>
  <c r="D36" i="174"/>
  <c r="H36" i="174"/>
  <c r="H35" i="174" s="1"/>
  <c r="C37" i="174"/>
  <c r="E37" i="174"/>
  <c r="F37" i="174"/>
  <c r="G37" i="174"/>
  <c r="I37" i="174"/>
  <c r="J37" i="174"/>
  <c r="K37" i="174"/>
  <c r="L37" i="174"/>
  <c r="M37" i="174"/>
  <c r="N37" i="174"/>
  <c r="H38" i="174"/>
  <c r="D38" i="174" s="1"/>
  <c r="H39" i="174"/>
  <c r="D39" i="174"/>
  <c r="G34" i="174"/>
  <c r="H41" i="174"/>
  <c r="H40" i="174" s="1"/>
  <c r="D41" i="174"/>
  <c r="O41" i="174" s="1"/>
  <c r="C43" i="174"/>
  <c r="E44" i="174"/>
  <c r="E43" i="174"/>
  <c r="F44" i="174"/>
  <c r="F43" i="174"/>
  <c r="G44" i="174"/>
  <c r="G43" i="174" s="1"/>
  <c r="I44" i="174"/>
  <c r="I43" i="174"/>
  <c r="J44" i="174"/>
  <c r="J43" i="174"/>
  <c r="K44" i="174"/>
  <c r="K43" i="174" s="1"/>
  <c r="L44" i="174"/>
  <c r="L43" i="174" s="1"/>
  <c r="M44" i="174"/>
  <c r="M43" i="174" s="1"/>
  <c r="N44" i="174"/>
  <c r="N43" i="174" s="1"/>
  <c r="H45" i="174"/>
  <c r="D45" i="174" s="1"/>
  <c r="D44" i="174" s="1"/>
  <c r="D43" i="174" s="1"/>
  <c r="H46" i="174"/>
  <c r="D46" i="174" s="1"/>
  <c r="A3" i="172"/>
  <c r="E8" i="172"/>
  <c r="H8" i="172"/>
  <c r="E13" i="172"/>
  <c r="H12" i="172"/>
  <c r="H11" i="172" s="1"/>
  <c r="E25" i="172"/>
  <c r="K25" i="172" s="1"/>
  <c r="A3" i="170"/>
  <c r="D8" i="170"/>
  <c r="C12" i="170"/>
  <c r="C11" i="170" s="1"/>
  <c r="C25" i="170"/>
  <c r="C171" i="170"/>
  <c r="D171" i="170"/>
  <c r="E29" i="170"/>
  <c r="E37" i="170"/>
  <c r="E27" i="170"/>
  <c r="E38" i="170"/>
  <c r="E36" i="170"/>
  <c r="E34" i="170"/>
  <c r="E31" i="170"/>
  <c r="E30" i="170"/>
  <c r="E26" i="170"/>
  <c r="E28" i="170"/>
  <c r="E33" i="170"/>
  <c r="E32" i="170"/>
  <c r="E35" i="170"/>
  <c r="E13" i="180"/>
  <c r="D25" i="170"/>
  <c r="D20" i="170"/>
  <c r="D174" i="170"/>
  <c r="E174" i="170" s="1"/>
  <c r="D25" i="172"/>
  <c r="J25" i="172" s="1"/>
  <c r="D13" i="172"/>
  <c r="W19" i="183"/>
  <c r="BV44" i="194"/>
  <c r="EN44" i="194"/>
  <c r="BA44" i="194"/>
  <c r="CR59" i="194"/>
  <c r="CW62" i="194"/>
  <c r="Y28" i="175"/>
  <c r="Z28" i="175"/>
  <c r="FX23" i="194"/>
  <c r="DU13" i="194"/>
  <c r="DU105" i="194" s="1"/>
  <c r="DU41" i="194"/>
  <c r="CJ29" i="194"/>
  <c r="EN65" i="194"/>
  <c r="FX59" i="194"/>
  <c r="CD41" i="194"/>
  <c r="J67" i="194"/>
  <c r="J65" i="194" s="1"/>
  <c r="BU59" i="194"/>
  <c r="BU13" i="194"/>
  <c r="CD13" i="194"/>
  <c r="W68" i="194"/>
  <c r="W13" i="194"/>
  <c r="DJ103" i="194" s="1"/>
  <c r="E62" i="194"/>
  <c r="CK47" i="194"/>
  <c r="AX47" i="194"/>
  <c r="AX11" i="194" s="1"/>
  <c r="ET50" i="194"/>
  <c r="BR68" i="194"/>
  <c r="AX13" i="194"/>
  <c r="CA13" i="194"/>
  <c r="FN103" i="194" s="1"/>
  <c r="BE85" i="194"/>
  <c r="DV41" i="194"/>
  <c r="FV58" i="194"/>
  <c r="BE63" i="194"/>
  <c r="CQ64" i="194"/>
  <c r="CJ53" i="194"/>
  <c r="ET53" i="194"/>
  <c r="CQ63" i="194"/>
  <c r="CQ62" i="194" s="1"/>
  <c r="CJ23" i="194"/>
  <c r="D24" i="194"/>
  <c r="D55" i="194"/>
  <c r="EV103" i="194"/>
  <c r="FR103" i="194"/>
  <c r="CS103" i="194"/>
  <c r="DP56" i="194"/>
  <c r="AD13" i="194"/>
  <c r="AV13" i="194"/>
  <c r="DQ13" i="194"/>
  <c r="EN13" i="194"/>
  <c r="BE16" i="194"/>
  <c r="CI40" i="194"/>
  <c r="CI60" i="194"/>
  <c r="CK23" i="194"/>
  <c r="J25" i="194"/>
  <c r="J23" i="194" s="1"/>
  <c r="M14" i="176" s="1"/>
  <c r="N14" i="176" s="1"/>
  <c r="CQ30" i="194"/>
  <c r="ES98" i="194"/>
  <c r="ER60" i="194"/>
  <c r="E26" i="194"/>
  <c r="ER78" i="194"/>
  <c r="CI91" i="194"/>
  <c r="FV36" i="194"/>
  <c r="FV35" i="194" s="1"/>
  <c r="FV54" i="194"/>
  <c r="BE96" i="194"/>
  <c r="BE69" i="194"/>
  <c r="CQ69" i="194"/>
  <c r="ES59" i="194"/>
  <c r="CR74" i="194"/>
  <c r="E83" i="194"/>
  <c r="CK83" i="194"/>
  <c r="D72" i="194"/>
  <c r="BE43" i="194"/>
  <c r="BE41" i="194" s="1"/>
  <c r="FV85" i="194"/>
  <c r="E89" i="194"/>
  <c r="CI51" i="194"/>
  <c r="BE73" i="194"/>
  <c r="CW58" i="194"/>
  <c r="CQ58" i="194" s="1"/>
  <c r="FV66" i="194"/>
  <c r="CQ97" i="194"/>
  <c r="AI13" i="194"/>
  <c r="DV103" i="194" s="1"/>
  <c r="BE55" i="194"/>
  <c r="CR71" i="194"/>
  <c r="CW32" i="194"/>
  <c r="Y18" i="175" s="1"/>
  <c r="ET38" i="194"/>
  <c r="D40" i="194"/>
  <c r="FX74" i="194"/>
  <c r="CJ74" i="194"/>
  <c r="BG77" i="194"/>
  <c r="CW83" i="194"/>
  <c r="D91" i="194"/>
  <c r="FV25" i="194"/>
  <c r="E53" i="194"/>
  <c r="GE55" i="194"/>
  <c r="BF14" i="194"/>
  <c r="BF38" i="194"/>
  <c r="BE76" i="194"/>
  <c r="ET89" i="194"/>
  <c r="CI72" i="194"/>
  <c r="C72" i="194" s="1"/>
  <c r="BG56" i="194"/>
  <c r="CJ44" i="194"/>
  <c r="CR14" i="194"/>
  <c r="FV22" i="194"/>
  <c r="ER33" i="194"/>
  <c r="FW74" i="194"/>
  <c r="ES14" i="194"/>
  <c r="BF77" i="194"/>
  <c r="CS92" i="194"/>
  <c r="CQ52" i="194"/>
  <c r="CQ50" i="194" s="1"/>
  <c r="FV52" i="194"/>
  <c r="CQ70" i="194"/>
  <c r="D57" i="194"/>
  <c r="CI57" i="194"/>
  <c r="ER57" i="194"/>
  <c r="ER58" i="194"/>
  <c r="D63" i="194"/>
  <c r="CI63" i="194"/>
  <c r="FV76" i="194"/>
  <c r="CW37" i="194"/>
  <c r="CQ37" i="194" s="1"/>
  <c r="GE37" i="194"/>
  <c r="BF20" i="194"/>
  <c r="CJ65" i="194"/>
  <c r="D15" i="194"/>
  <c r="FV15" i="194"/>
  <c r="CJ14" i="194"/>
  <c r="ET14" i="194"/>
  <c r="BE34" i="194"/>
  <c r="BG92" i="194"/>
  <c r="BG95" i="194"/>
  <c r="FX95" i="194"/>
  <c r="ER24" i="194"/>
  <c r="ER31" i="194"/>
  <c r="D46" i="194"/>
  <c r="BF50" i="194"/>
  <c r="FV63" i="194"/>
  <c r="FW98" i="194"/>
  <c r="D54" i="194"/>
  <c r="D53" i="194" s="1"/>
  <c r="BG74" i="194"/>
  <c r="CW74" i="194"/>
  <c r="Y32" i="175" s="1"/>
  <c r="Z32" i="175" s="1"/>
  <c r="CK80" i="194"/>
  <c r="FV24" i="194"/>
  <c r="CR23" i="194"/>
  <c r="ER94" i="194"/>
  <c r="FW44" i="194"/>
  <c r="BE46" i="194"/>
  <c r="BE70" i="194"/>
  <c r="CQ73" i="194"/>
  <c r="CP73" i="194" s="1"/>
  <c r="FV73" i="194"/>
  <c r="J58" i="194"/>
  <c r="D58" i="194"/>
  <c r="CI15" i="194"/>
  <c r="CQ16" i="194"/>
  <c r="BE28" i="194"/>
  <c r="CQ75" i="194"/>
  <c r="CQ81" i="194"/>
  <c r="ER82" i="194"/>
  <c r="CP82" i="194" s="1"/>
  <c r="GE85" i="194"/>
  <c r="CI87" i="194"/>
  <c r="J89" i="194"/>
  <c r="BF74" i="194"/>
  <c r="BE81" i="194"/>
  <c r="BE80" i="194"/>
  <c r="ET86" i="194"/>
  <c r="CQ34" i="194"/>
  <c r="BE42" i="194"/>
  <c r="FV46" i="194"/>
  <c r="BE48" i="194"/>
  <c r="CQ49" i="194"/>
  <c r="CP49" i="194" s="1"/>
  <c r="FV49" i="194"/>
  <c r="CI52" i="194"/>
  <c r="C52" i="194" s="1"/>
  <c r="ER52" i="194"/>
  <c r="ER50" i="194" s="1"/>
  <c r="CQ61" i="194"/>
  <c r="BE57" i="194"/>
  <c r="C57" i="194" s="1"/>
  <c r="FV57" i="194"/>
  <c r="FV56" i="194" s="1"/>
  <c r="CI58" i="194"/>
  <c r="CI64" i="194"/>
  <c r="ER64" i="194"/>
  <c r="CP64" i="194" s="1"/>
  <c r="ER76" i="194"/>
  <c r="GF76" i="194" s="1"/>
  <c r="CQ76" i="194"/>
  <c r="CQ74" i="194" s="1"/>
  <c r="ER63" i="194"/>
  <c r="BE64" i="194"/>
  <c r="BE62" i="194" s="1"/>
  <c r="E56" i="194"/>
  <c r="CK56" i="194"/>
  <c r="BE58" i="194"/>
  <c r="CQ57" i="194"/>
  <c r="AC56" i="194"/>
  <c r="AC13" i="194"/>
  <c r="AC105" i="194" s="1"/>
  <c r="BF56" i="194"/>
  <c r="D41" i="176"/>
  <c r="K63" i="175"/>
  <c r="I28" i="176"/>
  <c r="W17" i="175"/>
  <c r="I26" i="176"/>
  <c r="N66" i="175"/>
  <c r="K34" i="176"/>
  <c r="BG59" i="194"/>
  <c r="I57" i="176"/>
  <c r="CJ71" i="194"/>
  <c r="BE72" i="194"/>
  <c r="BE71" i="194" s="1"/>
  <c r="ER72" i="194"/>
  <c r="D73" i="194"/>
  <c r="GE73" i="194"/>
  <c r="GE70" i="194"/>
  <c r="FW50" i="194"/>
  <c r="D51" i="194"/>
  <c r="D50" i="194" s="1"/>
  <c r="BE52" i="194"/>
  <c r="FQ103" i="194"/>
  <c r="FQ101" i="194" s="1"/>
  <c r="ER51" i="194"/>
  <c r="D52" i="194"/>
  <c r="GE52" i="194"/>
  <c r="ES47" i="194"/>
  <c r="CQ48" i="194"/>
  <c r="FV48" i="194"/>
  <c r="FV47" i="194" s="1"/>
  <c r="BE49" i="194"/>
  <c r="C49" i="194"/>
  <c r="D48" i="194"/>
  <c r="C48" i="194"/>
  <c r="GE49" i="194"/>
  <c r="AM105" i="194"/>
  <c r="FG103" i="194"/>
  <c r="FG101" i="194" s="1"/>
  <c r="BF44" i="194"/>
  <c r="FF103" i="194"/>
  <c r="FV45" i="194"/>
  <c r="FI103" i="194"/>
  <c r="BE45" i="194"/>
  <c r="GE46" i="194"/>
  <c r="EO102" i="194"/>
  <c r="DW102" i="194"/>
  <c r="EH102" i="194"/>
  <c r="EL102" i="194"/>
  <c r="FG102" i="194"/>
  <c r="BF80" i="194"/>
  <c r="BF62" i="194"/>
  <c r="FX47" i="194"/>
  <c r="CR95" i="194"/>
  <c r="ER16" i="194"/>
  <c r="BE75" i="194"/>
  <c r="CJ86" i="194"/>
  <c r="BA23" i="194"/>
  <c r="FM103" i="194"/>
  <c r="FM101" i="194" s="1"/>
  <c r="ET56" i="194"/>
  <c r="F92" i="194"/>
  <c r="BE37" i="194"/>
  <c r="BF68" i="194"/>
  <c r="CW89" i="194"/>
  <c r="GE89" i="194" s="1"/>
  <c r="FV42" i="194"/>
  <c r="FW23" i="194"/>
  <c r="J14" i="194"/>
  <c r="M11" i="176" s="1"/>
  <c r="N11" i="176" s="1"/>
  <c r="BG17" i="194"/>
  <c r="CR80" i="194"/>
  <c r="FX83" i="194"/>
  <c r="E94" i="194"/>
  <c r="CT98" i="194"/>
  <c r="E23" i="194"/>
  <c r="BG35" i="194"/>
  <c r="BL11" i="194"/>
  <c r="CR92" i="194"/>
  <c r="FW92" i="194"/>
  <c r="CI24" i="194"/>
  <c r="CZ35" i="194"/>
  <c r="D85" i="194"/>
  <c r="FE103" i="194"/>
  <c r="ET77" i="194"/>
  <c r="CW80" i="194"/>
  <c r="Y34" i="175" s="1"/>
  <c r="Z34" i="175" s="1"/>
  <c r="BM11" i="194"/>
  <c r="ES95" i="194"/>
  <c r="ES62" i="194"/>
  <c r="FV93" i="194"/>
  <c r="FX94" i="194"/>
  <c r="E41" i="194"/>
  <c r="CI42" i="194"/>
  <c r="CK41" i="194"/>
  <c r="FP102" i="194"/>
  <c r="CQ42" i="194"/>
  <c r="FX44" i="194"/>
  <c r="CJ47" i="194"/>
  <c r="CR47" i="194"/>
  <c r="CK50" i="194"/>
  <c r="CW50" i="194"/>
  <c r="Y24" i="175" s="1"/>
  <c r="Z24" i="175" s="1"/>
  <c r="GE16" i="194"/>
  <c r="BG41" i="194"/>
  <c r="FV18" i="194"/>
  <c r="CQ39" i="194"/>
  <c r="FE102" i="194"/>
  <c r="FI102" i="194"/>
  <c r="CJ38" i="194"/>
  <c r="CV103" i="194"/>
  <c r="CQ94" i="194"/>
  <c r="CP94" i="194" s="1"/>
  <c r="EY11" i="194"/>
  <c r="DT102" i="194"/>
  <c r="EI102" i="194"/>
  <c r="EM102" i="194"/>
  <c r="EX102" i="194"/>
  <c r="FH102" i="194"/>
  <c r="GA102" i="194"/>
  <c r="DO103" i="194"/>
  <c r="CI16" i="194"/>
  <c r="CW20" i="194"/>
  <c r="CQ40" i="194"/>
  <c r="CQ38" i="194" s="1"/>
  <c r="BG44" i="194"/>
  <c r="CW44" i="194"/>
  <c r="Y22" i="175" s="1"/>
  <c r="Z22" i="175" s="1"/>
  <c r="E47" i="194"/>
  <c r="CR50" i="194"/>
  <c r="CQ60" i="194"/>
  <c r="CQ59" i="194" s="1"/>
  <c r="E59" i="194"/>
  <c r="FX62" i="194"/>
  <c r="CQ66" i="194"/>
  <c r="CK65" i="194"/>
  <c r="FX65" i="194"/>
  <c r="FV75" i="194"/>
  <c r="FV74" i="194" s="1"/>
  <c r="D78" i="194"/>
  <c r="GD78" i="194"/>
  <c r="FW80" i="194"/>
  <c r="BE82" i="194"/>
  <c r="CI97" i="194"/>
  <c r="CI25" i="194"/>
  <c r="CI31" i="194"/>
  <c r="FV31" i="194"/>
  <c r="CQ36" i="194"/>
  <c r="ER99" i="194"/>
  <c r="ER85" i="194"/>
  <c r="ER61" i="194"/>
  <c r="ER59" i="194" s="1"/>
  <c r="BE18" i="194"/>
  <c r="BF23" i="194"/>
  <c r="CJ59" i="194"/>
  <c r="ET59" i="194"/>
  <c r="CR68" i="194"/>
  <c r="FX68" i="194"/>
  <c r="CJ68" i="194"/>
  <c r="J71" i="194"/>
  <c r="ET29" i="194"/>
  <c r="CR29" i="194"/>
  <c r="CJ35" i="194"/>
  <c r="FX53" i="194"/>
  <c r="FX89" i="194"/>
  <c r="CI93" i="194"/>
  <c r="CJ92" i="194"/>
  <c r="CQ91" i="194"/>
  <c r="CQ89" i="194" s="1"/>
  <c r="FV91" i="194"/>
  <c r="FO102" i="194"/>
  <c r="EW102" i="194"/>
  <c r="FZ102" i="194"/>
  <c r="FO103" i="194"/>
  <c r="FK103" i="194"/>
  <c r="DG103" i="194"/>
  <c r="EC103" i="194"/>
  <c r="FY103" i="194"/>
  <c r="CB11" i="194"/>
  <c r="EA103" i="194"/>
  <c r="EY102" i="194"/>
  <c r="EY101" i="194" s="1"/>
  <c r="DN103" i="194"/>
  <c r="DA102" i="194"/>
  <c r="DE102" i="194"/>
  <c r="DI102" i="194"/>
  <c r="DQ102" i="194"/>
  <c r="CX103" i="194"/>
  <c r="BG14" i="194"/>
  <c r="FV16" i="194"/>
  <c r="FV14" i="194" s="1"/>
  <c r="FW13" i="194"/>
  <c r="FW105" i="194" s="1"/>
  <c r="FW14" i="194"/>
  <c r="FW38" i="194"/>
  <c r="FV40" i="194"/>
  <c r="CK44" i="194"/>
  <c r="FX50" i="194"/>
  <c r="FX56" i="194"/>
  <c r="CR62" i="194"/>
  <c r="D67" i="194"/>
  <c r="CI75" i="194"/>
  <c r="CI74" i="194"/>
  <c r="CK74" i="194"/>
  <c r="D81" i="194"/>
  <c r="C81" i="194" s="1"/>
  <c r="ER79" i="194"/>
  <c r="ES35" i="194"/>
  <c r="BE66" i="194"/>
  <c r="BF65" i="194"/>
  <c r="ER18" i="194"/>
  <c r="CK14" i="194"/>
  <c r="CI79" i="194"/>
  <c r="FX77" i="194"/>
  <c r="CQ82" i="194"/>
  <c r="CW65" i="194"/>
  <c r="Y29" i="175" s="1"/>
  <c r="Z29" i="175" s="1"/>
  <c r="FW71" i="194"/>
  <c r="ER28" i="194"/>
  <c r="CP28" i="194" s="1"/>
  <c r="CQ15" i="194"/>
  <c r="CW14" i="194"/>
  <c r="CI33" i="194"/>
  <c r="BZ11" i="194"/>
  <c r="FW59" i="194"/>
  <c r="FV61" i="194"/>
  <c r="ER34" i="194"/>
  <c r="GF34" i="194" s="1"/>
  <c r="ES32" i="194"/>
  <c r="CQ78" i="194"/>
  <c r="CK38" i="194"/>
  <c r="E20" i="194"/>
  <c r="E38" i="194"/>
  <c r="CW86" i="194"/>
  <c r="GE86" i="194" s="1"/>
  <c r="GE88" i="194"/>
  <c r="D27" i="194"/>
  <c r="FX41" i="194"/>
  <c r="J62" i="194"/>
  <c r="FW68" i="194"/>
  <c r="CK71" i="194"/>
  <c r="D75" i="194"/>
  <c r="E74" i="194"/>
  <c r="CI37" i="194"/>
  <c r="FW35" i="194"/>
  <c r="ES71" i="194"/>
  <c r="ER55" i="194"/>
  <c r="ES53" i="194"/>
  <c r="BF35" i="194"/>
  <c r="BE36" i="194"/>
  <c r="BF47" i="194"/>
  <c r="BE60" i="194"/>
  <c r="CJ62" i="194"/>
  <c r="CK53" i="194"/>
  <c r="FW47" i="194"/>
  <c r="ES26" i="194"/>
  <c r="BE15" i="194"/>
  <c r="C15" i="194" s="1"/>
  <c r="GB13" i="194"/>
  <c r="ES41" i="194"/>
  <c r="CJ56" i="194"/>
  <c r="CK20" i="194"/>
  <c r="ES83" i="194"/>
  <c r="BF17" i="194"/>
  <c r="CI81" i="194"/>
  <c r="D82" i="194"/>
  <c r="D80" i="194" s="1"/>
  <c r="J80" i="194"/>
  <c r="M33" i="176"/>
  <c r="N33" i="176" s="1"/>
  <c r="J83" i="194"/>
  <c r="M34" i="176" s="1"/>
  <c r="N34" i="176" s="1"/>
  <c r="D84" i="194"/>
  <c r="CR83" i="194"/>
  <c r="J86" i="194"/>
  <c r="BE91" i="194"/>
  <c r="BG89" i="194"/>
  <c r="FI98" i="194"/>
  <c r="FT13" i="194"/>
  <c r="FT105" i="194"/>
  <c r="FT103" i="194"/>
  <c r="FT23" i="194"/>
  <c r="FT11" i="194" s="1"/>
  <c r="ER75" i="194"/>
  <c r="ER74" i="194"/>
  <c r="ES74" i="194"/>
  <c r="ES56" i="194"/>
  <c r="ES38" i="194"/>
  <c r="ER39" i="194"/>
  <c r="ES20" i="194"/>
  <c r="BF41" i="194"/>
  <c r="CQ87" i="194"/>
  <c r="CR86" i="194"/>
  <c r="ER88" i="194"/>
  <c r="ES86" i="194"/>
  <c r="FZ13" i="194"/>
  <c r="FZ105" i="194"/>
  <c r="D39" i="194"/>
  <c r="J38" i="194"/>
  <c r="M19" i="176"/>
  <c r="N19" i="176" s="1"/>
  <c r="FX38" i="194"/>
  <c r="FW62" i="194"/>
  <c r="FX71" i="194"/>
  <c r="CI84" i="194"/>
  <c r="BG25" i="194"/>
  <c r="BG23" i="194"/>
  <c r="EI98" i="194"/>
  <c r="CW100" i="194"/>
  <c r="CW98" i="194" s="1"/>
  <c r="AR95" i="194"/>
  <c r="AR13" i="194"/>
  <c r="EE103" i="194" s="1"/>
  <c r="EE101" i="194" s="1"/>
  <c r="FW89" i="194"/>
  <c r="BE78" i="194"/>
  <c r="DB102" i="194"/>
  <c r="DN102" i="194"/>
  <c r="DN101" i="194" s="1"/>
  <c r="EC102" i="194"/>
  <c r="FJ102" i="194"/>
  <c r="FV84" i="194"/>
  <c r="FV83" i="194" s="1"/>
  <c r="E86" i="194"/>
  <c r="D87" i="194"/>
  <c r="ER96" i="194"/>
  <c r="FV88" i="194"/>
  <c r="DO102" i="194"/>
  <c r="EP102" i="194"/>
  <c r="FC102" i="194"/>
  <c r="FC101" i="194" s="1"/>
  <c r="FK101" i="194"/>
  <c r="FS102" i="194"/>
  <c r="CU103" i="194"/>
  <c r="DE103" i="194"/>
  <c r="DE101" i="194" s="1"/>
  <c r="FB103" i="194"/>
  <c r="FB101" i="194" s="1"/>
  <c r="E44" i="194"/>
  <c r="EZ103" i="194"/>
  <c r="CI67" i="194"/>
  <c r="BG80" i="194"/>
  <c r="BE94" i="194"/>
  <c r="CQ96" i="194"/>
  <c r="BF92" i="194"/>
  <c r="ER87" i="194"/>
  <c r="ER93" i="194"/>
  <c r="GF93" i="194" s="1"/>
  <c r="EX103" i="194"/>
  <c r="EX101" i="194" s="1"/>
  <c r="AA105" i="194"/>
  <c r="DS102" i="194"/>
  <c r="AB11" i="194"/>
  <c r="L11" i="194"/>
  <c r="FW41" i="194"/>
  <c r="BG65" i="194"/>
  <c r="BE67" i="194"/>
  <c r="D93" i="194"/>
  <c r="CK94" i="194"/>
  <c r="CI94" i="194" s="1"/>
  <c r="CM13" i="194"/>
  <c r="CQ88" i="194"/>
  <c r="CP88" i="194" s="1"/>
  <c r="ER90" i="194"/>
  <c r="D66" i="194"/>
  <c r="D65" i="194" s="1"/>
  <c r="ES68" i="194"/>
  <c r="EM103" i="194"/>
  <c r="EM101" i="194" s="1"/>
  <c r="E95" i="194"/>
  <c r="D96" i="194"/>
  <c r="BF95" i="194"/>
  <c r="CR89" i="194"/>
  <c r="ES50" i="194"/>
  <c r="ET68" i="194"/>
  <c r="FV81" i="194"/>
  <c r="FV80" i="194" s="1"/>
  <c r="BE90" i="194"/>
  <c r="BE89" i="194" s="1"/>
  <c r="ER84" i="194"/>
  <c r="FX86" i="194"/>
  <c r="CW92" i="194"/>
  <c r="CQ93" i="194"/>
  <c r="CY102" i="194"/>
  <c r="CY101" i="194" s="1"/>
  <c r="DC102" i="194"/>
  <c r="DG101" i="194"/>
  <c r="DK102" i="194"/>
  <c r="D61" i="194"/>
  <c r="DH102" i="194"/>
  <c r="FC103" i="194"/>
  <c r="CC11" i="194"/>
  <c r="FV90" i="194"/>
  <c r="CW17" i="194"/>
  <c r="Y13" i="175" s="1"/>
  <c r="Z13" i="175" s="1"/>
  <c r="AZ11" i="194"/>
  <c r="CT103" i="194"/>
  <c r="DD103" i="194"/>
  <c r="DH103" i="194"/>
  <c r="DI103" i="194"/>
  <c r="DK103" i="194"/>
  <c r="DW103" i="194"/>
  <c r="DL103" i="194"/>
  <c r="BG32" i="194"/>
  <c r="EG103" i="194"/>
  <c r="M23" i="176"/>
  <c r="N23" i="176"/>
  <c r="J47" i="194"/>
  <c r="M22" i="176" s="1"/>
  <c r="N22" i="176" s="1"/>
  <c r="GE47" i="194"/>
  <c r="EO103" i="194"/>
  <c r="EO101" i="194" s="1"/>
  <c r="BG68" i="194"/>
  <c r="CW68" i="194"/>
  <c r="Y30" i="175"/>
  <c r="Z30" i="175" s="1"/>
  <c r="GE67" i="194"/>
  <c r="GE61" i="194"/>
  <c r="EN11" i="194"/>
  <c r="CW26" i="194"/>
  <c r="ET32" i="194"/>
  <c r="GE34" i="194"/>
  <c r="ER77" i="194"/>
  <c r="DP103" i="194"/>
  <c r="CI23" i="194"/>
  <c r="ER56" i="194"/>
  <c r="C85" i="194"/>
  <c r="BE47" i="194"/>
  <c r="CP76" i="194"/>
  <c r="BE74" i="194"/>
  <c r="FV94" i="194"/>
  <c r="FV92" i="194" s="1"/>
  <c r="D71" i="194"/>
  <c r="CP34" i="194"/>
  <c r="J56" i="194"/>
  <c r="M25" i="176" s="1"/>
  <c r="N25" i="176" s="1"/>
  <c r="GE80" i="194"/>
  <c r="BE56" i="194"/>
  <c r="FX92" i="194"/>
  <c r="D47" i="194"/>
  <c r="FV89" i="194"/>
  <c r="FI101" i="194"/>
  <c r="C58" i="194"/>
  <c r="H66" i="176"/>
  <c r="H62" i="176" s="1"/>
  <c r="FL101" i="194"/>
  <c r="FP101" i="194"/>
  <c r="ER32" i="194"/>
  <c r="DO101" i="194"/>
  <c r="DM101" i="194"/>
  <c r="EA101" i="194"/>
  <c r="BE95" i="194"/>
  <c r="CI56" i="194"/>
  <c r="DK101" i="194"/>
  <c r="GE38" i="194"/>
  <c r="D86" i="194"/>
  <c r="D37" i="194"/>
  <c r="CQ47" i="194"/>
  <c r="CQ80" i="194"/>
  <c r="D83" i="194"/>
  <c r="CI50" i="194"/>
  <c r="FV62" i="194"/>
  <c r="I29" i="176"/>
  <c r="K43" i="176"/>
  <c r="J62" i="176"/>
  <c r="D62" i="176"/>
  <c r="D50" i="176"/>
  <c r="D40" i="176" s="1"/>
  <c r="D36" i="176" s="1"/>
  <c r="D9" i="176" s="1"/>
  <c r="I45" i="176"/>
  <c r="I41" i="176" s="1"/>
  <c r="K22" i="176"/>
  <c r="I23" i="176"/>
  <c r="I22" i="176"/>
  <c r="K51" i="176"/>
  <c r="K50" i="176" s="1"/>
  <c r="I20" i="176"/>
  <c r="I16" i="176"/>
  <c r="M28" i="174"/>
  <c r="G28" i="174"/>
  <c r="K28" i="174"/>
  <c r="J28" i="174"/>
  <c r="E28" i="174"/>
  <c r="D13" i="174"/>
  <c r="O13" i="174" s="1"/>
  <c r="G27" i="174"/>
  <c r="D24" i="174"/>
  <c r="M12" i="174"/>
  <c r="J34" i="174"/>
  <c r="L12" i="174"/>
  <c r="H44" i="174"/>
  <c r="H43" i="174" s="1"/>
  <c r="L34" i="174"/>
  <c r="L27" i="174" s="1"/>
  <c r="H37" i="174"/>
  <c r="D30" i="174"/>
  <c r="D29" i="174" s="1"/>
  <c r="D28" i="174" s="1"/>
  <c r="C34" i="174"/>
  <c r="C27" i="174" s="1"/>
  <c r="N28" i="174"/>
  <c r="N27" i="174" s="1"/>
  <c r="O17" i="174"/>
  <c r="D37" i="174"/>
  <c r="G12" i="174"/>
  <c r="P11" i="175"/>
  <c r="P63" i="175"/>
  <c r="R41" i="175"/>
  <c r="R37" i="175" s="1"/>
  <c r="L41" i="175"/>
  <c r="H41" i="175"/>
  <c r="H37" i="175" s="1"/>
  <c r="H10" i="175" s="1"/>
  <c r="C41" i="175"/>
  <c r="C37" i="175" s="1"/>
  <c r="S41" i="175"/>
  <c r="S37" i="175" s="1"/>
  <c r="F37" i="175"/>
  <c r="Q63" i="175"/>
  <c r="P41" i="175"/>
  <c r="P37" i="175" s="1"/>
  <c r="K41" i="175"/>
  <c r="H50" i="176"/>
  <c r="G63" i="175"/>
  <c r="E37" i="175"/>
  <c r="E10" i="175" s="1"/>
  <c r="V63" i="175"/>
  <c r="R63" i="175"/>
  <c r="J63" i="175"/>
  <c r="F63" i="175"/>
  <c r="I63" i="175"/>
  <c r="M63" i="175"/>
  <c r="C63" i="175"/>
  <c r="U41" i="175"/>
  <c r="U37" i="175" s="1"/>
  <c r="H41" i="176"/>
  <c r="M10" i="175"/>
  <c r="L37" i="175"/>
  <c r="K37" i="175"/>
  <c r="K10" i="175" s="1"/>
  <c r="D52" i="175"/>
  <c r="N51" i="175"/>
  <c r="N42" i="175"/>
  <c r="Q11" i="175"/>
  <c r="Q51" i="175"/>
  <c r="Q41" i="175" s="1"/>
  <c r="Q37" i="175" s="1"/>
  <c r="N54" i="175"/>
  <c r="I51" i="176"/>
  <c r="D38" i="175"/>
  <c r="H24" i="174"/>
  <c r="C12" i="174"/>
  <c r="D20" i="174"/>
  <c r="E12" i="174"/>
  <c r="N34" i="174"/>
  <c r="F12" i="174"/>
  <c r="N12" i="174"/>
  <c r="K12" i="174"/>
  <c r="J12" i="174"/>
  <c r="I33" i="176"/>
  <c r="K23" i="176"/>
  <c r="H34" i="174"/>
  <c r="I28" i="174"/>
  <c r="H31" i="174"/>
  <c r="H28" i="174" s="1"/>
  <c r="D31" i="174"/>
  <c r="H20" i="174"/>
  <c r="I12" i="174"/>
  <c r="H17" i="174"/>
  <c r="O18" i="174"/>
  <c r="O14" i="174"/>
  <c r="H13" i="174"/>
  <c r="L11" i="174"/>
  <c r="F10" i="175"/>
  <c r="R10" i="175"/>
  <c r="J10" i="176"/>
  <c r="K18" i="176"/>
  <c r="K13" i="176"/>
  <c r="I21" i="176"/>
  <c r="K28" i="176"/>
  <c r="W33" i="175"/>
  <c r="N11" i="175"/>
  <c r="W31" i="175"/>
  <c r="G10" i="176"/>
  <c r="C35" i="176"/>
  <c r="K35" i="176" s="1"/>
  <c r="N36" i="176" s="1"/>
  <c r="I61" i="176"/>
  <c r="I49" i="176"/>
  <c r="F40" i="176"/>
  <c r="F36" i="176" s="1"/>
  <c r="F62" i="176"/>
  <c r="K14" i="176"/>
  <c r="I46" i="176"/>
  <c r="J9" i="176"/>
  <c r="K24" i="176"/>
  <c r="K21" i="176"/>
  <c r="K12" i="176"/>
  <c r="K19" i="176"/>
  <c r="K11" i="176"/>
  <c r="I52" i="176"/>
  <c r="K54" i="176"/>
  <c r="I17" i="176"/>
  <c r="I56" i="176"/>
  <c r="I24" i="176"/>
  <c r="I14" i="176"/>
  <c r="C37" i="176"/>
  <c r="I39" i="176"/>
  <c r="I37" i="176"/>
  <c r="E40" i="176"/>
  <c r="E36" i="176" s="1"/>
  <c r="E9" i="176" s="1"/>
  <c r="N6" i="176" s="1"/>
  <c r="G62" i="176"/>
  <c r="K33" i="176"/>
  <c r="K25" i="176"/>
  <c r="I55" i="176"/>
  <c r="I27" i="176"/>
  <c r="K55" i="176"/>
  <c r="K53" i="176" s="1"/>
  <c r="I60" i="176"/>
  <c r="K64" i="176"/>
  <c r="K63" i="176" s="1"/>
  <c r="K62" i="176" s="1"/>
  <c r="I65" i="176"/>
  <c r="I63" i="176" s="1"/>
  <c r="C63" i="176"/>
  <c r="I30" i="176"/>
  <c r="I48" i="176"/>
  <c r="I59" i="176"/>
  <c r="K47" i="176"/>
  <c r="K30" i="176"/>
  <c r="K31" i="176"/>
  <c r="I31" i="176"/>
  <c r="I15" i="176"/>
  <c r="I34" i="176"/>
  <c r="K15" i="176"/>
  <c r="C53" i="176"/>
  <c r="I58" i="176"/>
  <c r="G40" i="176"/>
  <c r="G36" i="176" s="1"/>
  <c r="K44" i="176"/>
  <c r="C41" i="176"/>
  <c r="K42" i="176"/>
  <c r="I32" i="176"/>
  <c r="K32" i="176"/>
  <c r="F10" i="176"/>
  <c r="K41" i="176"/>
  <c r="EN105" i="194"/>
  <c r="EH105" i="194"/>
  <c r="AU13" i="194"/>
  <c r="EH103" i="194" s="1"/>
  <c r="EH101" i="194" s="1"/>
  <c r="ES59" i="193"/>
  <c r="CK59" i="193"/>
  <c r="CJ59" i="193"/>
  <c r="FV60" i="193"/>
  <c r="FV61" i="193"/>
  <c r="GE62" i="193"/>
  <c r="D63" i="193"/>
  <c r="CI63" i="193"/>
  <c r="D64" i="193"/>
  <c r="FW65" i="193"/>
  <c r="CQ66" i="193"/>
  <c r="ET65" i="193"/>
  <c r="E65" i="193"/>
  <c r="CI66" i="193"/>
  <c r="DE103" i="193"/>
  <c r="BE70" i="193"/>
  <c r="GF70" i="193" s="1"/>
  <c r="CI69" i="193"/>
  <c r="D70" i="193"/>
  <c r="FW68" i="193"/>
  <c r="ER73" i="193"/>
  <c r="FV72" i="193"/>
  <c r="FV71" i="193" s="1"/>
  <c r="CQ73" i="193"/>
  <c r="FV73" i="193"/>
  <c r="CJ71" i="193"/>
  <c r="C73" i="193"/>
  <c r="CI75" i="193"/>
  <c r="CI74" i="193" s="1"/>
  <c r="FV76" i="193"/>
  <c r="FV74" i="193" s="1"/>
  <c r="CK74" i="193"/>
  <c r="ER76" i="193"/>
  <c r="BF77" i="193"/>
  <c r="E77" i="193"/>
  <c r="ER78" i="193"/>
  <c r="FX77" i="193"/>
  <c r="CI79" i="193"/>
  <c r="ET77" i="193"/>
  <c r="E80" i="193"/>
  <c r="CQ81" i="193"/>
  <c r="FF11" i="193"/>
  <c r="BL11" i="193"/>
  <c r="ER81" i="193"/>
  <c r="ER80" i="193" s="1"/>
  <c r="FX80" i="193"/>
  <c r="BE82" i="193"/>
  <c r="CI82" i="193"/>
  <c r="ES80" i="193"/>
  <c r="GE82" i="193"/>
  <c r="BN11" i="193"/>
  <c r="FX13" i="193"/>
  <c r="FX105" i="193" s="1"/>
  <c r="CQ88" i="193"/>
  <c r="ET86" i="193"/>
  <c r="D87" i="193"/>
  <c r="D86" i="193" s="1"/>
  <c r="FV87" i="193"/>
  <c r="D88" i="193"/>
  <c r="CJ89" i="193"/>
  <c r="ER90" i="193"/>
  <c r="CW89" i="193"/>
  <c r="GE89" i="193" s="1"/>
  <c r="CQ90" i="193"/>
  <c r="CI91" i="193"/>
  <c r="BG89" i="193"/>
  <c r="I11" i="193"/>
  <c r="BE93" i="193"/>
  <c r="FV95" i="193"/>
  <c r="CI97" i="193"/>
  <c r="FW98" i="193"/>
  <c r="FW95" i="193"/>
  <c r="ER96" i="193"/>
  <c r="ER95" i="193" s="1"/>
  <c r="D97" i="193"/>
  <c r="C97" i="193"/>
  <c r="ET95" i="193"/>
  <c r="DV11" i="193"/>
  <c r="CQ96" i="193"/>
  <c r="CQ97" i="193"/>
  <c r="CP97" i="193" s="1"/>
  <c r="CP95" i="193" s="1"/>
  <c r="BG53" i="193"/>
  <c r="CR53" i="193"/>
  <c r="CI55" i="193"/>
  <c r="AP11" i="193"/>
  <c r="R11" i="193"/>
  <c r="AH11" i="193"/>
  <c r="AL11" i="193"/>
  <c r="AT11" i="193"/>
  <c r="AX11" i="193"/>
  <c r="BP11" i="193"/>
  <c r="BX11" i="193"/>
  <c r="CB11" i="193"/>
  <c r="DB11" i="193"/>
  <c r="DJ11" i="193"/>
  <c r="DZ11" i="193"/>
  <c r="ED11" i="193"/>
  <c r="EL11" i="193"/>
  <c r="EP11" i="193"/>
  <c r="BB11" i="193"/>
  <c r="BE51" i="193"/>
  <c r="BE50" i="193" s="1"/>
  <c r="CJ12" i="193"/>
  <c r="BF50" i="193"/>
  <c r="CD11" i="193"/>
  <c r="CR47" i="193"/>
  <c r="DL11" i="193"/>
  <c r="DP11" i="193"/>
  <c r="EQ11" i="193"/>
  <c r="CV11" i="193"/>
  <c r="BJ11" i="193"/>
  <c r="BR11" i="193"/>
  <c r="BV11" i="193"/>
  <c r="BZ11" i="193"/>
  <c r="CH11" i="193"/>
  <c r="CW47" i="193"/>
  <c r="D49" i="193"/>
  <c r="CP49" i="193"/>
  <c r="FV48" i="193"/>
  <c r="FV47" i="193" s="1"/>
  <c r="CR44" i="193"/>
  <c r="CJ44" i="193"/>
  <c r="FR11" i="193"/>
  <c r="V11" i="193"/>
  <c r="Z11" i="193"/>
  <c r="DX11" i="193"/>
  <c r="EB11" i="193"/>
  <c r="EJ11" i="193"/>
  <c r="EN11" i="193"/>
  <c r="CT11" i="193"/>
  <c r="CQ42" i="193"/>
  <c r="N11" i="193"/>
  <c r="AD11" i="193"/>
  <c r="D42" i="193"/>
  <c r="C42" i="193" s="1"/>
  <c r="FV43" i="193"/>
  <c r="CX11" i="193"/>
  <c r="DF11" i="193"/>
  <c r="DN11" i="193"/>
  <c r="DR11" i="193"/>
  <c r="J38" i="193"/>
  <c r="BE39" i="193"/>
  <c r="CQ39" i="193"/>
  <c r="CP39" i="193" s="1"/>
  <c r="ET12" i="193"/>
  <c r="FX38" i="193"/>
  <c r="CV102" i="193"/>
  <c r="CV101" i="193" s="1"/>
  <c r="DE102" i="193"/>
  <c r="DE101" i="193" s="1"/>
  <c r="DI102" i="193"/>
  <c r="DM102" i="193"/>
  <c r="DM101" i="193" s="1"/>
  <c r="DQ102" i="193"/>
  <c r="DQ101" i="193" s="1"/>
  <c r="DU102" i="193"/>
  <c r="DU101" i="193" s="1"/>
  <c r="DY102" i="193"/>
  <c r="DY101" i="193" s="1"/>
  <c r="EC102" i="193"/>
  <c r="EG102" i="193"/>
  <c r="EG101" i="193"/>
  <c r="EK102" i="193"/>
  <c r="EK101" i="193" s="1"/>
  <c r="EO102" i="193"/>
  <c r="EO101" i="193" s="1"/>
  <c r="Q11" i="193"/>
  <c r="U11" i="193"/>
  <c r="AC11" i="193"/>
  <c r="AG11" i="193"/>
  <c r="AK11" i="193"/>
  <c r="AW11" i="193"/>
  <c r="BA11" i="193"/>
  <c r="Y11" i="193"/>
  <c r="AS11" i="193"/>
  <c r="ES38" i="193"/>
  <c r="GB11" i="193"/>
  <c r="E35" i="193"/>
  <c r="CI36" i="193"/>
  <c r="J35" i="193"/>
  <c r="GE35" i="193" s="1"/>
  <c r="G11" i="193"/>
  <c r="E13" i="193"/>
  <c r="BE37" i="193"/>
  <c r="ET32" i="193"/>
  <c r="BT11" i="193"/>
  <c r="BH11" i="193"/>
  <c r="CF11" i="193"/>
  <c r="ET13" i="193"/>
  <c r="ET105" i="193" s="1"/>
  <c r="BE34" i="193"/>
  <c r="ES32" i="193"/>
  <c r="CR29" i="193"/>
  <c r="CP31" i="193"/>
  <c r="EX102" i="193"/>
  <c r="FB102" i="193"/>
  <c r="FF102" i="193"/>
  <c r="FJ102" i="193"/>
  <c r="FN102" i="193"/>
  <c r="FR102" i="193"/>
  <c r="ES102" i="193" s="1"/>
  <c r="EW11" i="193"/>
  <c r="FA11" i="193"/>
  <c r="FI11" i="193"/>
  <c r="FM11" i="193"/>
  <c r="FU11" i="193"/>
  <c r="P11" i="193"/>
  <c r="AF11" i="193"/>
  <c r="FT11" i="193"/>
  <c r="CQ30" i="193"/>
  <c r="CQ29" i="193" s="1"/>
  <c r="CZ102" i="193"/>
  <c r="DD102" i="193"/>
  <c r="DH102" i="193"/>
  <c r="DH101" i="193" s="1"/>
  <c r="DL102" i="193"/>
  <c r="DL101" i="193" s="1"/>
  <c r="DP102" i="193"/>
  <c r="DT102" i="193"/>
  <c r="DT101" i="193" s="1"/>
  <c r="DX102" i="193"/>
  <c r="DX101" i="193" s="1"/>
  <c r="EB102" i="193"/>
  <c r="EF102" i="193"/>
  <c r="EJ102" i="193"/>
  <c r="EJ101" i="193" s="1"/>
  <c r="EN102" i="193"/>
  <c r="EA11" i="193"/>
  <c r="EE11" i="193"/>
  <c r="D30" i="193"/>
  <c r="D29" i="193" s="1"/>
  <c r="FW29" i="193"/>
  <c r="ES12" i="193"/>
  <c r="ES105" i="193" s="1"/>
  <c r="FH11" i="193"/>
  <c r="GA11" i="193"/>
  <c r="DU11" i="193"/>
  <c r="EG11" i="193"/>
  <c r="CK26" i="193"/>
  <c r="CR26" i="193"/>
  <c r="ES26" i="193"/>
  <c r="DG11" i="193"/>
  <c r="FY103" i="193"/>
  <c r="FY101" i="193" s="1"/>
  <c r="EV11" i="193"/>
  <c r="EZ11" i="193"/>
  <c r="FL11" i="193"/>
  <c r="FY11" i="193"/>
  <c r="FW23" i="193"/>
  <c r="EW102" i="193"/>
  <c r="FA102" i="193"/>
  <c r="FE102" i="193"/>
  <c r="FI102" i="193"/>
  <c r="FM102" i="193"/>
  <c r="FQ102" i="193"/>
  <c r="FU102" i="193"/>
  <c r="O11" i="193"/>
  <c r="AA11" i="193"/>
  <c r="AI11" i="193"/>
  <c r="AM11" i="193"/>
  <c r="DD11" i="193"/>
  <c r="AY11" i="193"/>
  <c r="FC11" i="193"/>
  <c r="FO11" i="193"/>
  <c r="BG23" i="193"/>
  <c r="DD101" i="193"/>
  <c r="EF101" i="193"/>
  <c r="FW13" i="193"/>
  <c r="FW105" i="193" s="1"/>
  <c r="BM11" i="193"/>
  <c r="BQ11" i="193"/>
  <c r="BY11" i="193"/>
  <c r="CC11" i="193"/>
  <c r="BE24" i="193"/>
  <c r="BE23" i="193" s="1"/>
  <c r="CQ24" i="193"/>
  <c r="CP22" i="193"/>
  <c r="CS102" i="193"/>
  <c r="CS101" i="193" s="1"/>
  <c r="T11" i="193"/>
  <c r="AB11" i="193"/>
  <c r="AN11" i="193"/>
  <c r="AR11" i="193"/>
  <c r="AZ11" i="193"/>
  <c r="BD11" i="193"/>
  <c r="BF20" i="193"/>
  <c r="GA102" i="193"/>
  <c r="EV103" i="193"/>
  <c r="EZ103" i="193"/>
  <c r="FD103" i="193"/>
  <c r="FH103" i="193"/>
  <c r="FL103" i="193"/>
  <c r="FP103" i="193"/>
  <c r="FT103" i="193"/>
  <c r="H11" i="193"/>
  <c r="BG20" i="193"/>
  <c r="CR13" i="193"/>
  <c r="CL11" i="193"/>
  <c r="CR20" i="193"/>
  <c r="BE21" i="193"/>
  <c r="CQ21" i="193"/>
  <c r="CS103" i="193"/>
  <c r="DF103" i="193"/>
  <c r="DV103" i="193"/>
  <c r="EH103" i="193"/>
  <c r="EL103" i="193"/>
  <c r="EL101" i="193" s="1"/>
  <c r="EP103" i="193"/>
  <c r="F11" i="193"/>
  <c r="CJ17" i="193"/>
  <c r="FX17" i="193"/>
  <c r="DA102" i="193"/>
  <c r="EU102" i="193"/>
  <c r="FC102" i="193"/>
  <c r="FK102" i="193"/>
  <c r="FS102" i="193"/>
  <c r="FZ102" i="193"/>
  <c r="CT103" i="193"/>
  <c r="CY103" i="193"/>
  <c r="DC103" i="193"/>
  <c r="DG103" i="193"/>
  <c r="DK103" i="193"/>
  <c r="DO103" i="193"/>
  <c r="EA103" i="193"/>
  <c r="EE103" i="193"/>
  <c r="EI103" i="193"/>
  <c r="EM103" i="193"/>
  <c r="EQ103" i="193"/>
  <c r="CJ13" i="193"/>
  <c r="FW103" i="193" s="1"/>
  <c r="ES13" i="193"/>
  <c r="DI11" i="193"/>
  <c r="CR17" i="193"/>
  <c r="ES17" i="193"/>
  <c r="D19" i="193"/>
  <c r="EY102" i="193"/>
  <c r="FG102" i="193"/>
  <c r="FO102" i="193"/>
  <c r="CX103" i="193"/>
  <c r="DB103" i="193"/>
  <c r="DB101" i="193" s="1"/>
  <c r="DJ103" i="193"/>
  <c r="DR103" i="193"/>
  <c r="DR101" i="193" s="1"/>
  <c r="FW12" i="193"/>
  <c r="EU103" i="193"/>
  <c r="EY103" i="193"/>
  <c r="EY101" i="193" s="1"/>
  <c r="FC103" i="193"/>
  <c r="FG103" i="193"/>
  <c r="FK103" i="193"/>
  <c r="FO103" i="193"/>
  <c r="FS103" i="193"/>
  <c r="BO11" i="193"/>
  <c r="BS11" i="193"/>
  <c r="CA11" i="193"/>
  <c r="BF17" i="193"/>
  <c r="D18" i="193"/>
  <c r="FV19" i="193"/>
  <c r="CP19" i="193" s="1"/>
  <c r="FK107" i="193"/>
  <c r="J12" i="193"/>
  <c r="CK14" i="193"/>
  <c r="CR14" i="193"/>
  <c r="CW12" i="193"/>
  <c r="CQ15" i="193"/>
  <c r="CT102" i="193"/>
  <c r="CX102" i="193"/>
  <c r="DB102" i="193"/>
  <c r="DF102" i="193"/>
  <c r="DJ102" i="193"/>
  <c r="DN102" i="193"/>
  <c r="DR102" i="193"/>
  <c r="DV102" i="193"/>
  <c r="DV101" i="193" s="1"/>
  <c r="DZ102" i="193"/>
  <c r="ED102" i="193"/>
  <c r="EH102" i="193"/>
  <c r="EL102" i="193"/>
  <c r="EP102" i="193"/>
  <c r="EY107" i="193"/>
  <c r="FX12" i="193"/>
  <c r="BF13" i="193"/>
  <c r="EX103" i="193"/>
  <c r="FB103" i="193"/>
  <c r="FF103" i="193"/>
  <c r="FJ103" i="193"/>
  <c r="ES103" i="193" s="1"/>
  <c r="ES101" i="193" s="1"/>
  <c r="FN103" i="193"/>
  <c r="FR103" i="193"/>
  <c r="FR101" i="193" s="1"/>
  <c r="GA103" i="193"/>
  <c r="CW14" i="193"/>
  <c r="GE14" i="193" s="1"/>
  <c r="CI15" i="193"/>
  <c r="BE15" i="193"/>
  <c r="BE14" i="193" s="1"/>
  <c r="D16" i="193"/>
  <c r="C16" i="193"/>
  <c r="CI14" i="193"/>
  <c r="CU102" i="193"/>
  <c r="CU101" i="193" s="1"/>
  <c r="CY102" i="193"/>
  <c r="CY101" i="193" s="1"/>
  <c r="DC102" i="193"/>
  <c r="DC101" i="193" s="1"/>
  <c r="DG102" i="193"/>
  <c r="DG101" i="193" s="1"/>
  <c r="DK102" i="193"/>
  <c r="DO102" i="193"/>
  <c r="DW102" i="193"/>
  <c r="EA102" i="193"/>
  <c r="EI102" i="193"/>
  <c r="EM102" i="193"/>
  <c r="EV102" i="193"/>
  <c r="EV101" i="193" s="1"/>
  <c r="EZ102" i="193"/>
  <c r="EZ101" i="193" s="1"/>
  <c r="FD102" i="193"/>
  <c r="ET102" i="193" s="1"/>
  <c r="FH102" i="193"/>
  <c r="FL102" i="193"/>
  <c r="FP102" i="193"/>
  <c r="FT102" i="193"/>
  <c r="FY102" i="193"/>
  <c r="EW103" i="193"/>
  <c r="FA103" i="193"/>
  <c r="FE103" i="193"/>
  <c r="FE101" i="193" s="1"/>
  <c r="FI103" i="193"/>
  <c r="FI101" i="193" s="1"/>
  <c r="FM103" i="193"/>
  <c r="FM101" i="193" s="1"/>
  <c r="FQ103" i="193"/>
  <c r="FQ101" i="193" s="1"/>
  <c r="FU103" i="193"/>
  <c r="FU101" i="193" s="1"/>
  <c r="FZ103" i="193"/>
  <c r="D15" i="193"/>
  <c r="C15" i="193" s="1"/>
  <c r="FV15" i="193"/>
  <c r="FV14" i="193" s="1"/>
  <c r="AA105" i="193"/>
  <c r="DN103" i="193"/>
  <c r="DZ103" i="193"/>
  <c r="AM105" i="193"/>
  <c r="AQ105" i="193"/>
  <c r="ED103" i="193"/>
  <c r="CZ105" i="193"/>
  <c r="CZ107" i="193"/>
  <c r="AF105" i="193"/>
  <c r="DS103" i="193"/>
  <c r="DW103" i="193"/>
  <c r="AJ105" i="193"/>
  <c r="DI107" i="193"/>
  <c r="DI105" i="193"/>
  <c r="BE17" i="193"/>
  <c r="CQ44" i="193"/>
  <c r="M105" i="193"/>
  <c r="CZ103" i="193"/>
  <c r="DP103" i="193"/>
  <c r="AC105" i="193"/>
  <c r="EB103" i="193"/>
  <c r="AO105" i="193"/>
  <c r="EN103" i="193"/>
  <c r="BA105" i="193"/>
  <c r="V105" i="193"/>
  <c r="DI103" i="193"/>
  <c r="DI101" i="193" s="1"/>
  <c r="AP105" i="193"/>
  <c r="EC103" i="193"/>
  <c r="EC101" i="193" s="1"/>
  <c r="DO107" i="193"/>
  <c r="DO105" i="193"/>
  <c r="BE20" i="193"/>
  <c r="CQ20" i="193"/>
  <c r="DN107" i="193"/>
  <c r="DN105" i="193"/>
  <c r="DR107" i="193"/>
  <c r="DR105" i="193"/>
  <c r="DZ107" i="193"/>
  <c r="DZ105" i="193"/>
  <c r="ED105" i="193"/>
  <c r="ED107" i="193"/>
  <c r="EP105" i="193"/>
  <c r="EP107" i="193"/>
  <c r="FV18" i="193"/>
  <c r="FW20" i="193"/>
  <c r="CR23" i="193"/>
  <c r="CI24" i="193"/>
  <c r="C24" i="193" s="1"/>
  <c r="ER24" i="193"/>
  <c r="J25" i="193"/>
  <c r="ER25" i="193"/>
  <c r="ES23" i="193"/>
  <c r="FV25" i="193"/>
  <c r="BG26" i="193"/>
  <c r="CI30" i="193"/>
  <c r="FV30" i="193"/>
  <c r="FV29" i="193" s="1"/>
  <c r="CQ33" i="193"/>
  <c r="ER34" i="193"/>
  <c r="BE36" i="193"/>
  <c r="BE35" i="193" s="1"/>
  <c r="BF35" i="193"/>
  <c r="CQ37" i="193"/>
  <c r="CP37" i="193"/>
  <c r="CR38" i="193"/>
  <c r="CI39" i="193"/>
  <c r="CI38" i="193" s="1"/>
  <c r="CJ38" i="193"/>
  <c r="ER39" i="193"/>
  <c r="ER38" i="193"/>
  <c r="J43" i="193"/>
  <c r="CI45" i="193"/>
  <c r="FV45" i="193"/>
  <c r="FV44" i="193"/>
  <c r="FV46" i="193"/>
  <c r="BE48" i="193"/>
  <c r="BF47" i="193"/>
  <c r="ER51" i="193"/>
  <c r="ER50" i="193" s="1"/>
  <c r="ES50" i="193"/>
  <c r="CQ52" i="193"/>
  <c r="CP52" i="193" s="1"/>
  <c r="CW50" i="193"/>
  <c r="GE50" i="193" s="1"/>
  <c r="CJ56" i="193"/>
  <c r="CI57" i="193"/>
  <c r="DS107" i="193"/>
  <c r="DS105" i="193"/>
  <c r="DW105" i="193"/>
  <c r="DW107" i="193"/>
  <c r="EM105" i="193"/>
  <c r="EM107" i="193"/>
  <c r="EQ105" i="193"/>
  <c r="EQ107" i="193"/>
  <c r="CK23" i="193"/>
  <c r="CI25" i="193"/>
  <c r="D27" i="193"/>
  <c r="D28" i="193"/>
  <c r="D34" i="193"/>
  <c r="E32" i="193"/>
  <c r="CZ35" i="193"/>
  <c r="CZ11" i="193"/>
  <c r="D36" i="193"/>
  <c r="C36" i="193" s="1"/>
  <c r="CQ36" i="193"/>
  <c r="CQ35" i="193" s="1"/>
  <c r="BE40" i="193"/>
  <c r="C40" i="193" s="1"/>
  <c r="FV40" i="193"/>
  <c r="FV38" i="193" s="1"/>
  <c r="BE42" i="193"/>
  <c r="BF41" i="193"/>
  <c r="CQ48" i="193"/>
  <c r="FX50" i="193"/>
  <c r="DP105" i="193"/>
  <c r="DP107" i="193"/>
  <c r="EB105" i="193"/>
  <c r="EB107" i="193"/>
  <c r="EN105" i="193"/>
  <c r="EN107" i="193"/>
  <c r="BE25" i="193"/>
  <c r="GF25" i="193" s="1"/>
  <c r="BE30" i="193"/>
  <c r="C30" i="193" s="1"/>
  <c r="BF29" i="193"/>
  <c r="CI33" i="193"/>
  <c r="CJ32" i="193"/>
  <c r="ER45" i="193"/>
  <c r="ES44" i="193"/>
  <c r="D51" i="193"/>
  <c r="E50" i="193"/>
  <c r="CK50" i="193"/>
  <c r="CI52" i="193"/>
  <c r="C52" i="193" s="1"/>
  <c r="GC52" i="193" s="1"/>
  <c r="FV54" i="193"/>
  <c r="FW53" i="193"/>
  <c r="BE55" i="193"/>
  <c r="BE53" i="193"/>
  <c r="FV58" i="193"/>
  <c r="FV56" i="193" s="1"/>
  <c r="FW56" i="193"/>
  <c r="DQ107" i="193"/>
  <c r="DQ105" i="193"/>
  <c r="EC107" i="193"/>
  <c r="EC105" i="193"/>
  <c r="EO107" i="193"/>
  <c r="EO105" i="193"/>
  <c r="FV27" i="193"/>
  <c r="CP27" i="193" s="1"/>
  <c r="FW26" i="193"/>
  <c r="BE28" i="193"/>
  <c r="FV28" i="193"/>
  <c r="D40" i="193"/>
  <c r="E38" i="193"/>
  <c r="CI42" i="193"/>
  <c r="CI41" i="193" s="1"/>
  <c r="FV42" i="193"/>
  <c r="FV41" i="193" s="1"/>
  <c r="BE43" i="193"/>
  <c r="GF43" i="193" s="1"/>
  <c r="CW43" i="193"/>
  <c r="GE43" i="193" s="1"/>
  <c r="DS41" i="193"/>
  <c r="DS11" i="193" s="1"/>
  <c r="D46" i="193"/>
  <c r="CI48" i="193"/>
  <c r="CK47" i="193"/>
  <c r="CW56" i="193"/>
  <c r="CQ57" i="193"/>
  <c r="ER66" i="193"/>
  <c r="ES65" i="193"/>
  <c r="D69" i="193"/>
  <c r="D68" i="193" s="1"/>
  <c r="E68" i="193"/>
  <c r="CR68" i="193"/>
  <c r="CQ69" i="193"/>
  <c r="D74" i="193"/>
  <c r="CQ74" i="193"/>
  <c r="J79" i="193"/>
  <c r="J77" i="193"/>
  <c r="AO77" i="193"/>
  <c r="AO11" i="193" s="1"/>
  <c r="BE81" i="193"/>
  <c r="BF80" i="193"/>
  <c r="CQ85" i="193"/>
  <c r="CQ87" i="193"/>
  <c r="CQ86" i="193" s="1"/>
  <c r="CW86" i="193"/>
  <c r="GE86" i="193" s="1"/>
  <c r="ER57" i="193"/>
  <c r="ER56" i="193"/>
  <c r="ES56" i="193"/>
  <c r="J59" i="193"/>
  <c r="GE59" i="193"/>
  <c r="FV59" i="193"/>
  <c r="CK65" i="193"/>
  <c r="FX65" i="193"/>
  <c r="E71" i="193"/>
  <c r="D72" i="193"/>
  <c r="CQ72" i="193"/>
  <c r="CR71" i="193"/>
  <c r="FW77" i="193"/>
  <c r="CK77" i="193"/>
  <c r="CI78" i="193"/>
  <c r="FV84" i="193"/>
  <c r="FW83" i="193"/>
  <c r="C91" i="193"/>
  <c r="E53" i="193"/>
  <c r="CQ54" i="193"/>
  <c r="ET53" i="193"/>
  <c r="FX56" i="193"/>
  <c r="ER60" i="193"/>
  <c r="CJ62" i="193"/>
  <c r="BE69" i="193"/>
  <c r="BE68" i="193"/>
  <c r="ER69" i="193"/>
  <c r="ER68" i="193" s="1"/>
  <c r="FX74" i="193"/>
  <c r="CI76" i="193"/>
  <c r="CW83" i="193"/>
  <c r="GE83" i="193" s="1"/>
  <c r="BG83" i="193"/>
  <c r="BE84" i="193"/>
  <c r="BE83" i="193" s="1"/>
  <c r="CI85" i="193"/>
  <c r="CK83" i="193"/>
  <c r="CI87" i="193"/>
  <c r="CK86" i="193"/>
  <c r="FW50" i="193"/>
  <c r="CJ53" i="193"/>
  <c r="CI54" i="193"/>
  <c r="CQ58" i="193"/>
  <c r="CP58" i="193" s="1"/>
  <c r="D60" i="193"/>
  <c r="D61" i="193"/>
  <c r="C61" i="193" s="1"/>
  <c r="BG61" i="193"/>
  <c r="BG59" i="193" s="1"/>
  <c r="CR62" i="193"/>
  <c r="CK62" i="193"/>
  <c r="ER63" i="193"/>
  <c r="ER62" i="193" s="1"/>
  <c r="CQ64" i="193"/>
  <c r="CP64" i="193" s="1"/>
  <c r="BF65" i="193"/>
  <c r="CJ65" i="193"/>
  <c r="BE72" i="193"/>
  <c r="ER72" i="193"/>
  <c r="ER71" i="193"/>
  <c r="BF74" i="193"/>
  <c r="ER75" i="193"/>
  <c r="CP75" i="193" s="1"/>
  <c r="CP74" i="193" s="1"/>
  <c r="ES74" i="193"/>
  <c r="CQ78" i="193"/>
  <c r="CW80" i="193"/>
  <c r="GE80" i="193" s="1"/>
  <c r="CI81" i="193"/>
  <c r="CK80" i="193"/>
  <c r="D84" i="193"/>
  <c r="E83" i="193"/>
  <c r="CI83" i="193"/>
  <c r="BE85" i="193"/>
  <c r="C85" i="193" s="1"/>
  <c r="BF83" i="193"/>
  <c r="BE87" i="193"/>
  <c r="BF86" i="193"/>
  <c r="ER88" i="193"/>
  <c r="ES86" i="193"/>
  <c r="CQ93" i="193"/>
  <c r="CR92" i="193"/>
  <c r="J95" i="193"/>
  <c r="D96" i="193"/>
  <c r="CI95" i="193"/>
  <c r="E89" i="193"/>
  <c r="ET89" i="193"/>
  <c r="FX92" i="193"/>
  <c r="FV93" i="193"/>
  <c r="FV94" i="193"/>
  <c r="FW92" i="193"/>
  <c r="BF89" i="193"/>
  <c r="BE90" i="193"/>
  <c r="CS92" i="193"/>
  <c r="CS11" i="193" s="1"/>
  <c r="D94" i="193"/>
  <c r="J92" i="193"/>
  <c r="CR83" i="193"/>
  <c r="CR89" i="193"/>
  <c r="CJ92" i="193"/>
  <c r="CP96" i="193"/>
  <c r="FB98" i="193"/>
  <c r="CW100" i="193"/>
  <c r="CQ100" i="193" s="1"/>
  <c r="FZ103" i="194"/>
  <c r="EK103" i="194"/>
  <c r="EK101" i="194" s="1"/>
  <c r="CK13" i="194"/>
  <c r="FX103" i="194" s="1"/>
  <c r="CK92" i="194"/>
  <c r="DC101" i="194"/>
  <c r="D94" i="194"/>
  <c r="BE17" i="194"/>
  <c r="C75" i="194"/>
  <c r="ET12" i="194"/>
  <c r="FV96" i="194"/>
  <c r="FW95" i="194"/>
  <c r="CW29" i="194"/>
  <c r="CQ31" i="194"/>
  <c r="CP31" i="194" s="1"/>
  <c r="EP11" i="194"/>
  <c r="FK11" i="194"/>
  <c r="CA11" i="194"/>
  <c r="J12" i="194"/>
  <c r="CW35" i="194"/>
  <c r="Y19" i="175"/>
  <c r="Z19" i="175" s="1"/>
  <c r="ER83" i="194"/>
  <c r="EZ11" i="194"/>
  <c r="E68" i="194"/>
  <c r="D70" i="194"/>
  <c r="BE14" i="194"/>
  <c r="ER86" i="194"/>
  <c r="GE28" i="194"/>
  <c r="CQ28" i="194"/>
  <c r="CH23" i="194"/>
  <c r="CH11" i="194" s="1"/>
  <c r="M13" i="194"/>
  <c r="FV55" i="194"/>
  <c r="FV53" i="194" s="1"/>
  <c r="BE35" i="194"/>
  <c r="ES65" i="194"/>
  <c r="CK35" i="194"/>
  <c r="CK12" i="194"/>
  <c r="EL101" i="194"/>
  <c r="ER19" i="194"/>
  <c r="ER17" i="194" s="1"/>
  <c r="BG20" i="194"/>
  <c r="D33" i="194"/>
  <c r="CK26" i="194"/>
  <c r="AC11" i="194"/>
  <c r="E29" i="194"/>
  <c r="ER97" i="194"/>
  <c r="CP97" i="194" s="1"/>
  <c r="BE31" i="194"/>
  <c r="M35" i="194"/>
  <c r="M11" i="194" s="1"/>
  <c r="FV78" i="194"/>
  <c r="FV77" i="194" s="1"/>
  <c r="FW77" i="194"/>
  <c r="CK86" i="194"/>
  <c r="CI88" i="194"/>
  <c r="CI86" i="194" s="1"/>
  <c r="CK89" i="194"/>
  <c r="CI90" i="194"/>
  <c r="ER42" i="194"/>
  <c r="ER41" i="194" s="1"/>
  <c r="GF41" i="194" s="1"/>
  <c r="ET41" i="194"/>
  <c r="AH13" i="194"/>
  <c r="DU103" i="194"/>
  <c r="DU101" i="194" s="1"/>
  <c r="AH41" i="194"/>
  <c r="CI43" i="194"/>
  <c r="CI41" i="194" s="1"/>
  <c r="CJ41" i="194"/>
  <c r="ER45" i="194"/>
  <c r="ER44" i="194"/>
  <c r="ES44" i="194"/>
  <c r="D32" i="194"/>
  <c r="CQ18" i="194"/>
  <c r="CP18" i="194" s="1"/>
  <c r="CR17" i="194"/>
  <c r="EW11" i="194"/>
  <c r="FS11" i="194"/>
  <c r="CJ26" i="194"/>
  <c r="CI27" i="194"/>
  <c r="CI26" i="194" s="1"/>
  <c r="CW79" i="194"/>
  <c r="EB77" i="194"/>
  <c r="EB11" i="194" s="1"/>
  <c r="EB13" i="194"/>
  <c r="EB107" i="194" s="1"/>
  <c r="J32" i="194"/>
  <c r="GE32" i="194" s="1"/>
  <c r="BE54" i="194"/>
  <c r="BE53" i="194" s="1"/>
  <c r="BG53" i="194"/>
  <c r="EZ105" i="194"/>
  <c r="EZ102" i="194"/>
  <c r="EZ101" i="194" s="1"/>
  <c r="G12" i="194"/>
  <c r="CT102" i="194" s="1"/>
  <c r="G95" i="194"/>
  <c r="G11" i="194" s="1"/>
  <c r="EN103" i="194"/>
  <c r="C66" i="194"/>
  <c r="FZ101" i="194"/>
  <c r="FW29" i="194"/>
  <c r="ES13" i="194"/>
  <c r="CK29" i="194"/>
  <c r="D36" i="194"/>
  <c r="CQ54" i="194"/>
  <c r="FV17" i="194"/>
  <c r="ES12" i="194"/>
  <c r="ES105" i="194" s="1"/>
  <c r="GE31" i="194"/>
  <c r="CI62" i="194"/>
  <c r="FW17" i="194"/>
  <c r="GE19" i="194"/>
  <c r="J17" i="194"/>
  <c r="D21" i="194"/>
  <c r="FW20" i="194"/>
  <c r="FV21" i="194"/>
  <c r="DO11" i="194"/>
  <c r="D28" i="194"/>
  <c r="D26" i="194" s="1"/>
  <c r="AO11" i="194"/>
  <c r="BA11" i="194"/>
  <c r="CS11" i="194"/>
  <c r="ED11" i="194"/>
  <c r="EL11" i="194"/>
  <c r="FG11" i="194"/>
  <c r="FO11" i="194"/>
  <c r="FZ11" i="194"/>
  <c r="BK11" i="194"/>
  <c r="BQ11" i="194"/>
  <c r="CV11" i="194"/>
  <c r="DA11" i="194"/>
  <c r="CP39" i="194"/>
  <c r="BG38" i="194"/>
  <c r="BE40" i="194"/>
  <c r="BE38" i="194" s="1"/>
  <c r="CK59" i="194"/>
  <c r="CI61" i="194"/>
  <c r="CI59" i="194"/>
  <c r="DH11" i="194"/>
  <c r="DT11" i="194"/>
  <c r="FF11" i="194"/>
  <c r="E12" i="194"/>
  <c r="E65" i="194"/>
  <c r="CI65" i="194"/>
  <c r="FW12" i="194"/>
  <c r="AU77" i="194"/>
  <c r="AU11" i="194" s="1"/>
  <c r="J79" i="194"/>
  <c r="CQ14" i="194"/>
  <c r="CI14" i="194"/>
  <c r="CP70" i="194"/>
  <c r="CQ95" i="194"/>
  <c r="CU11" i="194"/>
  <c r="ES29" i="194"/>
  <c r="ER30" i="194"/>
  <c r="BE79" i="194"/>
  <c r="BE77" i="194" s="1"/>
  <c r="CQ46" i="194"/>
  <c r="CP36" i="194"/>
  <c r="CP42" i="194"/>
  <c r="D56" i="194"/>
  <c r="D38" i="194"/>
  <c r="DQ103" i="194"/>
  <c r="DQ101" i="194" s="1"/>
  <c r="EG101" i="194"/>
  <c r="FF101" i="194"/>
  <c r="FS105" i="194"/>
  <c r="FS103" i="194"/>
  <c r="FS101" i="194"/>
  <c r="CQ85" i="194"/>
  <c r="CP85" i="194"/>
  <c r="GC85" i="194" s="1"/>
  <c r="CQ24" i="194"/>
  <c r="CP24" i="194" s="1"/>
  <c r="J29" i="194"/>
  <c r="M16" i="176" s="1"/>
  <c r="N16" i="176" s="1"/>
  <c r="D31" i="194"/>
  <c r="D29" i="194" s="1"/>
  <c r="BE27" i="194"/>
  <c r="BE26" i="194" s="1"/>
  <c r="BF26" i="194"/>
  <c r="M40" i="174"/>
  <c r="M34" i="174"/>
  <c r="M27" i="174" s="1"/>
  <c r="M11" i="174" s="1"/>
  <c r="D42" i="174"/>
  <c r="D40" i="174" s="1"/>
  <c r="CV102" i="194"/>
  <c r="CV101" i="194" s="1"/>
  <c r="CX102" i="194"/>
  <c r="CX101" i="194" s="1"/>
  <c r="DF102" i="194"/>
  <c r="DJ102" i="194"/>
  <c r="DJ101" i="194" s="1"/>
  <c r="DR102" i="194"/>
  <c r="DV102" i="194"/>
  <c r="DZ102" i="194"/>
  <c r="DZ101" i="194"/>
  <c r="EX11" i="194"/>
  <c r="T11" i="194"/>
  <c r="AN11" i="194"/>
  <c r="DE11" i="194"/>
  <c r="DU11" i="194"/>
  <c r="DY11" i="194"/>
  <c r="CQ33" i="194"/>
  <c r="CQ32" i="194" s="1"/>
  <c r="ET83" i="194"/>
  <c r="FV99" i="194"/>
  <c r="CR35" i="194"/>
  <c r="CI69" i="194"/>
  <c r="CQ67" i="194"/>
  <c r="CP67" i="194" s="1"/>
  <c r="GC67" i="194" s="1"/>
  <c r="FV67" i="194"/>
  <c r="EM105" i="194"/>
  <c r="EN107" i="194"/>
  <c r="EQ101" i="194"/>
  <c r="EE11" i="194"/>
  <c r="GA11" i="194"/>
  <c r="D16" i="194"/>
  <c r="C16" i="194" s="1"/>
  <c r="C14" i="194" s="1"/>
  <c r="CI21" i="194"/>
  <c r="CI20" i="194" s="1"/>
  <c r="ET20" i="194"/>
  <c r="CR20" i="194"/>
  <c r="N11" i="194"/>
  <c r="BU11" i="194"/>
  <c r="BY11" i="194"/>
  <c r="CG11" i="194"/>
  <c r="CX11" i="194"/>
  <c r="DZ11" i="194"/>
  <c r="GE40" i="194"/>
  <c r="CR38" i="194"/>
  <c r="D60" i="194"/>
  <c r="D59" i="194" s="1"/>
  <c r="FV60" i="194"/>
  <c r="FV59" i="194" s="1"/>
  <c r="FX80" i="194"/>
  <c r="CI82" i="194"/>
  <c r="ET80" i="194"/>
  <c r="CW95" i="194"/>
  <c r="ER81" i="194"/>
  <c r="CQ90" i="194"/>
  <c r="FV43" i="194"/>
  <c r="FV41" i="194" s="1"/>
  <c r="ER48" i="194"/>
  <c r="ER47" i="194" s="1"/>
  <c r="CI73" i="194"/>
  <c r="CI71" i="194" s="1"/>
  <c r="C73" i="194"/>
  <c r="ER73" i="194"/>
  <c r="ER71" i="194" s="1"/>
  <c r="DQ11" i="194"/>
  <c r="CQ92" i="194"/>
  <c r="C37" i="194"/>
  <c r="C67" i="194"/>
  <c r="C65" i="194" s="1"/>
  <c r="BE92" i="194"/>
  <c r="C42" i="194"/>
  <c r="CQ35" i="194"/>
  <c r="CP16" i="194"/>
  <c r="CP75" i="194"/>
  <c r="CP74" i="194" s="1"/>
  <c r="C47" i="194"/>
  <c r="BE44" i="194"/>
  <c r="C60" i="194"/>
  <c r="Y16" i="175"/>
  <c r="Z16" i="175" s="1"/>
  <c r="GE50" i="194"/>
  <c r="GE59" i="194"/>
  <c r="CQ100" i="194"/>
  <c r="M27" i="176"/>
  <c r="N27" i="176" s="1"/>
  <c r="GE62" i="194"/>
  <c r="Y36" i="175"/>
  <c r="C63" i="194"/>
  <c r="AQ105" i="194"/>
  <c r="GE35" i="194"/>
  <c r="FV38" i="194"/>
  <c r="CQ68" i="194"/>
  <c r="E13" i="194"/>
  <c r="E92" i="194"/>
  <c r="BE68" i="194"/>
  <c r="ER95" i="194"/>
  <c r="CP57" i="194"/>
  <c r="Y35" i="175"/>
  <c r="Z35" i="175" s="1"/>
  <c r="GE83" i="194"/>
  <c r="DQ105" i="194"/>
  <c r="DQ107" i="194"/>
  <c r="CR103" i="194"/>
  <c r="EV105" i="194"/>
  <c r="EV102" i="194"/>
  <c r="EV101" i="194" s="1"/>
  <c r="DS103" i="194"/>
  <c r="DS101" i="194" s="1"/>
  <c r="AJ105" i="194"/>
  <c r="DY103" i="194"/>
  <c r="DY101" i="194"/>
  <c r="BE65" i="194"/>
  <c r="BE25" i="194"/>
  <c r="BE23" i="194"/>
  <c r="BG13" i="194"/>
  <c r="M30" i="176"/>
  <c r="N30" i="176"/>
  <c r="GE71" i="194"/>
  <c r="Y14" i="175"/>
  <c r="Z14" i="175" s="1"/>
  <c r="FR102" i="194"/>
  <c r="DI105" i="194"/>
  <c r="DI107" i="194"/>
  <c r="DW105" i="194"/>
  <c r="DW107" i="194"/>
  <c r="D22" i="194"/>
  <c r="GE22" i="194"/>
  <c r="FX13" i="194"/>
  <c r="CQ84" i="194"/>
  <c r="CP84" i="194" s="1"/>
  <c r="CP83" i="194" s="1"/>
  <c r="CR12" i="194"/>
  <c r="CR105" i="194" s="1"/>
  <c r="CJ12" i="194"/>
  <c r="FW102" i="194" s="1"/>
  <c r="D92" i="194"/>
  <c r="DA103" i="194"/>
  <c r="DA101" i="194" s="1"/>
  <c r="ER21" i="194"/>
  <c r="ET26" i="194"/>
  <c r="FV28" i="194"/>
  <c r="BE87" i="194"/>
  <c r="CJ83" i="194"/>
  <c r="Y25" i="175"/>
  <c r="Z25" i="175" s="1"/>
  <c r="GE53" i="194"/>
  <c r="CJ80" i="194"/>
  <c r="D90" i="194"/>
  <c r="C90" i="194" s="1"/>
  <c r="C89" i="194" s="1"/>
  <c r="J43" i="194"/>
  <c r="AI41" i="194"/>
  <c r="AI11" i="194" s="1"/>
  <c r="FV71" i="194"/>
  <c r="CQ22" i="194"/>
  <c r="CP22" i="194" s="1"/>
  <c r="C91" i="194"/>
  <c r="CU105" i="194"/>
  <c r="CU102" i="194"/>
  <c r="EO105" i="194"/>
  <c r="EO107" i="194"/>
  <c r="AY11" i="194"/>
  <c r="CZ11" i="194"/>
  <c r="EI11" i="194"/>
  <c r="FH11" i="194"/>
  <c r="AW11" i="194"/>
  <c r="E17" i="194"/>
  <c r="D18" i="194"/>
  <c r="CK17" i="194"/>
  <c r="CI18" i="194"/>
  <c r="FX32" i="194"/>
  <c r="FV33" i="194"/>
  <c r="CP33" i="194" s="1"/>
  <c r="CP32" i="194" s="1"/>
  <c r="CI34" i="194"/>
  <c r="C34" i="194" s="1"/>
  <c r="GC34" i="194" s="1"/>
  <c r="CJ32" i="194"/>
  <c r="J92" i="194"/>
  <c r="GE92" i="194" s="1"/>
  <c r="GE94" i="194"/>
  <c r="CJ95" i="194"/>
  <c r="CI96" i="194"/>
  <c r="CI95" i="194" s="1"/>
  <c r="FX98" i="194"/>
  <c r="FV100" i="194"/>
  <c r="EI13" i="194"/>
  <c r="CW25" i="194"/>
  <c r="CQ25" i="194" s="1"/>
  <c r="BE20" i="194"/>
  <c r="BE33" i="194"/>
  <c r="BE32" i="194" s="1"/>
  <c r="BF32" i="194"/>
  <c r="DZ105" i="194"/>
  <c r="DZ107" i="194"/>
  <c r="FK107" i="194"/>
  <c r="CZ105" i="194"/>
  <c r="CZ107" i="194"/>
  <c r="CQ55" i="194"/>
  <c r="CP55" i="194" s="1"/>
  <c r="BF71" i="194"/>
  <c r="DR13" i="194"/>
  <c r="DR107" i="194" s="1"/>
  <c r="DR56" i="194"/>
  <c r="DR11" i="194" s="1"/>
  <c r="BD95" i="194"/>
  <c r="BD11" i="194" s="1"/>
  <c r="J97" i="194"/>
  <c r="DP107" i="194"/>
  <c r="DP105" i="194"/>
  <c r="V105" i="194"/>
  <c r="DN105" i="194"/>
  <c r="DN107" i="194"/>
  <c r="DS107" i="194"/>
  <c r="ES23" i="194"/>
  <c r="U11" i="175"/>
  <c r="D36" i="175"/>
  <c r="W36" i="175" s="1"/>
  <c r="DS105" i="194"/>
  <c r="DO105" i="194"/>
  <c r="EP103" i="194"/>
  <c r="EP101" i="194" s="1"/>
  <c r="D79" i="194"/>
  <c r="D77" i="194" s="1"/>
  <c r="EP105" i="194"/>
  <c r="J77" i="194"/>
  <c r="D62" i="193"/>
  <c r="CP73" i="193"/>
  <c r="GC73" i="193" s="1"/>
  <c r="CP76" i="193"/>
  <c r="D79" i="193"/>
  <c r="GF78" i="193"/>
  <c r="FL101" i="193"/>
  <c r="CP90" i="193"/>
  <c r="FB101" i="193"/>
  <c r="FV92" i="193"/>
  <c r="FH101" i="193"/>
  <c r="EB101" i="193"/>
  <c r="DF101" i="193"/>
  <c r="FW102" i="193"/>
  <c r="FW101" i="193" s="1"/>
  <c r="CP45" i="193"/>
  <c r="FC101" i="193"/>
  <c r="CX101" i="193"/>
  <c r="GA101" i="193"/>
  <c r="CR103" i="193"/>
  <c r="DW101" i="193"/>
  <c r="EM101" i="193"/>
  <c r="DP101" i="193"/>
  <c r="EW101" i="193"/>
  <c r="DO101" i="193"/>
  <c r="FF101" i="193"/>
  <c r="FK101" i="193"/>
  <c r="ER32" i="193"/>
  <c r="FO101" i="193"/>
  <c r="EU101" i="193"/>
  <c r="FT101" i="193"/>
  <c r="EN101" i="193"/>
  <c r="FP101" i="193"/>
  <c r="EH101" i="193"/>
  <c r="EA101" i="193"/>
  <c r="EP101" i="193"/>
  <c r="ED101" i="193"/>
  <c r="DN101" i="193"/>
  <c r="FV23" i="193"/>
  <c r="FG101" i="193"/>
  <c r="FS101" i="193"/>
  <c r="FZ101" i="193"/>
  <c r="DJ101" i="193"/>
  <c r="D14" i="193"/>
  <c r="D83" i="193"/>
  <c r="CQ71" i="193"/>
  <c r="CP72" i="193"/>
  <c r="CP71" i="193" s="1"/>
  <c r="CP57" i="193"/>
  <c r="CQ56" i="193"/>
  <c r="D26" i="193"/>
  <c r="C55" i="193"/>
  <c r="CI44" i="193"/>
  <c r="D25" i="193"/>
  <c r="D23" i="193" s="1"/>
  <c r="J23" i="193"/>
  <c r="BE89" i="193"/>
  <c r="D59" i="193"/>
  <c r="FV83" i="193"/>
  <c r="D71" i="193"/>
  <c r="BE29" i="193"/>
  <c r="CP33" i="193"/>
  <c r="CI80" i="193"/>
  <c r="CI77" i="193"/>
  <c r="BE80" i="193"/>
  <c r="C69" i="193"/>
  <c r="FV26" i="193"/>
  <c r="D50" i="193"/>
  <c r="BE41" i="193"/>
  <c r="CQ62" i="193"/>
  <c r="J41" i="193"/>
  <c r="D43" i="193"/>
  <c r="D32" i="193"/>
  <c r="FV17" i="193"/>
  <c r="CZ101" i="193"/>
  <c r="D95" i="193"/>
  <c r="C96" i="193"/>
  <c r="C95" i="193" s="1"/>
  <c r="BE61" i="193"/>
  <c r="BG13" i="193"/>
  <c r="CI53" i="193"/>
  <c r="CQ68" i="193"/>
  <c r="CQ43" i="193"/>
  <c r="CP43" i="193" s="1"/>
  <c r="CW41" i="193"/>
  <c r="CQ47" i="193"/>
  <c r="CP48" i="193"/>
  <c r="CP47" i="193" s="1"/>
  <c r="C28" i="193"/>
  <c r="CQ50" i="193"/>
  <c r="AF105" i="194"/>
  <c r="GE79" i="194"/>
  <c r="CI89" i="194"/>
  <c r="CQ20" i="194"/>
  <c r="GE17" i="194"/>
  <c r="C82" i="194"/>
  <c r="EB105" i="194"/>
  <c r="EB103" i="194"/>
  <c r="CI80" i="194"/>
  <c r="CP90" i="194"/>
  <c r="ER29" i="194"/>
  <c r="Y17" i="175"/>
  <c r="Z17" i="175" s="1"/>
  <c r="GE29" i="194"/>
  <c r="CP60" i="194"/>
  <c r="C27" i="194"/>
  <c r="FV95" i="194"/>
  <c r="CP96" i="194"/>
  <c r="CZ103" i="194"/>
  <c r="M17" i="176"/>
  <c r="N17" i="176" s="1"/>
  <c r="CQ79" i="194"/>
  <c r="CP79" i="194" s="1"/>
  <c r="CW77" i="194"/>
  <c r="GE77" i="194" s="1"/>
  <c r="C70" i="194"/>
  <c r="GC70" i="194" s="1"/>
  <c r="CP48" i="194"/>
  <c r="CP47" i="194" s="1"/>
  <c r="GC47" i="194" s="1"/>
  <c r="ER20" i="194"/>
  <c r="C96" i="194"/>
  <c r="C87" i="194"/>
  <c r="CQ83" i="194"/>
  <c r="C22" i="194"/>
  <c r="DR105" i="194"/>
  <c r="DR103" i="194"/>
  <c r="DR101" i="194" s="1"/>
  <c r="CU101" i="194"/>
  <c r="D43" i="194"/>
  <c r="FX105" i="194"/>
  <c r="J95" i="194"/>
  <c r="D97" i="194"/>
  <c r="D95" i="194" s="1"/>
  <c r="EI103" i="194"/>
  <c r="EI101" i="194" s="1"/>
  <c r="FV32" i="194"/>
  <c r="D89" i="194"/>
  <c r="C25" i="193"/>
  <c r="CP58" i="194" l="1"/>
  <c r="GC58" i="194" s="1"/>
  <c r="CQ56" i="194"/>
  <c r="O40" i="174"/>
  <c r="CQ23" i="194"/>
  <c r="GC76" i="193"/>
  <c r="CI32" i="194"/>
  <c r="Y33" i="175"/>
  <c r="Z33" i="175" s="1"/>
  <c r="J13" i="194"/>
  <c r="C51" i="194"/>
  <c r="C50" i="194" s="1"/>
  <c r="AH11" i="194"/>
  <c r="ER26" i="194"/>
  <c r="ER74" i="193"/>
  <c r="GF74" i="193" s="1"/>
  <c r="GF68" i="193"/>
  <c r="BE38" i="193"/>
  <c r="DZ101" i="193"/>
  <c r="C63" i="193"/>
  <c r="N64" i="175"/>
  <c r="N63" i="175" s="1"/>
  <c r="G11" i="174"/>
  <c r="CP52" i="194"/>
  <c r="DH101" i="194"/>
  <c r="ER92" i="194"/>
  <c r="EC101" i="194"/>
  <c r="C84" i="194"/>
  <c r="C83" i="194" s="1"/>
  <c r="GC83" i="194" s="1"/>
  <c r="FT101" i="194"/>
  <c r="ER66" i="194"/>
  <c r="ET65" i="194"/>
  <c r="ER15" i="194"/>
  <c r="BE30" i="194"/>
  <c r="BF12" i="194"/>
  <c r="BF29" i="194"/>
  <c r="GE64" i="194"/>
  <c r="D64" i="194"/>
  <c r="BE33" i="193"/>
  <c r="C33" i="193" s="1"/>
  <c r="BF32" i="193"/>
  <c r="C33" i="194"/>
  <c r="BG12" i="193"/>
  <c r="DW101" i="194"/>
  <c r="EJ103" i="194"/>
  <c r="EJ101" i="194" s="1"/>
  <c r="EJ105" i="194"/>
  <c r="ES14" i="193"/>
  <c r="ER16" i="193"/>
  <c r="GE25" i="194"/>
  <c r="BE27" i="193"/>
  <c r="CW102" i="193"/>
  <c r="FN101" i="193"/>
  <c r="CR12" i="193"/>
  <c r="CP61" i="194"/>
  <c r="CP59" i="194" s="1"/>
  <c r="C93" i="194"/>
  <c r="BG12" i="194"/>
  <c r="CP63" i="194"/>
  <c r="CP62" i="194" s="1"/>
  <c r="GC49" i="194"/>
  <c r="CN11" i="194"/>
  <c r="FR11" i="194"/>
  <c r="CR44" i="194"/>
  <c r="CQ45" i="194"/>
  <c r="CP45" i="194" s="1"/>
  <c r="BG71" i="193"/>
  <c r="GF40" i="193"/>
  <c r="BE75" i="193"/>
  <c r="E12" i="193"/>
  <c r="C11" i="174"/>
  <c r="DX103" i="194"/>
  <c r="DX101" i="194" s="1"/>
  <c r="DX105" i="194"/>
  <c r="FW26" i="194"/>
  <c r="FV27" i="194"/>
  <c r="FM11" i="194"/>
  <c r="D68" i="194"/>
  <c r="FA101" i="193"/>
  <c r="CQ60" i="193"/>
  <c r="N11" i="174"/>
  <c r="Q10" i="175"/>
  <c r="BG50" i="194"/>
  <c r="DD102" i="194"/>
  <c r="CW102" i="194" s="1"/>
  <c r="AT11" i="194"/>
  <c r="CJ50" i="193"/>
  <c r="CI51" i="193"/>
  <c r="C51" i="193" s="1"/>
  <c r="C50" i="193" s="1"/>
  <c r="BF59" i="194"/>
  <c r="BE61" i="194"/>
  <c r="D41" i="193"/>
  <c r="CQ77" i="194"/>
  <c r="CP19" i="194"/>
  <c r="CP78" i="194"/>
  <c r="C54" i="194"/>
  <c r="CZ101" i="194"/>
  <c r="C84" i="193"/>
  <c r="C83" i="193" s="1"/>
  <c r="M32" i="176"/>
  <c r="N32" i="176" s="1"/>
  <c r="CP21" i="194"/>
  <c r="CP20" i="194" s="1"/>
  <c r="CP66" i="193"/>
  <c r="I53" i="176"/>
  <c r="D42" i="175"/>
  <c r="W42" i="175" s="1"/>
  <c r="H12" i="174"/>
  <c r="D64" i="175"/>
  <c r="FN102" i="194"/>
  <c r="FN101" i="194" s="1"/>
  <c r="CQ53" i="194"/>
  <c r="Z36" i="175"/>
  <c r="CQ29" i="194"/>
  <c r="M105" i="194"/>
  <c r="FD101" i="193"/>
  <c r="FJ101" i="193"/>
  <c r="CK11" i="194"/>
  <c r="CQ95" i="193"/>
  <c r="CK12" i="193"/>
  <c r="FX102" i="193" s="1"/>
  <c r="EX101" i="193"/>
  <c r="H40" i="176"/>
  <c r="H36" i="176" s="1"/>
  <c r="BF13" i="194"/>
  <c r="EN102" i="194"/>
  <c r="EN101" i="194" s="1"/>
  <c r="EW103" i="194"/>
  <c r="J20" i="194"/>
  <c r="ER35" i="194"/>
  <c r="I34" i="174"/>
  <c r="I27" i="174" s="1"/>
  <c r="I11" i="174" s="1"/>
  <c r="CI90" i="193"/>
  <c r="CI89" i="193" s="1"/>
  <c r="BE95" i="193"/>
  <c r="CI50" i="193"/>
  <c r="BE32" i="193"/>
  <c r="GF32" i="193" s="1"/>
  <c r="GF34" i="193"/>
  <c r="FV98" i="194"/>
  <c r="C31" i="194"/>
  <c r="GC31" i="194" s="1"/>
  <c r="C21" i="194"/>
  <c r="D76" i="194"/>
  <c r="C76" i="194" s="1"/>
  <c r="GC76" i="194" s="1"/>
  <c r="CP93" i="194"/>
  <c r="GC93" i="194" s="1"/>
  <c r="O36" i="174"/>
  <c r="D35" i="174"/>
  <c r="O35" i="174" s="1"/>
  <c r="O11" i="194"/>
  <c r="R11" i="194"/>
  <c r="AD11" i="194"/>
  <c r="AP11" i="194"/>
  <c r="BB11" i="194"/>
  <c r="BS11" i="194"/>
  <c r="CE11" i="194"/>
  <c r="CY11" i="194"/>
  <c r="DK11" i="194"/>
  <c r="FL11" i="194"/>
  <c r="CJ35" i="193"/>
  <c r="CI37" i="193"/>
  <c r="CI35" i="193" s="1"/>
  <c r="CW56" i="194"/>
  <c r="GE58" i="194"/>
  <c r="GE41" i="193"/>
  <c r="C80" i="194"/>
  <c r="FV26" i="194"/>
  <c r="C97" i="194"/>
  <c r="GC97" i="194" s="1"/>
  <c r="C43" i="193"/>
  <c r="GC43" i="193" s="1"/>
  <c r="GE43" i="194"/>
  <c r="DF101" i="194"/>
  <c r="G9" i="176"/>
  <c r="ER62" i="194"/>
  <c r="CQ86" i="194"/>
  <c r="FW86" i="194"/>
  <c r="FV87" i="194"/>
  <c r="FV86" i="194" s="1"/>
  <c r="ER91" i="194"/>
  <c r="CP91" i="194" s="1"/>
  <c r="ES89" i="194"/>
  <c r="C45" i="194"/>
  <c r="BE88" i="194"/>
  <c r="BF86" i="194"/>
  <c r="CW13" i="194"/>
  <c r="J41" i="194"/>
  <c r="GD12" i="194"/>
  <c r="CQ65" i="194"/>
  <c r="D14" i="194"/>
  <c r="H27" i="174"/>
  <c r="Y12" i="175"/>
  <c r="Z12" i="175" s="1"/>
  <c r="GE14" i="194"/>
  <c r="FY105" i="194"/>
  <c r="FY102" i="194"/>
  <c r="FY101" i="194" s="1"/>
  <c r="DB105" i="194"/>
  <c r="DB103" i="194"/>
  <c r="DB101" i="194" s="1"/>
  <c r="FH105" i="194"/>
  <c r="FB107" i="194" s="1"/>
  <c r="FH103" i="194"/>
  <c r="BG83" i="194"/>
  <c r="BE84" i="194"/>
  <c r="BE83" i="194" s="1"/>
  <c r="FU23" i="194"/>
  <c r="FU11" i="194" s="1"/>
  <c r="FU13" i="194"/>
  <c r="FU105" i="194" s="1"/>
  <c r="ET100" i="194"/>
  <c r="FN98" i="194"/>
  <c r="FX98" i="193"/>
  <c r="GF38" i="193"/>
  <c r="CW23" i="194"/>
  <c r="CP95" i="194"/>
  <c r="CI23" i="193"/>
  <c r="BF11" i="194"/>
  <c r="BF12" i="193"/>
  <c r="DK101" i="193"/>
  <c r="D12" i="174"/>
  <c r="O12" i="174" s="1"/>
  <c r="GA105" i="194"/>
  <c r="GA103" i="194"/>
  <c r="GA101" i="194" s="1"/>
  <c r="DB11" i="194"/>
  <c r="DN11" i="194"/>
  <c r="FC11" i="194"/>
  <c r="CJ13" i="194"/>
  <c r="CJ17" i="194"/>
  <c r="CJ11" i="194" s="1"/>
  <c r="CI19" i="194"/>
  <c r="CI78" i="194"/>
  <c r="CJ77" i="194"/>
  <c r="D69" i="194"/>
  <c r="D12" i="194" s="1"/>
  <c r="J68" i="194"/>
  <c r="CJ68" i="193"/>
  <c r="CI70" i="193"/>
  <c r="C70" i="193" s="1"/>
  <c r="C68" i="193" s="1"/>
  <c r="Q11" i="194"/>
  <c r="DJ11" i="194"/>
  <c r="EH11" i="194"/>
  <c r="FX12" i="194"/>
  <c r="FX102" i="194" s="1"/>
  <c r="FX101" i="194" s="1"/>
  <c r="C50" i="176"/>
  <c r="C40" i="176" s="1"/>
  <c r="C36" i="176" s="1"/>
  <c r="W23" i="183"/>
  <c r="CI30" i="194"/>
  <c r="ET71" i="194"/>
  <c r="ER15" i="193"/>
  <c r="GE17" i="193"/>
  <c r="CI19" i="193"/>
  <c r="CI22" i="193"/>
  <c r="GE26" i="193"/>
  <c r="ER28" i="193"/>
  <c r="ER26" i="193" s="1"/>
  <c r="FX32" i="193"/>
  <c r="FW38" i="193"/>
  <c r="CI58" i="193"/>
  <c r="CI56" i="193" s="1"/>
  <c r="BE64" i="193"/>
  <c r="BE79" i="193"/>
  <c r="CQ82" i="193"/>
  <c r="CQ80" i="193" s="1"/>
  <c r="ER85" i="193"/>
  <c r="CP85" i="193" s="1"/>
  <c r="GC85" i="193" s="1"/>
  <c r="FV100" i="193"/>
  <c r="C39" i="194"/>
  <c r="FO101" i="194"/>
  <c r="FV23" i="194"/>
  <c r="S11" i="194"/>
  <c r="CF11" i="194"/>
  <c r="EJ11" i="194"/>
  <c r="FA11" i="194"/>
  <c r="FX26" i="194"/>
  <c r="ET95" i="194"/>
  <c r="ER20" i="193"/>
  <c r="ET23" i="193"/>
  <c r="BG32" i="193"/>
  <c r="D45" i="193"/>
  <c r="FW44" i="193"/>
  <c r="J47" i="193"/>
  <c r="CR56" i="193"/>
  <c r="CI64" i="193"/>
  <c r="CI62" i="193" s="1"/>
  <c r="FW74" i="193"/>
  <c r="CR99" i="193"/>
  <c r="ET100" i="193"/>
  <c r="CP87" i="194"/>
  <c r="CP86" i="194" s="1"/>
  <c r="AF11" i="194"/>
  <c r="E32" i="194"/>
  <c r="E11" i="194" s="1"/>
  <c r="J74" i="194"/>
  <c r="CR77" i="194"/>
  <c r="GD77" i="194" s="1"/>
  <c r="ET35" i="194"/>
  <c r="E71" i="194"/>
  <c r="BG62" i="194"/>
  <c r="E14" i="193"/>
  <c r="E11" i="193" s="1"/>
  <c r="FX14" i="193"/>
  <c r="GE19" i="193"/>
  <c r="ET20" i="193"/>
  <c r="GE22" i="193"/>
  <c r="CW25" i="193"/>
  <c r="ER35" i="193"/>
  <c r="CI67" i="193"/>
  <c r="C67" i="193" s="1"/>
  <c r="CQ99" i="194"/>
  <c r="CQ98" i="194" s="1"/>
  <c r="Z23" i="175"/>
  <c r="ER17" i="193"/>
  <c r="CR77" i="193"/>
  <c r="GD77" i="193" s="1"/>
  <c r="CK89" i="193"/>
  <c r="FE101" i="194"/>
  <c r="D12" i="170"/>
  <c r="D11" i="170" s="1"/>
  <c r="E20" i="170"/>
  <c r="J37" i="175"/>
  <c r="J10" i="175" s="1"/>
  <c r="I11" i="194"/>
  <c r="BI11" i="194"/>
  <c r="BW11" i="194"/>
  <c r="CL11" i="194"/>
  <c r="DC11" i="194"/>
  <c r="EA11" i="194"/>
  <c r="EM11" i="194"/>
  <c r="FD11" i="194"/>
  <c r="FP11" i="194"/>
  <c r="J26" i="194"/>
  <c r="FV30" i="194"/>
  <c r="D21" i="193"/>
  <c r="FV21" i="193"/>
  <c r="CI31" i="193"/>
  <c r="C31" i="193" s="1"/>
  <c r="CI34" i="193"/>
  <c r="CI32" i="193" s="1"/>
  <c r="D39" i="193"/>
  <c r="ET44" i="193"/>
  <c r="E47" i="193"/>
  <c r="ER54" i="193"/>
  <c r="ER53" i="193" s="1"/>
  <c r="GE70" i="193"/>
  <c r="BE76" i="193"/>
  <c r="C76" i="193" s="1"/>
  <c r="FV78" i="193"/>
  <c r="FV81" i="193"/>
  <c r="CP81" i="193" s="1"/>
  <c r="CI88" i="193"/>
  <c r="CI86" i="193" s="1"/>
  <c r="D93" i="193"/>
  <c r="I41" i="175"/>
  <c r="I37" i="175" s="1"/>
  <c r="I10" i="175" s="1"/>
  <c r="FE11" i="194"/>
  <c r="FQ11" i="194"/>
  <c r="FX29" i="194"/>
  <c r="D18" i="175"/>
  <c r="GE29" i="193"/>
  <c r="GE32" i="193"/>
  <c r="FW59" i="193"/>
  <c r="D65" i="193"/>
  <c r="E92" i="193"/>
  <c r="CP40" i="194"/>
  <c r="CP38" i="194" s="1"/>
  <c r="E34" i="174"/>
  <c r="E27" i="174" s="1"/>
  <c r="E11" i="174" s="1"/>
  <c r="X11" i="194"/>
  <c r="AJ11" i="194"/>
  <c r="CQ26" i="193"/>
  <c r="ER30" i="193"/>
  <c r="ER29" i="193" s="1"/>
  <c r="CQ67" i="193"/>
  <c r="FX68" i="193"/>
  <c r="D78" i="193"/>
  <c r="D82" i="193"/>
  <c r="D80" i="193" s="1"/>
  <c r="CQ91" i="193"/>
  <c r="CQ89" i="193" s="1"/>
  <c r="BG95" i="193"/>
  <c r="FV99" i="193"/>
  <c r="FV98" i="193" s="1"/>
  <c r="P10" i="175"/>
  <c r="FV44" i="194"/>
  <c r="G41" i="175"/>
  <c r="G37" i="175" s="1"/>
  <c r="G10" i="175" s="1"/>
  <c r="Y11" i="194"/>
  <c r="AK11" i="194"/>
  <c r="BN11" i="194"/>
  <c r="DF11" i="194"/>
  <c r="ER54" i="194"/>
  <c r="J44" i="194"/>
  <c r="Z21" i="175"/>
  <c r="CI18" i="193"/>
  <c r="CI17" i="193" s="1"/>
  <c r="M35" i="193"/>
  <c r="M11" i="193" s="1"/>
  <c r="CK44" i="193"/>
  <c r="BE49" i="193"/>
  <c r="BE47" i="193" s="1"/>
  <c r="FV51" i="193"/>
  <c r="ER55" i="193"/>
  <c r="J58" i="193"/>
  <c r="BE60" i="193"/>
  <c r="ER67" i="193"/>
  <c r="GF67" i="193" s="1"/>
  <c r="E74" i="193"/>
  <c r="ER79" i="193"/>
  <c r="ER77" i="193" s="1"/>
  <c r="CQ84" i="193"/>
  <c r="CP84" i="193" s="1"/>
  <c r="ER87" i="193"/>
  <c r="ER86" i="193" s="1"/>
  <c r="GE88" i="193"/>
  <c r="D90" i="193"/>
  <c r="FX89" i="193"/>
  <c r="BE94" i="193"/>
  <c r="BE92" i="193" s="1"/>
  <c r="ER89" i="194"/>
  <c r="ER38" i="194"/>
  <c r="L63" i="175"/>
  <c r="L10" i="175" s="1"/>
  <c r="T41" i="175"/>
  <c r="T37" i="175" s="1"/>
  <c r="T10" i="175" s="1"/>
  <c r="Z11" i="194"/>
  <c r="BO11" i="194"/>
  <c r="CT11" i="194"/>
  <c r="DG11" i="194"/>
  <c r="DS11" i="194"/>
  <c r="EQ11" i="194"/>
  <c r="ET74" i="194"/>
  <c r="CI36" i="194"/>
  <c r="CI35" i="194" s="1"/>
  <c r="CR41" i="194"/>
  <c r="CQ72" i="194"/>
  <c r="E29" i="193"/>
  <c r="ER42" i="193"/>
  <c r="BG44" i="193"/>
  <c r="CJ95" i="193"/>
  <c r="C56" i="194"/>
  <c r="AA11" i="194"/>
  <c r="AM11" i="194"/>
  <c r="BP11" i="194"/>
  <c r="EF11" i="194"/>
  <c r="EU11" i="194"/>
  <c r="FI11" i="194"/>
  <c r="ET17" i="194"/>
  <c r="CQ27" i="194"/>
  <c r="CQ26" i="194" s="1"/>
  <c r="CR65" i="194"/>
  <c r="CR11" i="194" s="1"/>
  <c r="N24" i="176"/>
  <c r="CQ43" i="194"/>
  <c r="CQ13" i="194" s="1"/>
  <c r="ER68" i="194"/>
  <c r="V41" i="175"/>
  <c r="V37" i="175" s="1"/>
  <c r="V10" i="175" s="1"/>
  <c r="M8" i="176" s="1"/>
  <c r="N8" i="176" s="1"/>
  <c r="CK56" i="193"/>
  <c r="CI59" i="193"/>
  <c r="BE62" i="193"/>
  <c r="ET74" i="193"/>
  <c r="DI101" i="194"/>
  <c r="DT101" i="194"/>
  <c r="D44" i="194"/>
  <c r="FV50" i="194"/>
  <c r="C170" i="170"/>
  <c r="C40" i="170" s="1"/>
  <c r="S63" i="175"/>
  <c r="DP102" i="194"/>
  <c r="DP101" i="194" s="1"/>
  <c r="P11" i="194"/>
  <c r="FX20" i="194"/>
  <c r="ET25" i="194"/>
  <c r="ET23" i="194" s="1"/>
  <c r="ET11" i="194" s="1"/>
  <c r="BG29" i="194"/>
  <c r="BG11" i="194" s="1"/>
  <c r="CI55" i="194"/>
  <c r="C55" i="194" s="1"/>
  <c r="GC55" i="194" s="1"/>
  <c r="ES80" i="194"/>
  <c r="ES17" i="194"/>
  <c r="ES11" i="194" s="1"/>
  <c r="CI46" i="194"/>
  <c r="FV69" i="194"/>
  <c r="GE16" i="193"/>
  <c r="CQ18" i="193"/>
  <c r="FV34" i="193"/>
  <c r="ES47" i="193"/>
  <c r="BE58" i="193"/>
  <c r="BG68" i="193"/>
  <c r="J71" i="193"/>
  <c r="GE71" i="193" s="1"/>
  <c r="CR95" i="193"/>
  <c r="BF95" i="193"/>
  <c r="E15" i="180"/>
  <c r="G9" i="178"/>
  <c r="D8" i="180"/>
  <c r="C8" i="180"/>
  <c r="L9" i="178"/>
  <c r="K9" i="178"/>
  <c r="K40" i="176"/>
  <c r="D170" i="170"/>
  <c r="E25" i="170"/>
  <c r="D10" i="170"/>
  <c r="C10" i="170"/>
  <c r="E11" i="170"/>
  <c r="E12" i="170"/>
  <c r="K20" i="172"/>
  <c r="J157" i="172"/>
  <c r="K153" i="172"/>
  <c r="K13" i="172"/>
  <c r="J20" i="172"/>
  <c r="H40" i="172"/>
  <c r="F41" i="172"/>
  <c r="D40" i="172" s="1"/>
  <c r="C25" i="172"/>
  <c r="I25" i="172" s="1"/>
  <c r="E12" i="172"/>
  <c r="C13" i="172"/>
  <c r="H10" i="172"/>
  <c r="G12" i="172"/>
  <c r="F24" i="183"/>
  <c r="AD24" i="183" s="1"/>
  <c r="M16" i="183"/>
  <c r="I20" i="183"/>
  <c r="F22" i="183"/>
  <c r="AD22" i="183" s="1"/>
  <c r="H27" i="183"/>
  <c r="W25" i="183"/>
  <c r="P19" i="183"/>
  <c r="P17" i="183"/>
  <c r="AC15" i="183"/>
  <c r="AC11" i="183" s="1"/>
  <c r="P14" i="183"/>
  <c r="P13" i="183" s="1"/>
  <c r="P12" i="183" s="1"/>
  <c r="P20" i="183"/>
  <c r="P18" i="183"/>
  <c r="H21" i="183"/>
  <c r="AF21" i="183" s="1"/>
  <c r="H25" i="183"/>
  <c r="AF25" i="183" s="1"/>
  <c r="AA16" i="183"/>
  <c r="AA15" i="183" s="1"/>
  <c r="AA11" i="183" s="1"/>
  <c r="W21" i="183"/>
  <c r="G18" i="183"/>
  <c r="I19" i="183"/>
  <c r="I25" i="183"/>
  <c r="I17" i="183"/>
  <c r="Z15" i="183"/>
  <c r="Z11" i="183" s="1"/>
  <c r="T13" i="183"/>
  <c r="T12" i="183" s="1"/>
  <c r="H14" i="183"/>
  <c r="H13" i="183" s="1"/>
  <c r="H12" i="183" s="1"/>
  <c r="P27" i="183"/>
  <c r="H18" i="183"/>
  <c r="H23" i="183"/>
  <c r="AF23" i="183" s="1"/>
  <c r="E15" i="183"/>
  <c r="AB15" i="183"/>
  <c r="AB11" i="183" s="1"/>
  <c r="I14" i="183"/>
  <c r="I13" i="183" s="1"/>
  <c r="I12" i="183" s="1"/>
  <c r="D15" i="183"/>
  <c r="W18" i="183"/>
  <c r="F23" i="183"/>
  <c r="AD23" i="183" s="1"/>
  <c r="I23" i="183"/>
  <c r="H20" i="183"/>
  <c r="AF20" i="183" s="1"/>
  <c r="I18" i="183"/>
  <c r="Q16" i="183"/>
  <c r="Q15" i="183" s="1"/>
  <c r="Q11" i="183" s="1"/>
  <c r="C16" i="183"/>
  <c r="C15" i="183" s="1"/>
  <c r="W20" i="183"/>
  <c r="E11" i="183"/>
  <c r="H19" i="183"/>
  <c r="AF19" i="183" s="1"/>
  <c r="X16" i="183"/>
  <c r="X15" i="183" s="1"/>
  <c r="H17" i="183"/>
  <c r="AF17" i="183" s="1"/>
  <c r="I27" i="183"/>
  <c r="P21" i="183"/>
  <c r="S15" i="183"/>
  <c r="S11" i="183" s="1"/>
  <c r="I21" i="183"/>
  <c r="W27" i="183"/>
  <c r="G27" i="183" s="1"/>
  <c r="F27" i="183" s="1"/>
  <c r="D11" i="183"/>
  <c r="I35" i="176"/>
  <c r="C10" i="176"/>
  <c r="F9" i="176"/>
  <c r="C66" i="176"/>
  <c r="C62" i="176" s="1"/>
  <c r="I67" i="176"/>
  <c r="I66" i="176" s="1"/>
  <c r="H9" i="176"/>
  <c r="S10" i="175"/>
  <c r="U10" i="175"/>
  <c r="Z10" i="175" s="1"/>
  <c r="AA10" i="175" s="1"/>
  <c r="W14" i="183"/>
  <c r="W13" i="183" s="1"/>
  <c r="W12" i="183" s="1"/>
  <c r="G14" i="183"/>
  <c r="F14" i="183" s="1"/>
  <c r="W17" i="183"/>
  <c r="T16" i="183"/>
  <c r="T15" i="183" s="1"/>
  <c r="P23" i="183"/>
  <c r="P25" i="183"/>
  <c r="U15" i="183"/>
  <c r="U11" i="183" s="1"/>
  <c r="N15" i="183"/>
  <c r="N11" i="183" s="1"/>
  <c r="M15" i="183"/>
  <c r="R15" i="183"/>
  <c r="R11" i="183" s="1"/>
  <c r="K15" i="183"/>
  <c r="K11" i="183" s="1"/>
  <c r="J16" i="183"/>
  <c r="J15" i="183" s="1"/>
  <c r="J11" i="183" s="1"/>
  <c r="CP81" i="194"/>
  <c r="CP80" i="194" s="1"/>
  <c r="GC80" i="194" s="1"/>
  <c r="ER80" i="194"/>
  <c r="CT101" i="194"/>
  <c r="CR102" i="194"/>
  <c r="CP92" i="194"/>
  <c r="C19" i="193"/>
  <c r="CI92" i="194"/>
  <c r="C94" i="194"/>
  <c r="C92" i="194" s="1"/>
  <c r="D20" i="194"/>
  <c r="C28" i="194"/>
  <c r="C26" i="194" s="1"/>
  <c r="CW98" i="193"/>
  <c r="C79" i="194"/>
  <c r="GC22" i="194"/>
  <c r="FV20" i="194"/>
  <c r="M12" i="176"/>
  <c r="N12" i="176" s="1"/>
  <c r="J11" i="194"/>
  <c r="CQ17" i="194"/>
  <c r="CQ12" i="194"/>
  <c r="GF44" i="194"/>
  <c r="BE71" i="193"/>
  <c r="C72" i="193"/>
  <c r="C71" i="193" s="1"/>
  <c r="GC71" i="193" s="1"/>
  <c r="C81" i="193"/>
  <c r="FV53" i="193"/>
  <c r="ER23" i="193"/>
  <c r="GF23" i="193" s="1"/>
  <c r="GC19" i="193"/>
  <c r="C14" i="193"/>
  <c r="EI101" i="193"/>
  <c r="ET103" i="193"/>
  <c r="ET101" i="193" s="1"/>
  <c r="CR102" i="193"/>
  <c r="CT101" i="193"/>
  <c r="D17" i="193"/>
  <c r="GC97" i="193"/>
  <c r="GC82" i="194"/>
  <c r="GC16" i="194"/>
  <c r="CP56" i="193"/>
  <c r="D35" i="194"/>
  <c r="C36" i="194"/>
  <c r="BE86" i="193"/>
  <c r="C87" i="193"/>
  <c r="BE74" i="193"/>
  <c r="C75" i="193"/>
  <c r="C74" i="193" s="1"/>
  <c r="GC74" i="193" s="1"/>
  <c r="C29" i="193"/>
  <c r="GC31" i="193"/>
  <c r="D63" i="175"/>
  <c r="W63" i="175" s="1"/>
  <c r="W64" i="175"/>
  <c r="GC90" i="194"/>
  <c r="CP17" i="194"/>
  <c r="C20" i="194"/>
  <c r="GC20" i="194" s="1"/>
  <c r="CI47" i="193"/>
  <c r="C48" i="193"/>
  <c r="CW103" i="194"/>
  <c r="CQ103" i="194" s="1"/>
  <c r="CP103" i="194" s="1"/>
  <c r="EI105" i="194"/>
  <c r="ED107" i="194"/>
  <c r="FR101" i="194"/>
  <c r="ES102" i="194"/>
  <c r="C71" i="194"/>
  <c r="GC73" i="194"/>
  <c r="C69" i="194"/>
  <c r="C68" i="194" s="1"/>
  <c r="CI68" i="194"/>
  <c r="DV101" i="194"/>
  <c r="C23" i="193"/>
  <c r="CW11" i="194"/>
  <c r="GC79" i="194"/>
  <c r="CQ41" i="193"/>
  <c r="ER12" i="194"/>
  <c r="C43" i="194"/>
  <c r="C41" i="194" s="1"/>
  <c r="D41" i="194"/>
  <c r="C32" i="194"/>
  <c r="GC32" i="194" s="1"/>
  <c r="CI12" i="194"/>
  <c r="CP56" i="194"/>
  <c r="GC56" i="194" s="1"/>
  <c r="ER102" i="193"/>
  <c r="C18" i="194"/>
  <c r="D17" i="194"/>
  <c r="FV65" i="194"/>
  <c r="FV13" i="194"/>
  <c r="CQ44" i="194"/>
  <c r="CP46" i="194"/>
  <c r="C40" i="194"/>
  <c r="BE13" i="194"/>
  <c r="GG32" i="194"/>
  <c r="I50" i="176"/>
  <c r="I40" i="176" s="1"/>
  <c r="I36" i="176" s="1"/>
  <c r="J27" i="174"/>
  <c r="J11" i="174" s="1"/>
  <c r="GF38" i="194"/>
  <c r="CP24" i="193"/>
  <c r="K10" i="176"/>
  <c r="N41" i="175"/>
  <c r="N37" i="175" s="1"/>
  <c r="N10" i="175" s="1"/>
  <c r="CQ83" i="193"/>
  <c r="I62" i="176"/>
  <c r="I10" i="176"/>
  <c r="C10" i="175"/>
  <c r="GE65" i="194"/>
  <c r="M28" i="176"/>
  <c r="N28" i="176" s="1"/>
  <c r="CI83" i="194"/>
  <c r="GF32" i="194"/>
  <c r="GF77" i="194"/>
  <c r="GF79" i="194"/>
  <c r="Z27" i="175"/>
  <c r="W27" i="175"/>
  <c r="GF61" i="194"/>
  <c r="GG34" i="194"/>
  <c r="C24" i="194"/>
  <c r="CS101" i="194"/>
  <c r="DL101" i="194"/>
  <c r="W11" i="194"/>
  <c r="GF74" i="194"/>
  <c r="ET102" i="194"/>
  <c r="CP37" i="194"/>
  <c r="O10" i="175"/>
  <c r="EF101" i="194"/>
  <c r="AR11" i="194"/>
  <c r="W52" i="175"/>
  <c r="D51" i="175"/>
  <c r="W51" i="175" s="1"/>
  <c r="GG94" i="194"/>
  <c r="GF92" i="194"/>
  <c r="GF78" i="194"/>
  <c r="BR11" i="194"/>
  <c r="BV11" i="194"/>
  <c r="CD11" i="194"/>
  <c r="DV11" i="194"/>
  <c r="FW103" i="194"/>
  <c r="FW101" i="194" s="1"/>
  <c r="G19" i="183"/>
  <c r="L15" i="183"/>
  <c r="L11" i="183" s="1"/>
  <c r="EC105" i="194"/>
  <c r="FX17" i="194"/>
  <c r="FX11" i="194" s="1"/>
  <c r="Z20" i="175"/>
  <c r="GF40" i="194"/>
  <c r="G25" i="183"/>
  <c r="G17" i="183"/>
  <c r="CW12" i="194"/>
  <c r="E11" i="180"/>
  <c r="G153" i="172"/>
  <c r="F34" i="174"/>
  <c r="F27" i="174" s="1"/>
  <c r="F11" i="174" s="1"/>
  <c r="D54" i="175"/>
  <c r="W55" i="175"/>
  <c r="G20" i="183"/>
  <c r="V15" i="183"/>
  <c r="V11" i="183" s="1"/>
  <c r="O15" i="183"/>
  <c r="O11" i="183" s="1"/>
  <c r="EQ105" i="194"/>
  <c r="GB11" i="194"/>
  <c r="G21" i="183"/>
  <c r="AE21" i="183" s="1"/>
  <c r="EK11" i="194"/>
  <c r="F13" i="183"/>
  <c r="F12" i="183" s="1"/>
  <c r="G13" i="183"/>
  <c r="G12" i="183" s="1"/>
  <c r="CI29" i="194"/>
  <c r="Y11" i="183"/>
  <c r="D25" i="194"/>
  <c r="D23" i="194" s="1"/>
  <c r="M13" i="183"/>
  <c r="M12" i="183" s="1"/>
  <c r="X13" i="183"/>
  <c r="X12" i="183" s="1"/>
  <c r="GF43" i="194"/>
  <c r="K37" i="176"/>
  <c r="K36" i="176" s="1"/>
  <c r="FW53" i="194"/>
  <c r="FW11" i="194" s="1"/>
  <c r="GE20" i="193"/>
  <c r="D37" i="193"/>
  <c r="GE37" i="193"/>
  <c r="GF68" i="194"/>
  <c r="GF70" i="194"/>
  <c r="GF46" i="194"/>
  <c r="GE44" i="193"/>
  <c r="GE58" i="193"/>
  <c r="GF79" i="193"/>
  <c r="ER91" i="193"/>
  <c r="CP91" i="193" s="1"/>
  <c r="GC91" i="193" s="1"/>
  <c r="CM92" i="193"/>
  <c r="CM11" i="193" s="1"/>
  <c r="CK94" i="193"/>
  <c r="CQ99" i="193"/>
  <c r="CR98" i="193"/>
  <c r="GF67" i="194"/>
  <c r="CQ34" i="193"/>
  <c r="FV36" i="193"/>
  <c r="CQ40" i="193"/>
  <c r="BG41" i="193"/>
  <c r="BG47" i="193"/>
  <c r="CW53" i="193"/>
  <c r="CQ55" i="193"/>
  <c r="BF59" i="193"/>
  <c r="BF11" i="193" s="1"/>
  <c r="FV65" i="193"/>
  <c r="FW80" i="193"/>
  <c r="FV82" i="193"/>
  <c r="DA103" i="193"/>
  <c r="CW103" i="193" s="1"/>
  <c r="CQ103" i="193" s="1"/>
  <c r="CP103" i="193" s="1"/>
  <c r="CJ14" i="193"/>
  <c r="CQ16" i="193"/>
  <c r="FX20" i="193"/>
  <c r="GE28" i="193"/>
  <c r="ET35" i="193"/>
  <c r="CW38" i="193"/>
  <c r="GE38" i="193" s="1"/>
  <c r="CJ41" i="193"/>
  <c r="BE46" i="193"/>
  <c r="BE44" i="193" s="1"/>
  <c r="BG62" i="193"/>
  <c r="ET71" i="193"/>
  <c r="CW79" i="193"/>
  <c r="EH77" i="193"/>
  <c r="EH11" i="193" s="1"/>
  <c r="ER83" i="193"/>
  <c r="CQ94" i="193"/>
  <c r="CW92" i="193"/>
  <c r="GE92" i="193" s="1"/>
  <c r="GE94" i="193"/>
  <c r="ER46" i="193"/>
  <c r="D54" i="193"/>
  <c r="BE57" i="193"/>
  <c r="ER61" i="193"/>
  <c r="FV63" i="193"/>
  <c r="BE66" i="193"/>
  <c r="GE68" i="193"/>
  <c r="FV69" i="193"/>
  <c r="FV70" i="193"/>
  <c r="CP70" i="193" s="1"/>
  <c r="GC70" i="193" s="1"/>
  <c r="CI71" i="193"/>
  <c r="FW71" i="193"/>
  <c r="ES77" i="193"/>
  <c r="ET83" i="193"/>
  <c r="FV88" i="193"/>
  <c r="ES92" i="193"/>
  <c r="ER93" i="193"/>
  <c r="ER12" i="193" s="1"/>
  <c r="ER94" i="193"/>
  <c r="ER99" i="193"/>
  <c r="ES98" i="193"/>
  <c r="CR80" i="193"/>
  <c r="CR11" i="193" s="1"/>
  <c r="GD11" i="193" s="1"/>
  <c r="GD11" i="194" l="1"/>
  <c r="CP89" i="194"/>
  <c r="GC89" i="194" s="1"/>
  <c r="GC91" i="194"/>
  <c r="C60" i="193"/>
  <c r="C59" i="193" s="1"/>
  <c r="BE59" i="193"/>
  <c r="D74" i="194"/>
  <c r="CQ71" i="194"/>
  <c r="CP72" i="194"/>
  <c r="CP71" i="194" s="1"/>
  <c r="GC71" i="194" s="1"/>
  <c r="J56" i="193"/>
  <c r="GE56" i="193" s="1"/>
  <c r="J13" i="193"/>
  <c r="D58" i="193"/>
  <c r="W18" i="175"/>
  <c r="D11" i="175"/>
  <c r="W11" i="175" s="1"/>
  <c r="C82" i="193"/>
  <c r="C53" i="194"/>
  <c r="C95" i="194"/>
  <c r="C44" i="194"/>
  <c r="CP27" i="194"/>
  <c r="CP26" i="194" s="1"/>
  <c r="GC46" i="194"/>
  <c r="GE47" i="193"/>
  <c r="M13" i="176"/>
  <c r="N13" i="176" s="1"/>
  <c r="GE20" i="194"/>
  <c r="CP77" i="194"/>
  <c r="GC78" i="194"/>
  <c r="CI53" i="194"/>
  <c r="CI65" i="193"/>
  <c r="D62" i="194"/>
  <c r="D11" i="194" s="1"/>
  <c r="C64" i="194"/>
  <c r="D34" i="174"/>
  <c r="CP51" i="193"/>
  <c r="CP50" i="193" s="1"/>
  <c r="GC50" i="193" s="1"/>
  <c r="FV50" i="193"/>
  <c r="D38" i="193"/>
  <c r="C39" i="193"/>
  <c r="C38" i="193" s="1"/>
  <c r="C22" i="193"/>
  <c r="GC22" i="193" s="1"/>
  <c r="CI20" i="193"/>
  <c r="C34" i="193"/>
  <c r="C32" i="193" s="1"/>
  <c r="EW101" i="194"/>
  <c r="ES103" i="194"/>
  <c r="CI12" i="193"/>
  <c r="CR105" i="193"/>
  <c r="GD12" i="193"/>
  <c r="D44" i="193"/>
  <c r="C45" i="193"/>
  <c r="Z11" i="175"/>
  <c r="AA11" i="175" s="1"/>
  <c r="FU103" i="194"/>
  <c r="FU101" i="194" s="1"/>
  <c r="GC52" i="194"/>
  <c r="CP50" i="194"/>
  <c r="GC50" i="194" s="1"/>
  <c r="C49" i="193"/>
  <c r="GC49" i="193" s="1"/>
  <c r="ET13" i="194"/>
  <c r="ET105" i="194" s="1"/>
  <c r="ER25" i="194"/>
  <c r="C90" i="193"/>
  <c r="D89" i="193"/>
  <c r="M31" i="176"/>
  <c r="N31" i="176" s="1"/>
  <c r="GE74" i="194"/>
  <c r="M29" i="176"/>
  <c r="N29" i="176" s="1"/>
  <c r="GE68" i="194"/>
  <c r="FH101" i="194"/>
  <c r="CP60" i="193"/>
  <c r="CQ59" i="193"/>
  <c r="CI44" i="194"/>
  <c r="C46" i="194"/>
  <c r="Z8" i="175"/>
  <c r="M5" i="176"/>
  <c r="N5" i="176" s="1"/>
  <c r="CP54" i="193"/>
  <c r="D92" i="193"/>
  <c r="C93" i="193"/>
  <c r="FV20" i="193"/>
  <c r="CP21" i="193"/>
  <c r="CP20" i="193" s="1"/>
  <c r="CP15" i="193"/>
  <c r="ER14" i="193"/>
  <c r="BE59" i="194"/>
  <c r="GF59" i="194" s="1"/>
  <c r="C61" i="194"/>
  <c r="BE26" i="193"/>
  <c r="C27" i="193"/>
  <c r="C26" i="193" s="1"/>
  <c r="C30" i="194"/>
  <c r="C29" i="194" s="1"/>
  <c r="BE29" i="194"/>
  <c r="BE12" i="194"/>
  <c r="GF12" i="194" s="1"/>
  <c r="C41" i="193"/>
  <c r="ES11" i="193"/>
  <c r="FX11" i="193"/>
  <c r="CJ11" i="193"/>
  <c r="C21" i="193"/>
  <c r="D20" i="193"/>
  <c r="GE25" i="193"/>
  <c r="CW23" i="193"/>
  <c r="GE23" i="193" s="1"/>
  <c r="CQ25" i="193"/>
  <c r="GE23" i="194"/>
  <c r="Y15" i="175"/>
  <c r="Z15" i="175" s="1"/>
  <c r="M20" i="176"/>
  <c r="N20" i="176" s="1"/>
  <c r="GE41" i="194"/>
  <c r="Y26" i="175"/>
  <c r="Z26" i="175" s="1"/>
  <c r="GE56" i="194"/>
  <c r="CP87" i="193"/>
  <c r="ER14" i="194"/>
  <c r="CP15" i="194"/>
  <c r="CP14" i="194" s="1"/>
  <c r="GC14" i="194" s="1"/>
  <c r="C80" i="193"/>
  <c r="CI13" i="194"/>
  <c r="C9" i="176"/>
  <c r="GG34" i="193"/>
  <c r="FV32" i="193"/>
  <c r="GG32" i="193" s="1"/>
  <c r="CP83" i="193"/>
  <c r="GC83" i="193" s="1"/>
  <c r="FV29" i="194"/>
  <c r="FV11" i="194" s="1"/>
  <c r="GG11" i="194" s="1"/>
  <c r="CP30" i="194"/>
  <c r="CP29" i="194" s="1"/>
  <c r="GC29" i="194" s="1"/>
  <c r="BE77" i="193"/>
  <c r="GF77" i="193" s="1"/>
  <c r="C79" i="193"/>
  <c r="C78" i="194"/>
  <c r="CI77" i="194"/>
  <c r="GF76" i="193"/>
  <c r="GE13" i="194"/>
  <c r="CW105" i="194"/>
  <c r="C88" i="193"/>
  <c r="C86" i="193" s="1"/>
  <c r="CP28" i="193"/>
  <c r="CP99" i="194"/>
  <c r="ER65" i="193"/>
  <c r="C18" i="193"/>
  <c r="C17" i="193" s="1"/>
  <c r="DD101" i="194"/>
  <c r="GE11" i="194"/>
  <c r="CQ17" i="193"/>
  <c r="CQ12" i="193"/>
  <c r="CP18" i="193"/>
  <c r="CP17" i="193" s="1"/>
  <c r="CQ41" i="194"/>
  <c r="CP43" i="194"/>
  <c r="CP41" i="194" s="1"/>
  <c r="M21" i="176"/>
  <c r="N21" i="176" s="1"/>
  <c r="GE44" i="194"/>
  <c r="FV77" i="193"/>
  <c r="CP78" i="193"/>
  <c r="GC78" i="193" s="1"/>
  <c r="M15" i="176"/>
  <c r="N15" i="176" s="1"/>
  <c r="GE26" i="194"/>
  <c r="ET98" i="193"/>
  <c r="ER100" i="193"/>
  <c r="CP100" i="193" s="1"/>
  <c r="C64" i="193"/>
  <c r="C19" i="194"/>
  <c r="GC19" i="194" s="1"/>
  <c r="CI17" i="194"/>
  <c r="CI11" i="194" s="1"/>
  <c r="ER65" i="194"/>
  <c r="GF65" i="194" s="1"/>
  <c r="CP66" i="194"/>
  <c r="CP65" i="194" s="1"/>
  <c r="GC65" i="194" s="1"/>
  <c r="ER100" i="194"/>
  <c r="ET98" i="194"/>
  <c r="ER98" i="193"/>
  <c r="FW11" i="193"/>
  <c r="C77" i="194"/>
  <c r="C9" i="170"/>
  <c r="ER53" i="194"/>
  <c r="CP54" i="194"/>
  <c r="CP53" i="194" s="1"/>
  <c r="GC53" i="194" s="1"/>
  <c r="C78" i="193"/>
  <c r="D77" i="193"/>
  <c r="Z18" i="175"/>
  <c r="C88" i="194"/>
  <c r="BE86" i="194"/>
  <c r="FV12" i="194"/>
  <c r="FV102" i="194" s="1"/>
  <c r="CP67" i="193"/>
  <c r="GC67" i="193" s="1"/>
  <c r="CQ65" i="193"/>
  <c r="T11" i="183"/>
  <c r="FV68" i="194"/>
  <c r="CP69" i="194"/>
  <c r="CP68" i="194" s="1"/>
  <c r="GC68" i="194" s="1"/>
  <c r="ER41" i="193"/>
  <c r="GF41" i="193" s="1"/>
  <c r="CP42" i="193"/>
  <c r="CP41" i="193" s="1"/>
  <c r="GC41" i="193" s="1"/>
  <c r="C74" i="194"/>
  <c r="GC74" i="194" s="1"/>
  <c r="H11" i="174"/>
  <c r="CP30" i="193"/>
  <c r="CP29" i="193" s="1"/>
  <c r="GC29" i="193" s="1"/>
  <c r="CI68" i="193"/>
  <c r="CI29" i="193"/>
  <c r="E8" i="180"/>
  <c r="D40" i="170"/>
  <c r="E40" i="170" s="1"/>
  <c r="E170" i="170"/>
  <c r="E10" i="170"/>
  <c r="K41" i="172"/>
  <c r="J41" i="172"/>
  <c r="E40" i="172"/>
  <c r="K40" i="172" s="1"/>
  <c r="I153" i="172"/>
  <c r="I20" i="172"/>
  <c r="J153" i="172"/>
  <c r="E11" i="172"/>
  <c r="E10" i="172" s="1"/>
  <c r="K12" i="172"/>
  <c r="C12" i="172"/>
  <c r="J12" i="172"/>
  <c r="D11" i="172"/>
  <c r="F40" i="172"/>
  <c r="H9" i="172"/>
  <c r="G40" i="172"/>
  <c r="J40" i="172" s="1"/>
  <c r="F12" i="172"/>
  <c r="G11" i="172"/>
  <c r="F18" i="183"/>
  <c r="AD18" i="183" s="1"/>
  <c r="AF18" i="183"/>
  <c r="F20" i="183"/>
  <c r="AD20" i="183" s="1"/>
  <c r="F25" i="183"/>
  <c r="AD25" i="183" s="1"/>
  <c r="F21" i="183"/>
  <c r="AD21" i="183" s="1"/>
  <c r="X11" i="183"/>
  <c r="M11" i="183"/>
  <c r="F19" i="183"/>
  <c r="AD19" i="183" s="1"/>
  <c r="H16" i="183"/>
  <c r="I16" i="183"/>
  <c r="I15" i="183" s="1"/>
  <c r="I11" i="183" s="1"/>
  <c r="C11" i="183"/>
  <c r="F17" i="183"/>
  <c r="W16" i="183"/>
  <c r="W15" i="183" s="1"/>
  <c r="W11" i="183" s="1"/>
  <c r="P16" i="183"/>
  <c r="P15" i="183" s="1"/>
  <c r="P11" i="183" s="1"/>
  <c r="AA8" i="175"/>
  <c r="C12" i="194"/>
  <c r="C17" i="194"/>
  <c r="GC17" i="194"/>
  <c r="CP61" i="193"/>
  <c r="ER59" i="193"/>
  <c r="GF61" i="193"/>
  <c r="ER13" i="193"/>
  <c r="I9" i="176"/>
  <c r="D13" i="170"/>
  <c r="E13" i="170" s="1"/>
  <c r="GG13" i="194"/>
  <c r="FV105" i="194"/>
  <c r="FV103" i="194"/>
  <c r="BE56" i="193"/>
  <c r="C57" i="193"/>
  <c r="CQ79" i="193"/>
  <c r="CW77" i="193"/>
  <c r="GE77" i="193" s="1"/>
  <c r="CW13" i="193"/>
  <c r="GE79" i="193"/>
  <c r="CP82" i="193"/>
  <c r="FV80" i="193"/>
  <c r="FV13" i="193"/>
  <c r="CP55" i="193"/>
  <c r="GC55" i="193" s="1"/>
  <c r="CQ53" i="193"/>
  <c r="CQ38" i="193"/>
  <c r="CP40" i="193"/>
  <c r="C37" i="193"/>
  <c r="D35" i="193"/>
  <c r="GC37" i="194"/>
  <c r="CP35" i="194"/>
  <c r="GC26" i="194"/>
  <c r="DA101" i="193"/>
  <c r="GC40" i="194"/>
  <c r="C38" i="194"/>
  <c r="GC38" i="194" s="1"/>
  <c r="CP89" i="193"/>
  <c r="GC41" i="194"/>
  <c r="GC36" i="194"/>
  <c r="C35" i="194"/>
  <c r="C46" i="193"/>
  <c r="C44" i="193" s="1"/>
  <c r="ER103" i="193"/>
  <c r="ER101" i="193" s="1"/>
  <c r="GC94" i="194"/>
  <c r="BE13" i="193"/>
  <c r="CP63" i="193"/>
  <c r="CP62" i="193" s="1"/>
  <c r="FV62" i="193"/>
  <c r="GF46" i="193"/>
  <c r="ER44" i="193"/>
  <c r="GF44" i="193" s="1"/>
  <c r="CP46" i="193"/>
  <c r="ET11" i="193"/>
  <c r="BG11" i="193"/>
  <c r="CQ32" i="193"/>
  <c r="CP34" i="193"/>
  <c r="CI94" i="193"/>
  <c r="CK92" i="193"/>
  <c r="CK11" i="193" s="1"/>
  <c r="CK13" i="193"/>
  <c r="FX103" i="193" s="1"/>
  <c r="FX101" i="193" s="1"/>
  <c r="W54" i="175"/>
  <c r="D41" i="175"/>
  <c r="CR101" i="193"/>
  <c r="CQ102" i="193"/>
  <c r="CQ11" i="194"/>
  <c r="CQ102" i="194"/>
  <c r="CR101" i="194"/>
  <c r="GC28" i="194"/>
  <c r="ER92" i="193"/>
  <c r="GF92" i="193" s="1"/>
  <c r="CP93" i="193"/>
  <c r="GF93" i="193"/>
  <c r="FV68" i="193"/>
  <c r="CP69" i="193"/>
  <c r="CP68" i="193" s="1"/>
  <c r="GC68" i="193" s="1"/>
  <c r="FV86" i="193"/>
  <c r="CP88" i="193"/>
  <c r="C66" i="193"/>
  <c r="BE65" i="193"/>
  <c r="BE12" i="193"/>
  <c r="GF12" i="193" s="1"/>
  <c r="D53" i="193"/>
  <c r="C54" i="193"/>
  <c r="C53" i="193" s="1"/>
  <c r="D12" i="193"/>
  <c r="CQ92" i="193"/>
  <c r="CP94" i="193"/>
  <c r="CQ14" i="193"/>
  <c r="CP16" i="193"/>
  <c r="GE53" i="193"/>
  <c r="FV35" i="193"/>
  <c r="CP36" i="193"/>
  <c r="FV12" i="193"/>
  <c r="CQ98" i="193"/>
  <c r="CP99" i="193"/>
  <c r="CP98" i="193" s="1"/>
  <c r="C25" i="194"/>
  <c r="D13" i="194"/>
  <c r="G16" i="183"/>
  <c r="AE16" i="183" s="1"/>
  <c r="C23" i="194"/>
  <c r="ER89" i="193"/>
  <c r="K9" i="176"/>
  <c r="ER102" i="194"/>
  <c r="CP44" i="194"/>
  <c r="GC44" i="194" s="1"/>
  <c r="GC92" i="194"/>
  <c r="GC43" i="194"/>
  <c r="GC88" i="194" l="1"/>
  <c r="C86" i="194"/>
  <c r="GC86" i="194" s="1"/>
  <c r="ER98" i="194"/>
  <c r="CP100" i="194"/>
  <c r="ET103" i="194"/>
  <c r="ET101" i="194" s="1"/>
  <c r="C47" i="193"/>
  <c r="GC47" i="193" s="1"/>
  <c r="CP98" i="194"/>
  <c r="ER103" i="194"/>
  <c r="CP26" i="193"/>
  <c r="GC26" i="193" s="1"/>
  <c r="GC28" i="193"/>
  <c r="BE11" i="194"/>
  <c r="GC77" i="194"/>
  <c r="CP65" i="193"/>
  <c r="CP25" i="193"/>
  <c r="CQ23" i="193"/>
  <c r="CP12" i="193"/>
  <c r="D9" i="170"/>
  <c r="E9" i="170" s="1"/>
  <c r="CP12" i="194"/>
  <c r="FV101" i="194"/>
  <c r="C62" i="193"/>
  <c r="GC62" i="193" s="1"/>
  <c r="GC64" i="193"/>
  <c r="GC61" i="194"/>
  <c r="C59" i="194"/>
  <c r="GC59" i="194" s="1"/>
  <c r="C89" i="193"/>
  <c r="GC89" i="193" s="1"/>
  <c r="GC90" i="193"/>
  <c r="J11" i="193"/>
  <c r="FV102" i="193"/>
  <c r="ES101" i="194"/>
  <c r="ER101" i="194"/>
  <c r="CW101" i="194" s="1"/>
  <c r="FV11" i="193"/>
  <c r="ER11" i="194"/>
  <c r="C20" i="193"/>
  <c r="GC20" i="193" s="1"/>
  <c r="ER23" i="194"/>
  <c r="GF23" i="194" s="1"/>
  <c r="ER13" i="194"/>
  <c r="GF13" i="194" s="1"/>
  <c r="GF25" i="194"/>
  <c r="CP25" i="194"/>
  <c r="O34" i="174"/>
  <c r="D27" i="174"/>
  <c r="C58" i="193"/>
  <c r="GC58" i="193" s="1"/>
  <c r="D56" i="193"/>
  <c r="D11" i="193" s="1"/>
  <c r="CW11" i="193"/>
  <c r="GE11" i="193" s="1"/>
  <c r="C77" i="193"/>
  <c r="GC64" i="194"/>
  <c r="C62" i="194"/>
  <c r="GC62" i="194" s="1"/>
  <c r="D13" i="193"/>
  <c r="I41" i="172"/>
  <c r="I40" i="172"/>
  <c r="K11" i="172"/>
  <c r="I13" i="172"/>
  <c r="J13" i="172"/>
  <c r="I12" i="172"/>
  <c r="D10" i="172"/>
  <c r="D9" i="172" s="1"/>
  <c r="C11" i="172"/>
  <c r="C10" i="172" s="1"/>
  <c r="C9" i="172" s="1"/>
  <c r="E9" i="172"/>
  <c r="K9" i="172" s="1"/>
  <c r="K10" i="172"/>
  <c r="G10" i="172"/>
  <c r="J11" i="172"/>
  <c r="F11" i="172"/>
  <c r="F10" i="172" s="1"/>
  <c r="F16" i="183"/>
  <c r="AD16" i="183" s="1"/>
  <c r="AD17" i="183"/>
  <c r="F15" i="183"/>
  <c r="AD15" i="183" s="1"/>
  <c r="H15" i="183"/>
  <c r="AF16" i="183"/>
  <c r="G15" i="183"/>
  <c r="AE15" i="183" s="1"/>
  <c r="BE11" i="193"/>
  <c r="GF65" i="193"/>
  <c r="GC34" i="193"/>
  <c r="CP32" i="193"/>
  <c r="GC32" i="193" s="1"/>
  <c r="CW101" i="193"/>
  <c r="CP79" i="193"/>
  <c r="CQ77" i="193"/>
  <c r="GC46" i="193"/>
  <c r="CP44" i="193"/>
  <c r="GC44" i="193" s="1"/>
  <c r="GC37" i="193"/>
  <c r="C35" i="193"/>
  <c r="GC12" i="194"/>
  <c r="GE13" i="193"/>
  <c r="CW105" i="193"/>
  <c r="GC16" i="193"/>
  <c r="CP13" i="193"/>
  <c r="CP14" i="193"/>
  <c r="GC82" i="193"/>
  <c r="CP80" i="193"/>
  <c r="GC80" i="193" s="1"/>
  <c r="GC17" i="193"/>
  <c r="CQ11" i="193"/>
  <c r="C65" i="193"/>
  <c r="GC65" i="193" s="1"/>
  <c r="C12" i="193"/>
  <c r="GC12" i="193" s="1"/>
  <c r="GF59" i="193"/>
  <c r="ER11" i="193"/>
  <c r="GF11" i="193" s="1"/>
  <c r="GC88" i="193"/>
  <c r="CP86" i="193"/>
  <c r="GC86" i="193" s="1"/>
  <c r="CQ101" i="193"/>
  <c r="CP102" i="193"/>
  <c r="CP101" i="193" s="1"/>
  <c r="CP38" i="193"/>
  <c r="GC38" i="193" s="1"/>
  <c r="GC40" i="193"/>
  <c r="FV105" i="193"/>
  <c r="GC61" i="193"/>
  <c r="CP59" i="193"/>
  <c r="GC59" i="193" s="1"/>
  <c r="GC25" i="194"/>
  <c r="C13" i="194"/>
  <c r="CP35" i="193"/>
  <c r="GC35" i="193" s="1"/>
  <c r="GC36" i="193"/>
  <c r="CQ13" i="193"/>
  <c r="CP92" i="193"/>
  <c r="GC93" i="193"/>
  <c r="CQ101" i="194"/>
  <c r="CP102" i="194"/>
  <c r="CP101" i="194" s="1"/>
  <c r="W41" i="175"/>
  <c r="D37" i="175"/>
  <c r="GG94" i="193"/>
  <c r="CI92" i="193"/>
  <c r="CI11" i="193" s="1"/>
  <c r="GG11" i="193" s="1"/>
  <c r="C94" i="193"/>
  <c r="C92" i="193" s="1"/>
  <c r="CI13" i="193"/>
  <c r="FV103" i="193" s="1"/>
  <c r="FV101" i="193" s="1"/>
  <c r="GC35" i="194"/>
  <c r="GF13" i="193"/>
  <c r="CP53" i="193"/>
  <c r="GC53" i="193" s="1"/>
  <c r="C11" i="194"/>
  <c r="O27" i="174" l="1"/>
  <c r="D11" i="174"/>
  <c r="GF11" i="194"/>
  <c r="CP13" i="194"/>
  <c r="GC13" i="194" s="1"/>
  <c r="CP23" i="194"/>
  <c r="GC25" i="193"/>
  <c r="CP23" i="193"/>
  <c r="GC23" i="193" s="1"/>
  <c r="C56" i="193"/>
  <c r="GC56" i="193" s="1"/>
  <c r="F9" i="172"/>
  <c r="I11" i="172"/>
  <c r="G9" i="172"/>
  <c r="J9" i="172" s="1"/>
  <c r="J10" i="172"/>
  <c r="F11" i="183"/>
  <c r="AD11" i="183" s="1"/>
  <c r="G11" i="183"/>
  <c r="AE11" i="183" s="1"/>
  <c r="H11" i="183"/>
  <c r="AF11" i="183" s="1"/>
  <c r="AF15" i="183"/>
  <c r="GC92" i="193"/>
  <c r="C106" i="194"/>
  <c r="C108" i="194" s="1"/>
  <c r="GC14" i="193"/>
  <c r="GG13" i="193"/>
  <c r="GC94" i="193"/>
  <c r="GC79" i="193"/>
  <c r="CP77" i="193"/>
  <c r="GC77" i="193" s="1"/>
  <c r="C13" i="193"/>
  <c r="GC13" i="193" s="1"/>
  <c r="W37" i="175"/>
  <c r="D10" i="175"/>
  <c r="C11" i="193"/>
  <c r="O11" i="174" l="1"/>
  <c r="P11" i="174"/>
  <c r="R11" i="174" s="1"/>
  <c r="GC23" i="194"/>
  <c r="CP11" i="194"/>
  <c r="Z9" i="175"/>
  <c r="AA9" i="175" s="1"/>
  <c r="M7" i="176"/>
  <c r="N7" i="176" s="1"/>
  <c r="I9" i="172"/>
  <c r="I10" i="172"/>
  <c r="W10" i="175"/>
  <c r="CP11" i="193"/>
  <c r="C106" i="193"/>
  <c r="C108" i="193" s="1"/>
  <c r="CP106" i="194" l="1"/>
  <c r="CP108" i="194" s="1"/>
  <c r="GC11" i="194"/>
  <c r="CP110" i="194"/>
  <c r="GC11" i="193"/>
  <c r="CP106" i="193"/>
  <c r="CP108" i="193" s="1"/>
  <c r="CP110" i="19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DAT HONG COMPUTER</author>
    <author>MAY TINH DAT HONG</author>
  </authors>
  <commentList>
    <comment ref="G12" authorId="0" shapeId="0" xr:uid="{00000000-0006-0000-0800-000001000000}">
      <text>
        <r>
          <rPr>
            <b/>
            <sz val="9"/>
            <color indexed="81"/>
            <rFont val="Tahoma"/>
            <family val="2"/>
          </rPr>
          <t>STC thẩm định QT yêu cầu tách thêm dòng trong đó vốn đối ứng ngân sách huyện</t>
        </r>
      </text>
    </comment>
    <comment ref="AV25" authorId="1" shapeId="0" xr:uid="{00000000-0006-0000-0800-000002000000}">
      <text>
        <r>
          <rPr>
            <b/>
            <sz val="9"/>
            <color indexed="81"/>
            <rFont val="Tahoma"/>
            <family val="2"/>
          </rPr>
          <t>NTM</t>
        </r>
      </text>
    </comment>
    <comment ref="EI25" authorId="1" shapeId="0" xr:uid="{00000000-0006-0000-0800-000003000000}">
      <text>
        <r>
          <rPr>
            <b/>
            <sz val="9"/>
            <color indexed="81"/>
            <rFont val="Tahoma"/>
            <family val="2"/>
          </rPr>
          <t>NTM</t>
        </r>
      </text>
    </comment>
    <comment ref="AV76" authorId="1" shapeId="0" xr:uid="{00000000-0006-0000-0800-000004000000}">
      <text>
        <r>
          <rPr>
            <b/>
            <sz val="9"/>
            <color indexed="81"/>
            <rFont val="Tahoma"/>
            <family val="2"/>
          </rPr>
          <t>DTTS</t>
        </r>
      </text>
    </comment>
    <comment ref="AK79" authorId="0" shapeId="0" xr:uid="{00000000-0006-0000-0800-000005000000}">
      <text>
        <r>
          <rPr>
            <b/>
            <sz val="9"/>
            <color indexed="81"/>
            <rFont val="Tahoma"/>
            <family val="2"/>
          </rPr>
          <t>CT thủy lợi</t>
        </r>
      </text>
    </comment>
    <comment ref="AU79" authorId="1" shapeId="0" xr:uid="{00000000-0006-0000-0800-000006000000}">
      <text>
        <r>
          <rPr>
            <b/>
            <sz val="9"/>
            <color indexed="81"/>
            <rFont val="Tahoma"/>
            <family val="2"/>
          </rPr>
          <t>ngày 15/5/2024 STC quyết toán bị chênh nguồn SV Tabmis (BQLDA nhầm khoản)</t>
        </r>
      </text>
    </comment>
    <comment ref="AV79" authorId="1" shapeId="0" xr:uid="{00000000-0006-0000-0800-000007000000}">
      <text>
        <r>
          <rPr>
            <b/>
            <sz val="9"/>
            <color indexed="81"/>
            <rFont val="Tahoma"/>
            <family val="2"/>
          </rPr>
          <t>DTTS</t>
        </r>
      </text>
    </comment>
    <comment ref="BA79" authorId="1" shapeId="0" xr:uid="{00000000-0006-0000-0800-000008000000}">
      <text>
        <r>
          <rPr>
            <b/>
            <sz val="9"/>
            <color indexed="81"/>
            <rFont val="Tahoma"/>
            <family val="2"/>
          </rPr>
          <t>ngày 15/5/2024 STC quyết toán bị chênh nguồn SV Tabmis (BQLDA nhầm khoản)</t>
        </r>
      </text>
    </comment>
    <comment ref="DX79" authorId="0" shapeId="0" xr:uid="{00000000-0006-0000-0800-000009000000}">
      <text>
        <r>
          <rPr>
            <b/>
            <sz val="9"/>
            <color indexed="81"/>
            <rFont val="Tahoma"/>
            <family val="2"/>
          </rPr>
          <t>CT thủy lợi</t>
        </r>
      </text>
    </comment>
    <comment ref="EH79" authorId="1" shapeId="0" xr:uid="{00000000-0006-0000-0800-00000A000000}">
      <text>
        <r>
          <rPr>
            <b/>
            <sz val="9"/>
            <color indexed="81"/>
            <rFont val="Tahoma"/>
            <family val="2"/>
          </rPr>
          <t>ngày 15/5/2024 STC quyết toán bị chênh nguồn SV Tabmis (BQLDA nhầm khoản)</t>
        </r>
      </text>
    </comment>
    <comment ref="EN79" authorId="1" shapeId="0" xr:uid="{00000000-0006-0000-0800-00000B000000}">
      <text>
        <r>
          <rPr>
            <b/>
            <sz val="9"/>
            <color indexed="81"/>
            <rFont val="Tahoma"/>
            <family val="2"/>
          </rPr>
          <t>ngày 15/5/2024 STC quyết toán bị chênh nguồn SV Tabmis (BQLDA nhầm khoản)
 - 341: 1.776.760.000 đồng.
 - 351: 28.109.000 đồng.</t>
        </r>
      </text>
    </comment>
    <comment ref="AC97" authorId="1" shapeId="0" xr:uid="{00000000-0006-0000-0800-00000C000000}">
      <text>
        <r>
          <rPr>
            <b/>
            <sz val="9"/>
            <color indexed="81"/>
            <rFont val="Tahoma"/>
            <family val="2"/>
          </rPr>
          <t>HT đội văn nghệ QC năm 2023</t>
        </r>
      </text>
    </comment>
    <comment ref="EI100" authorId="1" shapeId="0" xr:uid="{00000000-0006-0000-0800-00000D000000}">
      <text>
        <r>
          <rPr>
            <b/>
            <sz val="9"/>
            <color indexed="81"/>
            <rFont val="Tahoma"/>
            <family val="2"/>
          </rPr>
          <t>-KTXH (NST): 1.019.000.000 đ
- NTM (NSH): 1.517.640</t>
        </r>
      </text>
    </comment>
    <comment ref="C107" authorId="1" shapeId="0" xr:uid="{00000000-0006-0000-0800-00000E000000}">
      <text>
        <r>
          <rPr>
            <b/>
            <sz val="9"/>
            <color indexed="81"/>
            <rFont val="Tahoma"/>
            <family val="2"/>
          </rPr>
          <t>B2-01 (5/6/2024)</t>
        </r>
      </text>
    </comment>
    <comment ref="CP107" authorId="1" shapeId="0" xr:uid="{00000000-0006-0000-0800-00000F000000}">
      <text>
        <r>
          <rPr>
            <b/>
            <sz val="9"/>
            <color indexed="81"/>
            <rFont val="Tahoma"/>
            <family val="2"/>
          </rPr>
          <t>B3-01 (5-6-2024)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DAT HONG COMPUTER</author>
  </authors>
  <commentList>
    <comment ref="J59" authorId="0" shapeId="0" xr:uid="{00000000-0006-0000-0A00-000001000000}">
      <text>
        <r>
          <rPr>
            <b/>
            <sz val="9"/>
            <color indexed="81"/>
            <rFont val="Tahoma"/>
            <family val="2"/>
          </rPr>
          <t>DA6 + DA10</t>
        </r>
      </text>
    </comment>
    <comment ref="E61" authorId="0" shapeId="0" xr:uid="{00000000-0006-0000-0A00-000002000000}">
      <text>
        <r>
          <rPr>
            <b/>
            <sz val="9"/>
            <color indexed="81"/>
            <rFont val="Tahoma"/>
            <family val="2"/>
          </rPr>
          <t>DA5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M7" authorId="0" shapeId="0" xr:uid="{00000000-0006-0000-0B00-000001000000}">
      <text>
        <r>
          <rPr>
            <b/>
            <sz val="9"/>
            <color indexed="81"/>
            <rFont val="Tahoma"/>
            <family val="2"/>
          </rPr>
          <t>QT + nộp trả</t>
        </r>
      </text>
    </comment>
    <comment ref="H35" authorId="0" shapeId="0" xr:uid="{00000000-0006-0000-0B00-000002000000}">
      <text>
        <r>
          <rPr>
            <b/>
            <sz val="9"/>
            <color indexed="81"/>
            <rFont val="Tahoma"/>
            <family val="2"/>
          </rPr>
          <t>chi từ NS (cấp LC) + nộp trả</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DAT HONG COMPUTER</author>
  </authors>
  <commentList>
    <comment ref="D5" authorId="0" shapeId="0" xr:uid="{00000000-0006-0000-1100-000001000000}">
      <text>
        <r>
          <rPr>
            <b/>
            <sz val="9"/>
            <color indexed="81"/>
            <rFont val="Tahoma"/>
            <family val="2"/>
          </rPr>
          <t>lấy số liệu lập dự toán năm 2024 (báo cáo 593a/BC-UBND ngày 15/8/2023)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MAY TINH DAT HONG</author>
    <author>Nguyen</author>
  </authors>
  <commentList>
    <comment ref="C6" authorId="0" shapeId="0" xr:uid="{00000000-0006-0000-1200-000001000000}">
      <text>
        <r>
          <rPr>
            <b/>
            <sz val="9"/>
            <color indexed="81"/>
            <rFont val="Tahoma"/>
            <family val="2"/>
          </rPr>
          <t>lấy số liệu lập dự toán năm 2024 (báo cáo 593a/BC-UBND ngày 15/8/2023)</t>
        </r>
      </text>
    </comment>
    <comment ref="D6" authorId="1" shapeId="0" xr:uid="{00000000-0006-0000-1200-000002000000}">
      <text>
        <r>
          <rPr>
            <b/>
            <sz val="9"/>
            <rFont val="Tahoma"/>
            <family val="2"/>
            <charset val="254"/>
          </rPr>
          <t>Tính số thu trong năm (ko tính thu năm trước chuyển sang)</t>
        </r>
        <r>
          <rPr>
            <sz val="9"/>
            <rFont val="Tahoma"/>
            <family val="2"/>
            <charset val="254"/>
          </rPr>
          <t xml:space="preserve">
</t>
        </r>
      </text>
    </comment>
    <comment ref="D10" authorId="1" shapeId="0" xr:uid="{00000000-0006-0000-1200-000003000000}">
      <text>
        <r>
          <rPr>
            <b/>
            <sz val="9"/>
            <rFont val="Tahoma"/>
            <family val="2"/>
            <charset val="254"/>
          </rPr>
          <t>- liên kết đào tạo với trường CĐ nghề mở lớp trung cấp (CTXH, Tin - Kế toán): 89,592,400 đ
- Ôn thi tốt nghiệp: 25,200,000 đ</t>
        </r>
      </text>
    </comment>
  </commentList>
</comments>
</file>

<file path=xl/sharedStrings.xml><?xml version="1.0" encoding="utf-8"?>
<sst xmlns="http://schemas.openxmlformats.org/spreadsheetml/2006/main" count="2767" uniqueCount="876">
  <si>
    <t>Bổ  sung cân đối ngân sách</t>
  </si>
  <si>
    <t>Nội dung</t>
  </si>
  <si>
    <t>Dự toán</t>
  </si>
  <si>
    <t>A</t>
  </si>
  <si>
    <t>B</t>
  </si>
  <si>
    <t>Thu nội địa</t>
  </si>
  <si>
    <t>Lệ phí trước bạ</t>
  </si>
  <si>
    <t>Thuế sử dụng đất phi nông nghiệp</t>
  </si>
  <si>
    <t>Thuế thu nhập cá nhân</t>
  </si>
  <si>
    <t>-</t>
  </si>
  <si>
    <t>Thu khác ngân sách</t>
  </si>
  <si>
    <t>I</t>
  </si>
  <si>
    <t>II</t>
  </si>
  <si>
    <t>III</t>
  </si>
  <si>
    <t>IV</t>
  </si>
  <si>
    <t>V</t>
  </si>
  <si>
    <t>C</t>
  </si>
  <si>
    <t>Chi đầu tư phát triển</t>
  </si>
  <si>
    <t>Vốn ngoài nước</t>
  </si>
  <si>
    <t>Chi thường xuyên</t>
  </si>
  <si>
    <t>Dự phòng ngân sách</t>
  </si>
  <si>
    <t>TỔNG SỐ</t>
  </si>
  <si>
    <t>Tên đơn vị</t>
  </si>
  <si>
    <t>Trong đó</t>
  </si>
  <si>
    <t>Trong đó:</t>
  </si>
  <si>
    <t xml:space="preserve">Chi đầu tư phát triển </t>
  </si>
  <si>
    <t>Thu kết dư</t>
  </si>
  <si>
    <t>(Dùng cho ngân sách các cấp chính quyền địa phương)</t>
  </si>
  <si>
    <t>Thu bổ sung từ ngân sách cấp trên</t>
  </si>
  <si>
    <t>Bao gồm</t>
  </si>
  <si>
    <t>năm</t>
  </si>
  <si>
    <t>1=2+3</t>
  </si>
  <si>
    <t>4=5+6</t>
  </si>
  <si>
    <t xml:space="preserve"> Chi khoa học và công nghệ</t>
  </si>
  <si>
    <t>nghệ</t>
  </si>
  <si>
    <t>phương</t>
  </si>
  <si>
    <t>7=4/1</t>
  </si>
  <si>
    <t>8=5/2</t>
  </si>
  <si>
    <t>9=6/3</t>
  </si>
  <si>
    <t>học</t>
  </si>
  <si>
    <t>và</t>
  </si>
  <si>
    <t>công</t>
  </si>
  <si>
    <t>nguồn</t>
  </si>
  <si>
    <t>Chia ra</t>
  </si>
  <si>
    <t>3=2/1</t>
  </si>
  <si>
    <t xml:space="preserve">Dự toán </t>
  </si>
  <si>
    <t>Thu NSĐP được hưởng theo phân cấp</t>
  </si>
  <si>
    <t>Thu NSĐP hưởng 100%</t>
  </si>
  <si>
    <t>Tổng chi cân đối NSĐP</t>
  </si>
  <si>
    <t>CHI CÂN ĐỐI NGÂN SÁCH ĐỊA PHƯƠNG</t>
  </si>
  <si>
    <t>Quyết toán</t>
  </si>
  <si>
    <t>STT</t>
  </si>
  <si>
    <t>So sánh</t>
  </si>
  <si>
    <t>5=3/1</t>
  </si>
  <si>
    <t>6=4/2</t>
  </si>
  <si>
    <t xml:space="preserve"> Chi giáo dục - đào tạo và dạy nghề</t>
  </si>
  <si>
    <t>Chi chuyển nguồn sang năm sau</t>
  </si>
  <si>
    <t>Thu chuyển nguồn từ năm trước chuyển sang</t>
  </si>
  <si>
    <t>Chi đầu tư cho các dự án</t>
  </si>
  <si>
    <t>Chi tạo nguồn, điều chỉnh tiền lương</t>
  </si>
  <si>
    <t>Vốn trong nước</t>
  </si>
  <si>
    <t>Thu bổ sung cân đối ngân sách</t>
  </si>
  <si>
    <t>chuyển</t>
  </si>
  <si>
    <t>sang</t>
  </si>
  <si>
    <t>sau</t>
  </si>
  <si>
    <t xml:space="preserve">TỔNG CHI NGÂN SÁCH ĐỊA PHƯƠNG </t>
  </si>
  <si>
    <t>Chi CTMTQG</t>
  </si>
  <si>
    <t>Tổng số</t>
  </si>
  <si>
    <t>Chi khoa học và công nghệ</t>
  </si>
  <si>
    <t>Thu bổ sung có mục tiêu</t>
  </si>
  <si>
    <t>Đơn vị: Triệu đồng</t>
  </si>
  <si>
    <t>khoa</t>
  </si>
  <si>
    <t>Tuyệt đối</t>
  </si>
  <si>
    <t>3=2-1</t>
  </si>
  <si>
    <t>4=2/1</t>
  </si>
  <si>
    <t>So sánh (%)</t>
  </si>
  <si>
    <t>Bổ sung có mục tiêu</t>
  </si>
  <si>
    <t xml:space="preserve">CHI CHUYỂN NGUỒN SANG NĂM SAU </t>
  </si>
  <si>
    <t>Gồm</t>
  </si>
  <si>
    <t>3=4+5</t>
  </si>
  <si>
    <t>17=9/1</t>
  </si>
  <si>
    <t>18=10/2</t>
  </si>
  <si>
    <t>19=11/3</t>
  </si>
  <si>
    <t>20=12/4</t>
  </si>
  <si>
    <t>21=13/5</t>
  </si>
  <si>
    <t>22=14/6</t>
  </si>
  <si>
    <t>23=15/7</t>
  </si>
  <si>
    <t>24=16/8</t>
  </si>
  <si>
    <t>11=12+13</t>
  </si>
  <si>
    <t>TỔNG CHI NSĐP</t>
  </si>
  <si>
    <t>TỔNG NGUỒN THU NSĐP</t>
  </si>
  <si>
    <t>Chi các chương trình mục tiêu</t>
  </si>
  <si>
    <t>Chi các chương trình mục tiêu quốc gia</t>
  </si>
  <si>
    <t>CHI CÂN ĐỐI NSĐP</t>
  </si>
  <si>
    <t>CHI CÁC CHƯƠNG TRÌNH MỤC TIÊU</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</si>
  <si>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</si>
  <si>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</si>
  <si>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</si>
  <si>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</si>
  <si>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</si>
  <si>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</si>
  <si>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</si>
  <si>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</si>
  <si>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</si>
  <si>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</si>
  <si>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Đầu tư phát triển</t>
  </si>
  <si>
    <t>Biểu mẫu số 48</t>
  </si>
  <si>
    <t>Biểu mẫu số 50</t>
  </si>
  <si>
    <t>Biểu mẫu số 52</t>
  </si>
  <si>
    <t>Biểu mẫu số 53</t>
  </si>
  <si>
    <t>Vốn thực hiện các CTMT quốc gia</t>
  </si>
  <si>
    <t>Kinh phí sự nghiệp</t>
  </si>
  <si>
    <t>Biểu mẫu số 51</t>
  </si>
  <si>
    <t>Biểu mẫu số 58</t>
  </si>
  <si>
    <t>Biểu mẫu số 59</t>
  </si>
  <si>
    <t>Biểu mẫu số 61</t>
  </si>
  <si>
    <t>Chi giáo dục - đào tạo và dạy nghề</t>
  </si>
  <si>
    <t>Thu NSĐP hưởng từ các khoản thu phân chia</t>
  </si>
  <si>
    <t>Trong đó: Chia theo lĩnh vực</t>
  </si>
  <si>
    <t>Trong đó: Chia theo nguồn vốn</t>
  </si>
  <si>
    <t xml:space="preserve">Nội dung </t>
  </si>
  <si>
    <t>Ngân sách cấp  huyện</t>
  </si>
  <si>
    <t>Ngân sách xã</t>
  </si>
  <si>
    <t>Ngân sách địa phương</t>
  </si>
  <si>
    <t>KẾT DƯ NSĐP</t>
  </si>
  <si>
    <t>Biểu mẫu số 49</t>
  </si>
  <si>
    <t>QUYẾT TOÁN CÂN ĐỐI NGUỒN THU, CHI NGÂN SÁCH</t>
  </si>
  <si>
    <t>Nguồn thu ngân sách</t>
  </si>
  <si>
    <t>Thu ngân sách được hưởng theo phân cấp</t>
  </si>
  <si>
    <t xml:space="preserve"> Bổ sung cân đối ngân sách</t>
  </si>
  <si>
    <t xml:space="preserve"> Bổ sung có mục tiêu</t>
  </si>
  <si>
    <t>Thu chuyển nguồn năm trước chuyển sang</t>
  </si>
  <si>
    <t>Chi ngân sách</t>
  </si>
  <si>
    <t>Chi bổ sung cho ngân sách cấp dưới</t>
  </si>
  <si>
    <t>Chi bổ sung cân đối ngân sách</t>
  </si>
  <si>
    <t>Chi bổ sung có mục tiêu</t>
  </si>
  <si>
    <t>Kết dư</t>
  </si>
  <si>
    <t>NGÂN SÁCH CẤP HUYỆN</t>
  </si>
  <si>
    <t>NGÂN SÁCH XÃ</t>
  </si>
  <si>
    <t>Chi thuộc nhiệm vụ của ngân sách xã</t>
  </si>
  <si>
    <t>- Thuế giá trị gia tăng</t>
  </si>
  <si>
    <t>- Thuế thu nhập doanh nghiệp</t>
  </si>
  <si>
    <t>- Thuế tài nguyên</t>
  </si>
  <si>
    <t>Chi thuộc nhiệm vụ của ngân sách cấp huyện</t>
  </si>
  <si>
    <t xml:space="preserve">Kết dư </t>
  </si>
  <si>
    <t>Tương đối (%)</t>
  </si>
  <si>
    <t>TỔNG CHI CẤP HUYỆN</t>
  </si>
  <si>
    <t xml:space="preserve">CHI BS CHO NGÂN SÁCH CẤP DƯỚI </t>
  </si>
  <si>
    <t xml:space="preserve">- </t>
  </si>
  <si>
    <t>Bổ sung cân đối</t>
  </si>
  <si>
    <t>Thanh tra</t>
  </si>
  <si>
    <t xml:space="preserve">Tên đơn vị </t>
  </si>
  <si>
    <t>SN giáo dục và đào tạo dạy nghề</t>
  </si>
  <si>
    <t>SN văn hóa thông tin</t>
  </si>
  <si>
    <t>SN phát thanh truyền hình</t>
  </si>
  <si>
    <t>SN thể dục thể thao</t>
  </si>
  <si>
    <t>Sự nghiệp kinh tế</t>
  </si>
  <si>
    <t>Sự nghiệp môi trường</t>
  </si>
  <si>
    <t>Chi khác ngân sách</t>
  </si>
  <si>
    <t>CTMTQG giảm nghèo bền vững</t>
  </si>
  <si>
    <t>Kinh tế khác</t>
  </si>
  <si>
    <t xml:space="preserve">SN giáo dục  </t>
  </si>
  <si>
    <t>SNĐT và dạy nghề</t>
  </si>
  <si>
    <t>nghiÖp</t>
  </si>
  <si>
    <t>HT tiền điện hộ nghèo, hộ CS</t>
  </si>
  <si>
    <t>Chính sách người có uy tín</t>
  </si>
  <si>
    <t>Các hoạt động ĐBXH khác</t>
  </si>
  <si>
    <t>SN nông nghiệp</t>
  </si>
  <si>
    <t>SN thủy lợi</t>
  </si>
  <si>
    <t>SN giao thông</t>
  </si>
  <si>
    <t>SN kinh tế khác</t>
  </si>
  <si>
    <t>lý</t>
  </si>
  <si>
    <t>Chuyển nguồn</t>
  </si>
  <si>
    <t>ĐT nghề cho LĐ nông thôn</t>
  </si>
  <si>
    <t>PTTH</t>
  </si>
  <si>
    <t xml:space="preserve">thÓ </t>
  </si>
  <si>
    <t>HT sản xuất NN</t>
  </si>
  <si>
    <t>Thủy lợi phí</t>
  </si>
  <si>
    <t>hµnh</t>
  </si>
  <si>
    <t>thao</t>
  </si>
  <si>
    <t>chÝnh</t>
  </si>
  <si>
    <t xml:space="preserve">B </t>
  </si>
  <si>
    <t>Văn phòng HĐND-UBND</t>
  </si>
  <si>
    <t xml:space="preserve"> - Chi đầu tư phát triển</t>
  </si>
  <si>
    <t xml:space="preserve"> - Chi thường xuyên</t>
  </si>
  <si>
    <t>Huyện ủy</t>
  </si>
  <si>
    <t>Đoàn thể</t>
  </si>
  <si>
    <t>Phòng Tài chính KH</t>
  </si>
  <si>
    <t>Phòng Tài nguyên MT</t>
  </si>
  <si>
    <t>Phòng Tư pháp</t>
  </si>
  <si>
    <t>Phòng Y tế</t>
  </si>
  <si>
    <t>Phòng Nội vụ</t>
  </si>
  <si>
    <t>Phòng LĐTBXH</t>
  </si>
  <si>
    <t>Phòng Dân tộc</t>
  </si>
  <si>
    <t>Phòng Giáo dục-ĐT</t>
  </si>
  <si>
    <t>Nhà khách</t>
  </si>
  <si>
    <t>Phòng Văn hóa-TT</t>
  </si>
  <si>
    <t>Công an</t>
  </si>
  <si>
    <t>Các khoản chi từ NS</t>
  </si>
  <si>
    <t>Chi nộp ngân sách cấp trên</t>
  </si>
  <si>
    <t>Các khoản chưa phân bổ</t>
  </si>
  <si>
    <t>Đơn vị: đồng</t>
  </si>
  <si>
    <t>Sự nghiệp khoa học CN</t>
  </si>
  <si>
    <t>Biểu mẫu số 55</t>
  </si>
  <si>
    <t>Chi giao thông</t>
  </si>
  <si>
    <t>Chi nông nghiệp, lâm nghiệp, thủy lợi, thủy sản</t>
  </si>
  <si>
    <t>Biểu mẫu số 56</t>
  </si>
  <si>
    <t>Biểu mẫu số 57</t>
  </si>
  <si>
    <t>Dự toán được cấp</t>
  </si>
  <si>
    <t>Kinh phí thực hiện trong năm</t>
  </si>
  <si>
    <t>Nguồn còn lại</t>
  </si>
  <si>
    <t>Dự toán đầu năm</t>
  </si>
  <si>
    <t>Hủy bỏ</t>
  </si>
  <si>
    <t>Biểu mẫu số 60</t>
  </si>
  <si>
    <t>Tổng thu NSĐP</t>
  </si>
  <si>
    <t>Thu NSĐP hưởng theo phân cấp</t>
  </si>
  <si>
    <t>Số bổ sung cân đối từ ngân sách cấp trên</t>
  </si>
  <si>
    <t>Thu từ kết dư năm trước</t>
  </si>
  <si>
    <t>Biểu mẫu số 63</t>
  </si>
  <si>
    <t>Tên Quỹ</t>
  </si>
  <si>
    <t>Tổng nguồn vốn phát sinh trong năm</t>
  </si>
  <si>
    <t>Tổng sử dụng nguồn vốn trong năm</t>
  </si>
  <si>
    <t>Chênh lệch nguồn trong năm</t>
  </si>
  <si>
    <t>5=2-4</t>
  </si>
  <si>
    <t>9=6-8</t>
  </si>
  <si>
    <t>10=1+6-8</t>
  </si>
  <si>
    <t>Biểu mẫu số 64</t>
  </si>
  <si>
    <t xml:space="preserve">(KHÔNG BAO GỒM NGUỒN NGÂN SÁCH NHÀ NƯỚC) </t>
  </si>
  <si>
    <t>Biểu mẫu số 33</t>
  </si>
  <si>
    <t>KẾ HOẠCH THU DỊCH VỤ CỦA ĐƠN VỊ SỰ NGHIỆP CÔNG NĂM KẾ HOẠCH</t>
  </si>
  <si>
    <t>(KHÔNG BAO GỒM NGUỒN NSNN ĐẶT HÀNG, GIAO NHIỆM VỤ)</t>
  </si>
  <si>
    <t>Ước thực hiện năm hiện hành</t>
  </si>
  <si>
    <t>Kế hoạch</t>
  </si>
  <si>
    <t>- Sự nghiệp giáo dục - đào tạo và dạy nghề</t>
  </si>
  <si>
    <t>- Sự nghiệp y tế</t>
  </si>
  <si>
    <t>-….</t>
  </si>
  <si>
    <t>Các đơn vị do cấp tỉnh quản lý</t>
  </si>
  <si>
    <t>Các đơn vị do cấp huyện quản lý</t>
  </si>
  <si>
    <t>Các đơn vị do cấp xã quản lý</t>
  </si>
  <si>
    <t>QUYẾT TOÁN CHI ĐẦU TƯ PHÁT TRIỂN CỦA NGÂN SÁCH CẤP HUYỆN</t>
  </si>
  <si>
    <t>TỔNG HỢP QUYẾT TOÁN CHI THƯỜNG XUYÊN NGÂN SÁCH CẤP HUYỆN</t>
  </si>
  <si>
    <t>Chi giáo dục, đào tạo và dạy nghề</t>
  </si>
  <si>
    <t xml:space="preserve">Nội dung   </t>
  </si>
  <si>
    <t>Ngân sách cấp huyện</t>
  </si>
  <si>
    <t>TỔNG SỐ (A+B+C+D)</t>
  </si>
  <si>
    <t>THU NGÂN SÁCH NHÀ NƯỚC</t>
  </si>
  <si>
    <t>Thu từ khu vực doanh nghiệp nhà nước do địa phương quản lý</t>
  </si>
  <si>
    <t>Thu từ khu vực kinh tế ngoài quốc doanh</t>
  </si>
  <si>
    <t>Phí, lệ phí</t>
  </si>
  <si>
    <t>Tiền sử dụng đất</t>
  </si>
  <si>
    <t xml:space="preserve"> - Thu từ đấu giá QSD đất</t>
  </si>
  <si>
    <t xml:space="preserve"> - Thu cấp QSD đất</t>
  </si>
  <si>
    <t xml:space="preserve"> + Thu cấp QSD đất trên địa bàn thị trấn</t>
  </si>
  <si>
    <t xml:space="preserve"> + Thu cấp QSD đất trên địa bàn các xã</t>
  </si>
  <si>
    <t>Thu tiền thuê đất, mặt nước</t>
  </si>
  <si>
    <t xml:space="preserve">  + Thu khác tỉnh hưởng</t>
  </si>
  <si>
    <t xml:space="preserve">  + Thu khác huyện hưởng</t>
  </si>
  <si>
    <t xml:space="preserve">  + Thu khác xã hưởng</t>
  </si>
  <si>
    <t>Thu từ quỹ đất công ích và thu hoa lợi công sản khác</t>
  </si>
  <si>
    <t>THU CHUYỂN GIAO NGÂN SÁCH</t>
  </si>
  <si>
    <t xml:space="preserve">Bổ sung cân đối </t>
  </si>
  <si>
    <t>2.1</t>
  </si>
  <si>
    <t xml:space="preserve">Bổ sung có mục tiêu bằng nguồn vốn trong nước </t>
  </si>
  <si>
    <t>2.2</t>
  </si>
  <si>
    <t>Bổ sung có mục tiêu bằng nguồn vốn ngoài nước</t>
  </si>
  <si>
    <t>Thu từ ngân sách cấp dưới nộp lên</t>
  </si>
  <si>
    <t>THU CHUYỂN NGUỒN</t>
  </si>
  <si>
    <t>D</t>
  </si>
  <si>
    <t>THU KẾT DƯ NGÂN SÁCH</t>
  </si>
  <si>
    <t>CHI NỘP NGÂN SÁCH CẤP TRÊN</t>
  </si>
  <si>
    <t>Thu từ cấp dưới nộp lên</t>
  </si>
  <si>
    <t>Chi nộp trả cấp trên</t>
  </si>
  <si>
    <t>NỘP TRẢ CẤP TRÊN</t>
  </si>
  <si>
    <t>Chi chuyển nguồn</t>
  </si>
  <si>
    <t>Bổ sung trong năm</t>
  </si>
  <si>
    <t>Giảm trừ trong năm</t>
  </si>
  <si>
    <t>7=1-6</t>
  </si>
  <si>
    <t>Chương trình mục tiêu quốc gia giảm nghèo bền vững</t>
  </si>
  <si>
    <t>Chương trình mục tiêu quốc gia nông thôn mới</t>
  </si>
  <si>
    <t>1</t>
  </si>
  <si>
    <t>2</t>
  </si>
  <si>
    <t>Xã Chiềng Sinh</t>
  </si>
  <si>
    <t>4</t>
  </si>
  <si>
    <t>Xã Quài Cang</t>
  </si>
  <si>
    <t>Xã Mường Mùn</t>
  </si>
  <si>
    <t>Xã Phình Sáng</t>
  </si>
  <si>
    <t>Xã Chiềng Đông</t>
  </si>
  <si>
    <t>Xã Mường Khong</t>
  </si>
  <si>
    <t>Xã Rạng Đông</t>
  </si>
  <si>
    <t>Xã Nà Tòng</t>
  </si>
  <si>
    <t>Xã Ta Ma</t>
  </si>
  <si>
    <t>Xã Pú Xi</t>
  </si>
  <si>
    <t>Xã Tênh Phông</t>
  </si>
  <si>
    <t>Xã Quài Nưa</t>
  </si>
  <si>
    <t>TÊN ĐƠN VỊ</t>
  </si>
  <si>
    <t>Số bổ sung có mục tiêu từ ngân sách cấp trên</t>
  </si>
  <si>
    <t>Đơn vi: đồng</t>
  </si>
  <si>
    <t>Thu cấp dưới nộp lên</t>
  </si>
  <si>
    <t>Cộng SNKT</t>
  </si>
  <si>
    <t>21=4/1</t>
  </si>
  <si>
    <t>22=5/2</t>
  </si>
  <si>
    <t>23=6/3</t>
  </si>
  <si>
    <t>Quỹ Bảo trợ trẻ em</t>
  </si>
  <si>
    <t>Quỹ Đền ơn đáp nghĩa</t>
  </si>
  <si>
    <t>Quỹ khuyến học</t>
  </si>
  <si>
    <t>Quỹ phòng chống thiên tai</t>
  </si>
  <si>
    <t>Cộng</t>
  </si>
  <si>
    <t>HTHS khuyết tật theo TT 42</t>
  </si>
  <si>
    <t>Vốn đầu tư</t>
  </si>
  <si>
    <t>Vốn sự nghiệp</t>
  </si>
  <si>
    <t>Quốc phòng</t>
  </si>
  <si>
    <t>An ninh</t>
  </si>
  <si>
    <t>Kinh phí thực hiện đảm bảo trật tự ATGT</t>
  </si>
  <si>
    <t>Hỗ trợ các hội</t>
  </si>
  <si>
    <t>Trung tâm GDNN-GDTX</t>
  </si>
  <si>
    <t>Sự nghiệp đào tạo</t>
  </si>
  <si>
    <t>Chi thường xuyên của các đơn vị SNKT</t>
  </si>
  <si>
    <t xml:space="preserve"> +  Duy tu bảo dưỡng cơ sở hạ tầng</t>
  </si>
  <si>
    <t>Chương trình MT tái cơ cấu KTNN và phòng chống giảm nhẹ thiên tai, ổn định đời sống dân cư (CT theo QĐ 1776)</t>
  </si>
  <si>
    <t>CTMT đảm bảo trật tự ATGT, phòng cháy chữa cháy, phòng chống tội phạm và ma túy</t>
  </si>
  <si>
    <t>CTMT phát triển lâm nghiệp bền vững</t>
  </si>
  <si>
    <t>Chi đảm bảo xã hội</t>
  </si>
  <si>
    <t>Các khoản chi khác theo quy định của pháp luật</t>
  </si>
  <si>
    <t>Chương trình MTQG</t>
  </si>
  <si>
    <t>Phòng Tài chính-KH</t>
  </si>
  <si>
    <t>Phòng Kinh tế và Hạ tầng</t>
  </si>
  <si>
    <t>Công an huyện</t>
  </si>
  <si>
    <t>Ban chỉ huy QS huyện</t>
  </si>
  <si>
    <t>Ban CHQS huyện</t>
  </si>
  <si>
    <t>Quỹ vì người nghèo</t>
  </si>
  <si>
    <t>Quỹ hỗ trợ nông dân</t>
  </si>
  <si>
    <t>Trong đó: Hỗ trợ từ NSĐP</t>
  </si>
  <si>
    <t>Ngân sách</t>
  </si>
  <si>
    <t>CHI NS CẤP HUYỆN THEO LĨNH VỰC</t>
  </si>
  <si>
    <t>Biểu mẫu số 54</t>
  </si>
  <si>
    <t>Trung tâm quản lý đất đai</t>
  </si>
  <si>
    <t>CS bảo vệ và phát triển đất trồng lúa</t>
  </si>
  <si>
    <t>Đề án OCOP</t>
  </si>
  <si>
    <t>HTHBHSBT theo NĐ 116</t>
  </si>
  <si>
    <t>HT học sinh dân tộc rất ít người theo NĐ 57</t>
  </si>
  <si>
    <t>Khối Đoàn thể</t>
  </si>
  <si>
    <t>Chi chuyển nguồn năm sau</t>
  </si>
  <si>
    <t>Chuyển nguồn năm trước sang</t>
  </si>
  <si>
    <t>Phòng Lao động TBXH</t>
  </si>
  <si>
    <t>Phòng Giáo dục và Đào tạo</t>
  </si>
  <si>
    <t>Phòng Nông nghiệp và PTNT</t>
  </si>
  <si>
    <t>Nhà khách HĐND-UBND</t>
  </si>
  <si>
    <t>CTMT phát triển hệ thống trợ giúp xã hội</t>
  </si>
  <si>
    <t>CTMT Giáo dục nghề nghiệp - việc làm và an toàn lao động</t>
  </si>
  <si>
    <t>Tổng thu NSNN</t>
  </si>
  <si>
    <t>Thu NSĐP</t>
  </si>
  <si>
    <t xml:space="preserve">Thu NSĐP </t>
  </si>
  <si>
    <t>Trong đó: + Phạt VPHC lĩnh vực ATGT</t>
  </si>
  <si>
    <t>TỔNG CHI NGÂN SÁCH ĐỊA PHƯƠNG</t>
  </si>
  <si>
    <t>Sự nghiệp giáo dục - đào tạo và dạy nghề</t>
  </si>
  <si>
    <t>Sự nghiệp văn hóa thông tin</t>
  </si>
  <si>
    <t>Sự nghiệp phát thanh truyền hình</t>
  </si>
  <si>
    <t>Chi đầu tư phát triển (không kể CTMTQG)</t>
  </si>
  <si>
    <t>Chi thường xuyên (không kể CTMTQG)</t>
  </si>
  <si>
    <t>DỰ TOÁN</t>
  </si>
  <si>
    <t>QUYẾT TOÁN</t>
  </si>
  <si>
    <t>Chi chuyển nguồn sang ngân sách năm sau</t>
  </si>
  <si>
    <t>Chi chương trình mục tiêu, nhiệm vụ khác</t>
  </si>
  <si>
    <t>Chi chương trình mục tiêu quốc gia</t>
  </si>
  <si>
    <t>*</t>
  </si>
  <si>
    <t>Biểu mẫu số 62</t>
  </si>
  <si>
    <t>Danh mục dự án</t>
  </si>
  <si>
    <t>Địa điểm xây dựng</t>
  </si>
  <si>
    <t>Năng lực thiết kế</t>
  </si>
  <si>
    <t>Thời gian khởi công - hoàn thành</t>
  </si>
  <si>
    <t>Quyết định đầu tư</t>
  </si>
  <si>
    <t>Số Quyết định, ngày, tháng, năm ban hành</t>
  </si>
  <si>
    <t>Tổng mức đầu tư được duyệt</t>
  </si>
  <si>
    <t xml:space="preserve">Tổng số </t>
  </si>
  <si>
    <t>Chia theo nguồn vốn</t>
  </si>
  <si>
    <t>Ngoài nước</t>
  </si>
  <si>
    <t>Ngân sách TW</t>
  </si>
  <si>
    <t>Vốn khác</t>
  </si>
  <si>
    <t>32=27/22</t>
  </si>
  <si>
    <t>33=28/23</t>
  </si>
  <si>
    <t>34=29/24</t>
  </si>
  <si>
    <t>2019-2020</t>
  </si>
  <si>
    <t>Tổng cộng</t>
  </si>
  <si>
    <t>UBND thị trấn Tuần giáo</t>
  </si>
  <si>
    <t>Đảm bảo xã hội</t>
  </si>
  <si>
    <t>2018-2020</t>
  </si>
  <si>
    <t>Phòng NN và PTNT</t>
  </si>
  <si>
    <t>CT theo QĐ 293, 275</t>
  </si>
  <si>
    <t>HTCP học tập</t>
  </si>
  <si>
    <t xml:space="preserve">Miễn giảm HP </t>
  </si>
  <si>
    <t>Khoán BV rừng khoanh nuôi tái sinh</t>
  </si>
  <si>
    <t>Trung tâm chính trị</t>
  </si>
  <si>
    <t>Trung tâm dịch vụ NN</t>
  </si>
  <si>
    <t>Trung tâm VHTTTH</t>
  </si>
  <si>
    <t xml:space="preserve">HT trẻ ăn trưa 3-5 tuổi </t>
  </si>
  <si>
    <t>Phòng Kinh tế Hạ tầng</t>
  </si>
  <si>
    <t>CT 135 vốn nước ngoài</t>
  </si>
  <si>
    <t>Vốn nước ngoài</t>
  </si>
  <si>
    <t>Phòng Giáo dục và ĐT</t>
  </si>
  <si>
    <t>Phòng KT Hạ tầng</t>
  </si>
  <si>
    <t>Ban quản lý dự án CCT</t>
  </si>
  <si>
    <t>Ban QLDACCT</t>
  </si>
  <si>
    <t>Ban QLDA các CT</t>
  </si>
  <si>
    <t>Trung tâm Văn hóa THTH</t>
  </si>
  <si>
    <t>Phòng Văn hóa và TT</t>
  </si>
  <si>
    <t>Trung tâm Văn hóa TTTH</t>
  </si>
  <si>
    <t>Chi đầu tư từ nguồn tăng thu từ hoạt động xổ số kiến thiết</t>
  </si>
  <si>
    <t>Chi đầu tư phát triển khác</t>
  </si>
  <si>
    <t>Thu từ khu vực doanh nghiệp nhà nước do Trung ương quản lý</t>
  </si>
  <si>
    <t xml:space="preserve">     + Phạt VPHC do ngành thuế thực hiện</t>
  </si>
  <si>
    <t xml:space="preserve">     + Thu tịch thu</t>
  </si>
  <si>
    <t xml:space="preserve"> - Thu khác ngân sách địa phương</t>
  </si>
  <si>
    <t>Chi các chương trình MT, nhiệm vụ khác</t>
  </si>
  <si>
    <t>Dự án 1: Chương trình 30a</t>
  </si>
  <si>
    <t>Đơn vị tính: Triệu đồng</t>
  </si>
  <si>
    <t>TT Tuần Giáo</t>
  </si>
  <si>
    <t>2020-2021</t>
  </si>
  <si>
    <t>2019-2021</t>
  </si>
  <si>
    <t>công trình SN Kinh tế khác</t>
  </si>
  <si>
    <t>Công trình thủy lợi</t>
  </si>
  <si>
    <t xml:space="preserve">10% thu tiền SD đất, tiền thuê đất </t>
  </si>
  <si>
    <t>Trong đó:  + Phí BVMT đối với khai thác khoáng sản</t>
  </si>
  <si>
    <t xml:space="preserve">                + Phí BVMT đối với nước thải</t>
  </si>
  <si>
    <t>Đầu tư XDCB vốn trong nước</t>
  </si>
  <si>
    <t>Đầu tư từ nguồn thu tiền sử dụng đất</t>
  </si>
  <si>
    <t>NS địa phương</t>
  </si>
  <si>
    <t>NS cấp  huyện</t>
  </si>
  <si>
    <t>Đơn vị : đồng</t>
  </si>
  <si>
    <t>Chi đầu tư (không kể CTMT
QG)</t>
  </si>
  <si>
    <t>Chi thường xuyên (không kể CTMT
QG)</t>
  </si>
  <si>
    <t>Chi CT MT, nhiệm vụ khác</t>
  </si>
  <si>
    <t>Chi CTMT quốc gia</t>
  </si>
  <si>
    <t>Khắc phục hậu quả thiên tai năm 2020 (Nguồn dự phòng NSTW)</t>
  </si>
  <si>
    <t>Chi quốc phòng</t>
  </si>
  <si>
    <t>Chi phát thanh, truyền hình</t>
  </si>
  <si>
    <t>Chi hoạt động của cơ quan QLNN, Đảng, ĐT</t>
  </si>
  <si>
    <t xml:space="preserve"> - Hỗ trợ thực hiện Đề án OCOP</t>
  </si>
  <si>
    <t xml:space="preserve"> - Hỗ trợ đào tạo nghề cho lao động nông thôn</t>
  </si>
  <si>
    <t xml:space="preserve"> - Chi phí quản lý</t>
  </si>
  <si>
    <t>Nguồn vốn cân đối NSĐP</t>
  </si>
  <si>
    <t>1.1</t>
  </si>
  <si>
    <t xml:space="preserve">075-Giáo dục nghề nghiệp-GD thường xuyên </t>
  </si>
  <si>
    <t/>
  </si>
  <si>
    <t>Trung tâm giáo dục nghề nghiệp và giáo dục thường xuyên</t>
  </si>
  <si>
    <t>2021-2023</t>
  </si>
  <si>
    <t>71
ngày 06/8/2021</t>
  </si>
  <si>
    <t>1.2</t>
  </si>
  <si>
    <t>261-Xử lý chất thải rắn</t>
  </si>
  <si>
    <t>Hạ tầng nhà máy xử lý rác thải huyện Tuần giáo</t>
  </si>
  <si>
    <t>280-Các hoạt động kinh tế</t>
  </si>
  <si>
    <t>292-Giao thông đường bộ</t>
  </si>
  <si>
    <t>Đường từ ngầm Chiềng An đến khối Đoàn kết</t>
  </si>
  <si>
    <t>76;
ngày 16/8/2021</t>
  </si>
  <si>
    <t>Đường từ bản Hồng lực, xã nà Sáy- bản Co Đứa, xã mường khong, huyện Tuần giáo</t>
  </si>
  <si>
    <t>Xã Nà Sáy, xã Mường Khong</t>
  </si>
  <si>
    <t>53;
ngày 14/1/2021</t>
  </si>
  <si>
    <t>312-Kiến thiết thị chính</t>
  </si>
  <si>
    <t>Công viên cây xanh trung tâm huyện Tuần giáo</t>
  </si>
  <si>
    <t xml:space="preserve">Vốn từ nguồn thu tiền SD đất, đấu giá QSD đất </t>
  </si>
  <si>
    <t>Nâng cấp đường nội thị khối Tân Giang</t>
  </si>
  <si>
    <t>2019-2022</t>
  </si>
  <si>
    <t>Nâng cấp đường khối 20/7- bản Đông</t>
  </si>
  <si>
    <t>171; ngày 18/12/2019</t>
  </si>
  <si>
    <t>Cấp xã quản lý</t>
  </si>
  <si>
    <t>Đường vào bản Nong tấu, Chiềng khoang</t>
  </si>
  <si>
    <t>102a; ngày 18/10/2020</t>
  </si>
  <si>
    <t>Đường khối Thắng lợi</t>
  </si>
  <si>
    <t>105a; ngày 18/10/2020</t>
  </si>
  <si>
    <t>xã Quài Tở</t>
  </si>
  <si>
    <t xml:space="preserve">Vốn ngân sách trung ương </t>
  </si>
  <si>
    <t>Vốn chương trình mục tiêu quốc gia</t>
  </si>
  <si>
    <t>Đường trung tâm xã Rạng đông- bản Háng Á,xã Rạng đông</t>
  </si>
  <si>
    <t>992; ngày 30/10/2018</t>
  </si>
  <si>
    <t>xã Quài Cang</t>
  </si>
  <si>
    <t xml:space="preserve">Vốn ngân sách địa phương </t>
  </si>
  <si>
    <t>B1</t>
  </si>
  <si>
    <t>B2</t>
  </si>
  <si>
    <t>Vốn đầu tư thực hiện các CTMT, nhiệm vụ</t>
  </si>
  <si>
    <t>Bổ sung cân đối ngân sách</t>
  </si>
  <si>
    <t>Vốn sự nghiệp CTMTQG</t>
  </si>
  <si>
    <t>Chi các chương trình mục tiêu, nhiệm vụ khác</t>
  </si>
  <si>
    <t>Chương trình mục tiêu, nhiệm vụ khác</t>
  </si>
  <si>
    <t>Vốn sự nghiệp CTMT, nhiệm vụ khác</t>
  </si>
  <si>
    <t>Chi chương trình nhiệm vụ</t>
  </si>
  <si>
    <t>Ngân sách ĐP</t>
  </si>
  <si>
    <t>Ủy ban xã làm chủ đầu tư</t>
  </si>
  <si>
    <t>Nguồn tăng thu xổ số kiến thiết tỉnh Điện Biên</t>
  </si>
  <si>
    <t>Vốn ngân sách trung ương (Hỗ trợ từ nguồn dự phòng NSTW)</t>
  </si>
  <si>
    <t>TỔNG CỘNG</t>
  </si>
  <si>
    <t>Quỹ cứu trợ</t>
  </si>
  <si>
    <t>HT kinh phí tổ chức nấu ăn</t>
  </si>
  <si>
    <t>Quỹ hoạt động Chữ thập đỏ</t>
  </si>
  <si>
    <t>Vốn SN</t>
  </si>
  <si>
    <t>CTMTQG giảm nghèo 2016-2020</t>
  </si>
  <si>
    <t>Giai đoạn 2016-2020</t>
  </si>
  <si>
    <t>Giai đoạn 2021-2025</t>
  </si>
  <si>
    <t>Đầu tư từ thu tiền cho thuê đất (ghi thu ghi chi)</t>
  </si>
  <si>
    <t xml:space="preserve"> - Ban QLDACCT</t>
  </si>
  <si>
    <t xml:space="preserve"> - Ngân sách</t>
  </si>
  <si>
    <t>Chi hoạt động của cơ quan QLNN, Đảng, Đoàn thể</t>
  </si>
  <si>
    <t>13=2/1</t>
  </si>
  <si>
    <t>Khắc phục HQTT (NSTW)</t>
  </si>
  <si>
    <t>Vốn cân đối NSĐP</t>
  </si>
  <si>
    <t>Đầu tư vốn cân đối NSĐP</t>
  </si>
  <si>
    <t>Chi thường xuyên cân đối</t>
  </si>
  <si>
    <t>Kinh phí thực hiện nhiệm vụ đảm bảo trật tự ATGT</t>
  </si>
  <si>
    <t>CTMTQG giảm nghèo BV</t>
  </si>
  <si>
    <t>CTMTQG xây dựng NTM</t>
  </si>
  <si>
    <t>2.3</t>
  </si>
  <si>
    <t>CTMTQG PTKTXH vùng ĐBDT thiểu số và MN</t>
  </si>
  <si>
    <t>Chi nộp trả NS cấp trên</t>
  </si>
  <si>
    <t>Nguồn thu tiền sử dụng đất</t>
  </si>
  <si>
    <t>Ghi thu, ghi chi từ thu tiền cho thuê đất</t>
  </si>
  <si>
    <t>HT GVMN dạy lớp ghép, dạy tăng cường TV</t>
  </si>
  <si>
    <t>Tiền điện + SC, duy tu BD đường điện</t>
  </si>
  <si>
    <t>Đảng, Đoàn thể, QLNN</t>
  </si>
  <si>
    <t>CTMTQG xây dựng NTM 2016-2020</t>
  </si>
  <si>
    <t>HT học sinh theo NĐ số 105/2020</t>
  </si>
  <si>
    <t>HT học sinh theo NĐ 81/2021</t>
  </si>
  <si>
    <t>CS trợ giúp các đối tượng BTXH theo NĐ 20/2021</t>
  </si>
  <si>
    <t>KT thị chính</t>
  </si>
  <si>
    <t>HT ngân hàng CS + Quỹ HT nông dân</t>
  </si>
  <si>
    <t xml:space="preserve"> CS phát triển cây Mắc ca theo HĐ liên kết SX (NST)</t>
  </si>
  <si>
    <t>Giao đất, giao rừng, cấp GCNQSD đất lâm nghiệp (NST)</t>
  </si>
  <si>
    <t>Dự án 1</t>
  </si>
  <si>
    <t>Dự án 3</t>
  </si>
  <si>
    <t>Dự án 4</t>
  </si>
  <si>
    <t>Dự án 5</t>
  </si>
  <si>
    <t>Dự án 6</t>
  </si>
  <si>
    <t>Dự án 8</t>
  </si>
  <si>
    <t>Dự án 9</t>
  </si>
  <si>
    <t>Dự án 2</t>
  </si>
  <si>
    <t>Dự án 10</t>
  </si>
  <si>
    <t>CTMTQG phát triển KT-XH vùng đồng bào dân tộc thiểu số và miền núi 2021-2025</t>
  </si>
  <si>
    <t>Dự án 7</t>
  </si>
  <si>
    <t>CTMTQG giảm nghèo 2021-2025</t>
  </si>
  <si>
    <t>CTMTQG xây dựng NTM 2021-2025</t>
  </si>
  <si>
    <t>Thành phần số 2</t>
  </si>
  <si>
    <t>Thành phần số 3</t>
  </si>
  <si>
    <t>Thành phần số 11</t>
  </si>
  <si>
    <t>Khắc phục HQTT</t>
  </si>
  <si>
    <t>CTMT phát triển lâm nghiệp BV</t>
  </si>
  <si>
    <t>Chi cân đối NSĐP</t>
  </si>
  <si>
    <t xml:space="preserve">Thành phần số 2 </t>
  </si>
  <si>
    <t xml:space="preserve">Tiêm, phun+ tập huấn thú y, BVTV </t>
  </si>
  <si>
    <t>Tiêm, phun+ tập huấn thú y, BVTV</t>
  </si>
  <si>
    <t>công trình SNGT</t>
  </si>
  <si>
    <t>Công trình SNGT</t>
  </si>
  <si>
    <t>Trung tâm văn hóa TTTH</t>
  </si>
  <si>
    <t>Khắc phục HQTT (NST)</t>
  </si>
  <si>
    <t>6=7+8+9</t>
  </si>
  <si>
    <t>12=13+14+15</t>
  </si>
  <si>
    <t>2=3+…+12+16+…20</t>
  </si>
  <si>
    <t>2=3+...+6+10+11+12</t>
  </si>
  <si>
    <t>21=2/1</t>
  </si>
  <si>
    <t>Dư nguồn đến ngày 31/12/2022</t>
  </si>
  <si>
    <t>(Kèm theo Nghị quyết số         /NQ-HĐND ngày      /  7  /2023 của HĐND huyện Tuần Giáo)</t>
  </si>
  <si>
    <t>Thu cấp quyền khai thác khoáng sản, tài nguyên nước</t>
  </si>
  <si>
    <t xml:space="preserve"> - Cơ quan trung ương cấp phép</t>
  </si>
  <si>
    <t xml:space="preserve"> + Trung ương hưởng (70%)</t>
  </si>
  <si>
    <t xml:space="preserve"> + Địa phương hưởng (30%)</t>
  </si>
  <si>
    <t xml:space="preserve"> - Cơ quan địa phương cấp phép</t>
  </si>
  <si>
    <t>Chi đầu tư từ các nguồn vốn khác</t>
  </si>
  <si>
    <t xml:space="preserve"> Trong đó: - Vốn trong nước</t>
  </si>
  <si>
    <t xml:space="preserve">                - Vốn nước ngoài</t>
  </si>
  <si>
    <t>Trong đó: - Vốn trong nước</t>
  </si>
  <si>
    <t xml:space="preserve">               - Vốn nước ngoài</t>
  </si>
  <si>
    <t xml:space="preserve"> - Tiểu dự án 1: Hỗ trợ đầu tư cơ sở hạ tầng các huyện nghèo</t>
  </si>
  <si>
    <t xml:space="preserve"> +  Hỗ trợ đầu tư cơ sở hạ tầng các huyện nghèo (nhóm 2- theo Quyết định 293, Quyết định 275)</t>
  </si>
  <si>
    <t xml:space="preserve"> - Tiểu dự án 4: Hỗ trợ lao động thuộc hộ nghèo, hộ cận nghèo, hộ đồng bào DTTS đi làm việc có thời hạn ở nước ngoài</t>
  </si>
  <si>
    <t xml:space="preserve"> - Tiểu dự án 1: Hỗ trợ đầu tư cơ sở hạ tầng cho các xã ĐBKK, xã biên giới; các thôn, bản ĐBKK</t>
  </si>
  <si>
    <t xml:space="preserve"> + Hỗ trợ đầu tư cơ sở hạ tầng cho các xã ĐBKK, xã biên giới; các thôn, bản ĐBKK (Vốn trong nước)</t>
  </si>
  <si>
    <t xml:space="preserve"> + Hỗ trợ đầu tư cơ sở hạ tầng cho các xã ĐBKK, xã biên giới; các thôn, bản ĐBKK (Vốn nước ngoài)</t>
  </si>
  <si>
    <t>3. Dự án 5: Nâng cao năng lực và giám sát, đánh giá thực hiện Chương trình</t>
  </si>
  <si>
    <t xml:space="preserve"> - Hoạt động giám sát đánh giá</t>
  </si>
  <si>
    <t xml:space="preserve"> - Vốn trong nước</t>
  </si>
  <si>
    <t xml:space="preserve"> - Vốn nước ngoài</t>
  </si>
  <si>
    <t xml:space="preserve"> - Hỗ trợ trực tiếp cho các xã </t>
  </si>
  <si>
    <t>Dự án 1: Giải quyết tình trạng thiếu đất ở, nhà ở, đất sản xuất và nước sinh hoạt</t>
  </si>
  <si>
    <t xml:space="preserve"> - Hỗ trợ chuyển đổi nghề </t>
  </si>
  <si>
    <t xml:space="preserve"> + Sự nghiệp giáo dục, đào tạo và dạy nghề</t>
  </si>
  <si>
    <t xml:space="preserve"> + Sự nghiệp kinh tế</t>
  </si>
  <si>
    <t xml:space="preserve"> - Hỗ trợ nước sinh hoạt phân tán</t>
  </si>
  <si>
    <t xml:space="preserve"> + Đảm bảo xã hội</t>
  </si>
  <si>
    <t>Dự án 3: Phát triển sản xuất nông, lâm nghiệp bền vững, phát huy tiềm năng, thế mạnh của các vùng miền để sản xuất hàng hóa theo chuỗi giá trị</t>
  </si>
  <si>
    <t xml:space="preserve"> - Tiểu dự án 1: Phát triển kinh tế nông, lâm nghiệp bền vững gắn với bảo vệ rừng và nâng cao thu nhập cho người dân (sự nghiệp kinh tế).</t>
  </si>
  <si>
    <t xml:space="preserve"> - Tiểu dự án 2: Hỗ trợ phát triển sản xuất theo chuỗi giá trị, vùng trồng dược liệu quý, thúc đẩy khởi sự kinh doanh, khởi nghiệp và thu hút đầu tư vùng đồng bào DTTS&amp;MN </t>
  </si>
  <si>
    <t xml:space="preserve"> + Sự nghiệp y tế</t>
  </si>
  <si>
    <t>Dự án 4: Đầu tư cơ sở hạ tầng thiết yếu, phục vụ sản xuất, đời sống trong vùng đồng bào DTTS&amp;MN và các đơn vị sự nghiệp công nghiệp của lĩnh vực</t>
  </si>
  <si>
    <t xml:space="preserve"> - Tiểu dự án 1: Đầu tư CSHT thiết yếu, phục vụ sản xuất, đời sống trong vùng đồng bào DTTS&amp;MN (sự nghiệp kinh tế)</t>
  </si>
  <si>
    <t xml:space="preserve"> + Vốn đầu tư</t>
  </si>
  <si>
    <t xml:space="preserve"> + Vốn sự nghiệp</t>
  </si>
  <si>
    <t>Dự án 5: Phát triển giáo dục nâng cao chất lượng nguồn nhân lực</t>
  </si>
  <si>
    <t xml:space="preserve"> - Tiểu dự án 1: Đổi mới hoạt động, củng cố phát triển các trường phổ thông dân tộc nội trú, trường phổ thông có học sinh bán trú và xóa mù cho người dân vùng đồng bào DTTS (sự nghiệp giáo dục, đào tạo và dạy nghề).</t>
  </si>
  <si>
    <t xml:space="preserve"> - Tiểu dự án 2: Bồi dưỡng kiến thức dân tộc, đào tạo dự bị đại học, đại học và sau đại học đáp ứng nhu cầu nhân lực cho vùng đồng bào DTTS&amp;MN (sự nghiệp giáo dục, đào tạo và dạy nghề)</t>
  </si>
  <si>
    <t xml:space="preserve"> - Tiểu dự án 3: Dự án phát triển giáo dục nghề nghiệp và giải quyết việc làm cho người lao động vùng DTTS&amp;MN (sự nghiệp giáo dục, đào tạo và dạy nghề)</t>
  </si>
  <si>
    <t xml:space="preserve"> - Tiểu dự án 4: Đào tạo nâng cao năng lực cho cộng đồng và cán bộ triển khai Chương trình ở các cấp (sự nghiệp giáo dục, đào tạo và dạy nghề).</t>
  </si>
  <si>
    <t>Dự án 6: Bảo tồn, phát huy giá trị văn hóa truyền thống tốt đẹp của các dân tộc thiểu số gắn với phát triển du lịch (sự nghiệp văn hóa thông tin)</t>
  </si>
  <si>
    <t>Dự án 7: Chăm sóc sức khỏe nhân dân, nâng cao thể trạng, tầm vóc người dân tộc thiểu số; phòng chống suy dinh dưỡng trẻ em (sự nghiệp y tế, dân số và gia đình)</t>
  </si>
  <si>
    <t>Dự án 8: Thực hiện bình đẳng và giải quyết những vấn đề cấp thiết đối với phụ nữ và trẻ em</t>
  </si>
  <si>
    <t>Dự án 9: Đầu tư phát triển nhóm dân tộc thiểu số rất ít người và nhóm dân tộc còn nhiều khó khăn</t>
  </si>
  <si>
    <t xml:space="preserve"> - Tiểu dự án 1: Đầu tư tạo sinh kế bền vững, phát triển kinh tế - xã hội nhóm dân tộc thiểu số còn nhiều khó khăn, có khó khăn đặc thù</t>
  </si>
  <si>
    <t xml:space="preserve"> + Sự nghiệp y tế, dân số và gia đình</t>
  </si>
  <si>
    <t xml:space="preserve"> + Sự nghiệp văn hóa thông tin</t>
  </si>
  <si>
    <t xml:space="preserve"> + Sự nghiệp kinh tế.</t>
  </si>
  <si>
    <t xml:space="preserve"> - Tiểu dự án 2: Giảm thiểu tình trạng tảo hôn và hôn nhân cận huyết thống trong vùng đồng bào dân tộc thiểu số và miền núi</t>
  </si>
  <si>
    <t>Dự án 10: Truyền thông, tuyên truyền, vận động trong vùng đồng bào DTTS&amp;MN. Kiểm tra, giám sát đánh giá việc tổ chức thực hiện Chương trình</t>
  </si>
  <si>
    <t xml:space="preserve"> - 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2021 - 2030 (sự nghiệp văn hóa thông tin)</t>
  </si>
  <si>
    <t xml:space="preserve"> - Tiểu dự án 2: Ứng dụng công nghệ thông tin hỗ trợ phát triển kinh tế - xã hội và đảm bảo an ninh trật tự vùng đồng bào dân tộc thiểu số và miền núi (sự nghiệp văn hóa thông tin).</t>
  </si>
  <si>
    <t xml:space="preserve"> - Tiểu dự án 3: Kiểm tra, giám sát, đánh giá, đào tạo, tập huấn tổ chức thực hiện Chương trình (sự nghiệp kinh tế)</t>
  </si>
  <si>
    <t>Dự án 1: Hỗ trợ đầu tư phát triển hạ tầng kinh tế - xã hội các huyện nghèo</t>
  </si>
  <si>
    <t xml:space="preserve"> - Tiểu dự án 1: Hỗ trợ đầu tư phát triển hạ tầng kinh tế - xã hội các huyện nghèo (sự nghiệp kinh tế)</t>
  </si>
  <si>
    <t xml:space="preserve"> - Tiểu dự án 2: Đề án hỗ trợ một số huyện nghèo thoát khỏi tình trạng nghèo, đặc biệt khó khăn (sự nghiệp kinh tế).</t>
  </si>
  <si>
    <t>Dự án 2: Đa dạng hoá sinh kế, phát triển mô hình giảm nghèo (sự nghiệp kinh tế)</t>
  </si>
  <si>
    <t>Dự án 3: Hỗ trợ phát triển sản xuất, cải thiện dinh dưỡng</t>
  </si>
  <si>
    <t xml:space="preserve"> - Tiểu dự án 1: Hỗ trợ phát triển sản xuất trong lĩnh vực nông nghiệp (Sự nghiệp kinh tế)</t>
  </si>
  <si>
    <t xml:space="preserve"> - Tiểu dự án 2: Cải thiện dinh dưỡng (Sự nghiệp y tế dân số và gia đình).</t>
  </si>
  <si>
    <t>Dự án 4: Phát triển giáo dục nghề nghiệp, việc làm bền vững</t>
  </si>
  <si>
    <t xml:space="preserve"> - Tiểu dự án 1: Phát triển giáo dục nghề nghiệp vùng nghèo, vùng khó khăn (sự nghiệp giáo dục)</t>
  </si>
  <si>
    <t xml:space="preserve">      +) Hỗ trợ cơ quan quản lý và các cơ sở giáo dục nghề nghiệp công lập</t>
  </si>
  <si>
    <t xml:space="preserve">      +) Hỗ trợ địa phương đào tạo nghề cho người lao động</t>
  </si>
  <si>
    <t xml:space="preserve"> - Tiểu dự án 2: Hỗ trợ người lao động đi làm việc ở nước ngoài theo hợp đồng (sự nghiệp kinh tế)</t>
  </si>
  <si>
    <t xml:space="preserve"> - Tiểu dự án 3: Hỗ trợ việc làm bền vững (sự nghiệp kinh tế)</t>
  </si>
  <si>
    <t>Dự án 5: Hỗ trợ nhà ở cho hộ nghèo, hộ cận nghèo trên địa bàn các huyện nghèo (sự nghiệp kinh tế)</t>
  </si>
  <si>
    <t>Dự án 6: Truyền thông và giảm nghèo về thông tin</t>
  </si>
  <si>
    <t xml:space="preserve"> - Tiểu dự án 1: Giảm nghèo về thông tin (sự nghiệp văn hóa thông tỉn)</t>
  </si>
  <si>
    <t xml:space="preserve"> - Tiểu dự án 2: Truyền thông về giảm nghèo đa chiều (sự nghiệp văn hóa, thông tin)</t>
  </si>
  <si>
    <t>Dự án 7: Nâng cao năng lực và giám sát, đánh giá Chương trình</t>
  </si>
  <si>
    <t xml:space="preserve"> - Tiểu dự án 1: Nâng cao năng lực thực hiện Chương trình (sự nghiệp giáo dục, đào tạo và dạy nghề)</t>
  </si>
  <si>
    <t xml:space="preserve"> - Tiểu dự án 2: Giám sát, đánh giá (Sự nghiệp giáo dục, đào tạo và dạy nghề)</t>
  </si>
  <si>
    <t xml:space="preserve"> * Nội dung thành phần số 2</t>
  </si>
  <si>
    <t xml:space="preserve"> * Nội dung thành phần số 3</t>
  </si>
  <si>
    <t xml:space="preserve"> - Nội dung 02: Xây dựng và phát triển hiệu quả các vùng nguyên liệu tập trung, chuyển đổi cơ cấu sản xuất, góp phần thúc đẩy chuyển đổi số trong nông nghiệp</t>
  </si>
  <si>
    <t xml:space="preserve"> - Nội dung 04: Triển khai Chương trình mỗi xã một sản phẩm (OCOP) gắn với lợi thế vùng miền; phát triển tiểu thủ công nghiệp, ngành nghề và dịch vụ nông thôn, bảo tồn và phát huy các làng nghề truyền thống ở nông thôn</t>
  </si>
  <si>
    <t xml:space="preserve"> - Nội dung 05: Nâng cao hiệu quả hoạt động của các hình thức tổ chức sản xuất (Hỗ trợ bồi dưỡng nguồn nhân lực phát triển HTX giai đoạn 2021-2025)</t>
  </si>
  <si>
    <t xml:space="preserve"> - Nội dung 06: Nâng cao hiệu quả hoạt động của các hệ thống kết nối, xúc tiến tiêu thụ nông sản</t>
  </si>
  <si>
    <t xml:space="preserve"> - Nội dung 08: Thực hiện Chương trình phát triển du lịch nông thôn trong xây dựng nông thôn mới</t>
  </si>
  <si>
    <t xml:space="preserve"> * Nội dung thành phần số 6</t>
  </si>
  <si>
    <t xml:space="preserve"> - Nội dung 01: Nâng cao hiệu quả hoạt động của hệ thống thiết chế văn hóa, thể thao cơ sở; tăng cường nâng cao chất lượng hoạt động văn hóa, thể thao nông thôn</t>
  </si>
  <si>
    <t xml:space="preserve"> * Nội dung thành phần số 7</t>
  </si>
  <si>
    <t xml:space="preserve"> - Nội dung 05: Giữ gìn và khôi phục cảnh quan truyền thống của nông thôn Việt Nam;tập trung phát triển các mô hình thôn, xóm sáng, xanh, sạch, đẹp, an toàn; khu dân cư kiểu mẫu</t>
  </si>
  <si>
    <t xml:space="preserve"> * Nội dung thành phần số 8</t>
  </si>
  <si>
    <t xml:space="preserve"> - Nội dung 01: Triển khai đề án về đào tạo, bồi dưỡng kiến thức, năng lực quản lý hành chính, quản lý kinh tế - xã hội chuyên sâu, chuyển đổi tư duy về phát triển kinh tế nông thôn cho cán bộ, công chức xã theo quy định, đáp ứng yêu cầu xây dựng NTM</t>
  </si>
  <si>
    <t xml:space="preserve"> - Nội dung 03: Triển khai hiệu quả Chương trình chuyển đổi số trong xây dựng NTM, hướng tới NTM thông minh giai đoạn 2021 - 2025</t>
  </si>
  <si>
    <t xml:space="preserve"> - Nội dung 04: Tăng cường hiệu quả công tác phổ biến, giáo dục pháp luật, hòa giải ở cơ sở, giải quyết hòa giải, mâu thuẫn ở khu vực nông thôn</t>
  </si>
  <si>
    <t xml:space="preserve"> - Nội dung 05: Nâng cao nhận thức, thông tin về trợ giúp pháp lý; tăng cường khả năng thụ hưởng dịch vụ trợ giúp pháp lý</t>
  </si>
  <si>
    <t xml:space="preserve"> - Nội dung 06: Tăng cường giải pháp nhằm đảm bảo bình đẳng giới và phòng chống bạo lực trên cơ sở giới; tăng cường chăm sóc, bảo vệ trẻ em và hỗ trợ những người dễ bị tổn thương trong các lĩnh vực của gia đình và đời sống xã hội</t>
  </si>
  <si>
    <t xml:space="preserve"> * Nội dung thành phần số 9</t>
  </si>
  <si>
    <t xml:space="preserve"> - Nội dung 01: nâng cao hiệu quả thực hiện công tác giám sát và phản biện xã hội trong xây dựng NTM; nâng cao hiệu quả việc lấy ý kiến sự hài lòng của người dân về kết quả xây dựng NTM</t>
  </si>
  <si>
    <t xml:space="preserve"> - Nội dung 02: Triển khai hiệu quả phong trào “Nông dân thi đua sản xuất kinh doanh giỏi, đoàn kết giúp nhau làm giàu và giảm nghèo bền vững”; xây dựng các Chi hội nông dân nghề nghiệp, Tổ hội nông dân nghề nghiệp </t>
  </si>
  <si>
    <t xml:space="preserve"> - Nội dung 03: Triển khai hiệu quả Đề án “Hỗ trợ phụ nữ khởi nghiệp giai đoạn 2017-2025”</t>
  </si>
  <si>
    <t xml:space="preserve"> - Nội dung 04: Thúc đẩy chương trình khởi nghiệp, thanh niên làm kinh tế; triển khai hiệu quả Chương trình trí thức trẻ tình nguyện tham gia xây dựng NTM</t>
  </si>
  <si>
    <t xml:space="preserve"> - Nội dung 05: Vun đắp, gìn giữ giá trị tốt đẹp và phát triển hệ giá trị gia đình Việt Nam; thực hiện Cuộc vận động “Xây dựng gia đình 5 không, 3 sạch”</t>
  </si>
  <si>
    <t xml:space="preserve"> * Nội dung thành phần số 10</t>
  </si>
  <si>
    <t xml:space="preserve"> - Nội dung 01: Tăng cường đảm bảo an ninh và trật tự xã hội nông thôn</t>
  </si>
  <si>
    <t xml:space="preserve"> * Nội dung thành phần số 11</t>
  </si>
  <si>
    <t xml:space="preserve"> - Nội dung 01: Nâng cao chất lượng và hiệu quả công tác kiểm tra, giám sát, đánh giá kết quả thực hiện Chương trình</t>
  </si>
  <si>
    <r>
      <t xml:space="preserve"> - </t>
    </r>
    <r>
      <rPr>
        <sz val="12"/>
        <rFont val="Times New Roman"/>
        <family val="1"/>
      </rPr>
      <t>Nội dung 02: bồi dưỡng, tập huấn kiến thức, kỹ năng số và an toàn thông tin cho cán bộ cấp xã; phổ biến kiến thức, nâng cao kỹ năng số và năng lực tiếp cận thông tin cho người dân nông thôn</t>
    </r>
  </si>
  <si>
    <t>Chi các CTMTQG giai đoạn 2016-2020</t>
  </si>
  <si>
    <t>Chi đầu tư</t>
  </si>
  <si>
    <t>Chi sự nghiệp</t>
  </si>
  <si>
    <t xml:space="preserve"> Dự án 2: Chương trình 135</t>
  </si>
  <si>
    <t xml:space="preserve">Vốn đầu tư </t>
  </si>
  <si>
    <t>Chi các CTMTQG giai đoạn 2021-2025</t>
  </si>
  <si>
    <t>Chương trình MTQG phát triển KT-XH vùng đồng bào dân tộc thiểu số và miền núi</t>
  </si>
  <si>
    <t>Chương trình MTQG giảm nghèo bền vững</t>
  </si>
  <si>
    <t>Chương trình MTQG xây dựng NTM</t>
  </si>
  <si>
    <t>Chi CTMT, nhiệm vụ khác</t>
  </si>
  <si>
    <t>Chi CTMT
quốc gia</t>
  </si>
  <si>
    <r>
      <t xml:space="preserve"> - </t>
    </r>
    <r>
      <rPr>
        <sz val="11"/>
        <rFont val="Times New Roman"/>
        <family val="1"/>
      </rPr>
      <t>Nội dung 02: bồi dưỡng, tập huấn kiến thức, kỹ năng số và an toàn thông tin cho cán bộ cấp xã; phổ biến kiến thức, nâng cao kỹ năng số và năng lực tiếp cận thông tin cho người dân nông thôn</t>
    </r>
  </si>
  <si>
    <t>Chương trình MTQG XD nông thôn mới</t>
  </si>
  <si>
    <t>Ghi chú</t>
  </si>
  <si>
    <t>10;
ngày 25/1/2022</t>
  </si>
  <si>
    <t>UBND xã nà Tòng</t>
  </si>
  <si>
    <t>2011-2016</t>
  </si>
  <si>
    <t>Đường giao thông từ QL 6A - Khu tái định cư bản Hua Mức 2 thuộc dự án đầu tư di chuyển dân cư nơi nguy cơ sạt lở cao, đời sống đặc biệt khó khăn thuộc các bản Hua Mức 1, Hua Mức 2, Pu Si đến tái định cư tại bản Hua Mức 2 xã Mường Mùn - huyện Tuần Giáo</t>
  </si>
  <si>
    <t>QĐ số 1064 ngày 26/10/2011</t>
  </si>
  <si>
    <t>77;
ngày 18/8/2021</t>
  </si>
  <si>
    <t>Nâng cấp sửa chữa đường bản Háng Tàu, xã Tỏa Tình</t>
  </si>
  <si>
    <t>xã Tỏa Tình</t>
  </si>
  <si>
    <t>2022-2024</t>
  </si>
  <si>
    <t>18; ngày 09/3/2022</t>
  </si>
  <si>
    <t>Nâng cấp sửa chữa đường bản Củ, bản Bó Giáng xã Quài Nưa</t>
  </si>
  <si>
    <t>xã Quài Nưa</t>
  </si>
  <si>
    <t>16; ngày 01/3/2022</t>
  </si>
  <si>
    <t>Nâng cấp sửa chữa đường bản Cản, bản Sáng, bản Sảo</t>
  </si>
  <si>
    <t>22; ngày 21/3/2022</t>
  </si>
  <si>
    <t>Nâng cấp cầu khối Đồng Tâm + Mặt đường khối Huổi Củ, thị trấn Tuần Giáo</t>
  </si>
  <si>
    <t>42; ngày 07/4/2022</t>
  </si>
  <si>
    <t>Cổng chào huyện Tuần Giáo</t>
  </si>
  <si>
    <t>2022</t>
  </si>
  <si>
    <t>39; ngày 04/4/2022</t>
  </si>
  <si>
    <t>Hạ tầng khu đất trụ sở xã Quài Tở ( cũ )</t>
  </si>
  <si>
    <t>2022-2023</t>
  </si>
  <si>
    <t>37; ngày 31/3/2022</t>
  </si>
  <si>
    <t xml:space="preserve">Chưa phân bổ </t>
  </si>
  <si>
    <t>4.1</t>
  </si>
  <si>
    <t>Đường từ bản Co Đứa - TT xã Mường Khong</t>
  </si>
  <si>
    <t>Nguồn thu tiền cho thuê đất (Ghi thu, ghi chi)</t>
  </si>
  <si>
    <t>Chi bồi thường, GPMB bằng vào tiền thuê đất năm 2022</t>
  </si>
  <si>
    <t>B1.1</t>
  </si>
  <si>
    <t>Các CTMTQG giai đoạn 2016-2020</t>
  </si>
  <si>
    <t>Chương trình MTQG giảm nghèo (Chương trình 30a)</t>
  </si>
  <si>
    <t>4.2</t>
  </si>
  <si>
    <t>B1.2</t>
  </si>
  <si>
    <t>Các CTMTQG giai đoạn 2021-2025</t>
  </si>
  <si>
    <t>Chương trình mục tiêu quốc gia Xây dựng nông thôn mới (Giai đoạn 2021-2025)</t>
  </si>
  <si>
    <t>2020-2022</t>
  </si>
  <si>
    <t>Đường từ bản Hồng Lực, xã Nà Sáy – bản Co Đứa, xã Mường Khong, huyện Tuần Giáo.</t>
  </si>
  <si>
    <t>53; ngày 14/01/2021</t>
  </si>
  <si>
    <t>Trụ sở xã Mường Khong</t>
  </si>
  <si>
    <t>xã Mường Khong</t>
  </si>
  <si>
    <t>111; ngày 12/8/2022</t>
  </si>
  <si>
    <t>Đường giao thông bản Yên - Thẩm Xả xã Mường Thín (giai đoạn 2)</t>
  </si>
  <si>
    <t>xã Mường Thín</t>
  </si>
  <si>
    <t>113;ngày 12/8/2022</t>
  </si>
  <si>
    <t>Nhà văn hóa bản Lói xã Quài Tở</t>
  </si>
  <si>
    <t>112;ngày 12/8/2022</t>
  </si>
  <si>
    <t xml:space="preserve"> UBND xã Mường Khong</t>
  </si>
  <si>
    <t>Nhà văn hóa xã Mường Khong</t>
  </si>
  <si>
    <t>152; ngày 30/10/2018</t>
  </si>
  <si>
    <t>Chương trình MTQG phát triển KT-XH vùng đồng bào dân tộc thiểu số (Giai đoạn 2021-2025)</t>
  </si>
  <si>
    <t xml:space="preserve"> UBND xã Chiềng Sinh</t>
  </si>
  <si>
    <t xml:space="preserve">Bản đặc biệt khó khăn (01 bản) Đường nội bản Dửn - Giai đoạn 2 </t>
  </si>
  <si>
    <t>xã Chiềng Sinh</t>
  </si>
  <si>
    <t xml:space="preserve">71a; ngày 30/10/2019 </t>
  </si>
  <si>
    <t xml:space="preserve"> UBND xã Mường khong</t>
  </si>
  <si>
    <t>Nhà văn hoá bản Co Đứa xã Mường Khong</t>
  </si>
  <si>
    <t xml:space="preserve">151; ngày 30/10/2018 </t>
  </si>
  <si>
    <t>Hội phụ nữ</t>
  </si>
  <si>
    <t>Chi nộp trả ngân sách cấp trên</t>
  </si>
  <si>
    <t>29=14/1</t>
  </si>
  <si>
    <t>30=15/2</t>
  </si>
  <si>
    <t>31=18/5</t>
  </si>
  <si>
    <t>Chi thường xuyên  (không kể CTMTQG)</t>
  </si>
  <si>
    <t>Dự phòng</t>
  </si>
  <si>
    <t>32=21/9</t>
  </si>
  <si>
    <t>33=24/12</t>
  </si>
  <si>
    <t>Vốn sự nghiệp thực hiện các CTMT, nhiệm vụ</t>
  </si>
  <si>
    <t>QUYẾT TOÁN CHI NGÂN SÁCH CẤP HUYỆN CHO TỪNG CƠ QUAN, TỔ CHỨC THEO LĨNH VỰC NĂM 2023</t>
  </si>
  <si>
    <t xml:space="preserve"> CỦA TỪNG CƠ QUAN, TỔ CHỨC THEO NGUỒN VỐN NĂM 2023</t>
  </si>
  <si>
    <t>QUYẾT TOÁN CHI THƯỜNG XUYÊN CỦA NGÂN SÁCH CẤP HUYỆN CHO TỪNG CƠ QUAN, TỔ CHỨC THEO LĨNH VỰC NĂM 2023</t>
  </si>
  <si>
    <t>Chi khác ngân sách (HT các đơn vị ngoài NS)</t>
  </si>
  <si>
    <t>Tăng thu thực hiện năm 2022, năm 2023</t>
  </si>
  <si>
    <t>Chi khác ngân sách (Hỗ trợ các đơn vị ngoài NS)</t>
  </si>
  <si>
    <t xml:space="preserve"> Quy hoạch SDĐ gđ 2021-2030 và kế hoạch SDĐ năm 2022, năm 2023</t>
  </si>
  <si>
    <t>Sự nghiệp y tế (Chăm sóc bảo vệ sức khỏe CBCS)</t>
  </si>
  <si>
    <t>Chi TX chưa PB (Nguồn CCTL, Các CS của địa phương)</t>
  </si>
  <si>
    <t>CHO  TỪNG CƠ QUAN, TỔ CHỨC THEO LĨNH VỰC NĂM 2023</t>
  </si>
  <si>
    <t xml:space="preserve">Đầu tư từ nguồn tăng thu </t>
  </si>
  <si>
    <t>QT thực</t>
  </si>
  <si>
    <t>Nộp trả</t>
  </si>
  <si>
    <t>CN</t>
  </si>
  <si>
    <t>Đối ứng vốn SN CTMTQG (NTM + DTTS)</t>
  </si>
  <si>
    <t>Đối ứng vốn SN CTMTQG (NTM+DTTS)</t>
  </si>
  <si>
    <t>1=2+3+4-5</t>
  </si>
  <si>
    <t>QUYẾT TOÁN VỐN ĐẦU TƯ CÁC CHƯƠNG TRÌNH, DỰ ÁN SỬ DỤNG VỐN NGÂN SÁCH NHÀ NƯỚC NĂM 2023</t>
  </si>
  <si>
    <t>Giá trị khối lượng thực hiện từ khởi công đến 31/12/2023</t>
  </si>
  <si>
    <t>Lũy kế vốn đã bố trí đến 31/12/2023</t>
  </si>
  <si>
    <t>Ban QLDA và PTQĐ huyện Tuần Giáo</t>
  </si>
  <si>
    <t>Trích đo bản đồ, lập HS ĐC phục vụ công tác  thu hồi, bồi trường GPMB DA xây dựng đường GT từ QL6A - Khu TĐC Hua Mức 2 (thuộc DAđầu tư di chuyển dân cư nơi nguy cơ sạt lở cao, đời sống ĐBKK thuộc bản Hua ca 1, Hua Mức 2, Pu Si đến TĐC tại bản Hua Mức 2 xã Mường Mùn)</t>
  </si>
  <si>
    <t>172; ngày 18/12/2019</t>
  </si>
  <si>
    <t>Đường nội bản Nậm Din + Háng Khúa xã Phình Sáng</t>
  </si>
  <si>
    <t>xã Phình Sáng</t>
  </si>
  <si>
    <t>Đường nội thị thị trấn Tuần Giáo huyện Tuần Giáo</t>
  </si>
  <si>
    <t>Đèn chiếu sáng, đèn trang trí khu trung tâm thị trấn Tuần Giáo (QL6, QL279 + đường tránh QL279)</t>
  </si>
  <si>
    <t>TT Tuần giáo</t>
  </si>
  <si>
    <t>Đường vào bản Lập</t>
  </si>
  <si>
    <t>Rãnh thoát nước từ QL279 đến khu ruộng Na Ké ra suối</t>
  </si>
  <si>
    <t>Nguồn Tăng thu năm 2023</t>
  </si>
  <si>
    <t>'Nhà văn hóa bản Bó Giáng, xã Quài Nưa</t>
  </si>
  <si>
    <t xml:space="preserve"> xã Quài Nưa</t>
  </si>
  <si>
    <t>Công viên cây xanh trung tâm huyện Tuần Giáo</t>
  </si>
  <si>
    <t>Phòng Giáo dục và Đào tạo huyện Tuần Giáo</t>
  </si>
  <si>
    <t>Điểm trường Mầm non + Tiểu học Thẩm Táng</t>
  </si>
  <si>
    <t xml:space="preserve"> xã Pú Xi</t>
  </si>
  <si>
    <t>Đường + ngầm bản Co Đứa xã Mường Khong</t>
  </si>
  <si>
    <t>196; ngày 07/11/2022</t>
  </si>
  <si>
    <t>Đường + ngầm bản Khong Nưa xã Mường Khong</t>
  </si>
  <si>
    <t>178; ngày 27/10/2022</t>
  </si>
  <si>
    <t>Đường Huổi Khạ - Pú Piến xã Mường Mùn (giai đoạn 2)</t>
  </si>
  <si>
    <t xml:space="preserve">Xã Mường Mùn </t>
  </si>
  <si>
    <t>179; ngày 28/10/2022</t>
  </si>
  <si>
    <t>NSH trung tâm xã Pú Xi mới</t>
  </si>
  <si>
    <t>191; ngày 07/11/2022</t>
  </si>
  <si>
    <t>NSH bản Ten Hon + Thẩm Nậm xã Tênh Phông</t>
  </si>
  <si>
    <t>153; ngày 05/10/2022</t>
  </si>
  <si>
    <t>Đường từ bản Nôm đi bản Hua Nạ</t>
  </si>
  <si>
    <t>180; ngày 28/10/2022</t>
  </si>
  <si>
    <t>Đường từ bản Chăn đi bản Hua Chăn xã Chiềng Đông</t>
  </si>
  <si>
    <t>181; ngày 31/10/2022</t>
  </si>
  <si>
    <t>Thủy lợi bản Kệt xã Quài Cang</t>
  </si>
  <si>
    <t>194; ngày 07/11/2022</t>
  </si>
  <si>
    <t>Đường vào bản Há Dùa xã Tênh Phông (GĐ2)</t>
  </si>
  <si>
    <t>177; ngày 27/10/2022</t>
  </si>
  <si>
    <t>Đường từ ngã ba đi Nà Đắng - bản Trạm Củ xã Ta Ma</t>
  </si>
  <si>
    <t>182; ngày 31/10/2022</t>
  </si>
  <si>
    <t>Đường từ TT xã Pú Xi - bản Pú Xi 2</t>
  </si>
  <si>
    <t>183; ngày 01/11/2022</t>
  </si>
  <si>
    <t>Đường từ bản Hua Mức III đi bản Thẩm Táng xã Pú Xi (Giai đoạn 1)</t>
  </si>
  <si>
    <t>184; ngày 02/11/2022</t>
  </si>
  <si>
    <t>KCH kênh nội đồng thủy lợi Chiềng Sinh II</t>
  </si>
  <si>
    <t>136; ngày 31/8/2022</t>
  </si>
  <si>
    <t>Đường bản Ly Xôm xã Chiềng Sinh</t>
  </si>
  <si>
    <t>2023-2025</t>
  </si>
  <si>
    <t>19; ngày 12/5/2023</t>
  </si>
  <si>
    <t>Trường THCS Quài Nưa</t>
  </si>
  <si>
    <t>20; ngày 12/5/2023</t>
  </si>
  <si>
    <t>Đường bản Nậm Bay xã Nà Tòng</t>
  </si>
  <si>
    <t>21; ngày 12/5/2023</t>
  </si>
  <si>
    <t>Trường PTDTBT TH Bình Minh</t>
  </si>
  <si>
    <t xml:space="preserve">Xã Chiềng Đông </t>
  </si>
  <si>
    <t>188; ngày 07/11/2022</t>
  </si>
  <si>
    <t>Trường PTDTBT TH Mường Mùn</t>
  </si>
  <si>
    <t>198; ngày 07/11/2022</t>
  </si>
  <si>
    <t>Trường PTDTBT THCS Ta Ma</t>
  </si>
  <si>
    <t>187; ngày 04/11/2022</t>
  </si>
  <si>
    <t>Trường PTDTBT THCS Phình Sáng</t>
  </si>
  <si>
    <t>186; ngày 04/11/2022</t>
  </si>
  <si>
    <t>Trường PTDTBT TH Nà Tòng</t>
  </si>
  <si>
    <t>189; ngày 07/11/2022</t>
  </si>
  <si>
    <t>Trường PTDTBT TH Nậm Din</t>
  </si>
  <si>
    <t>185; ngày 03/11/2022</t>
  </si>
  <si>
    <t>30=25/20</t>
  </si>
  <si>
    <t>31=26/21</t>
  </si>
  <si>
    <t>QUYẾT TOÁN CHI CHƯƠNG TRÌNH MỤC TIÊU QUỐC GIA NĂM 2023</t>
  </si>
  <si>
    <t>QUYẾT TOÁN CHI NGÂN SÁCH ĐỊA PHƯƠNG, CHI NGÂN SÁCH CẤP HUYỆN VÀ NGÂN SÁCH XÃ THEO CƠ CẤU CHI NĂM 2023</t>
  </si>
  <si>
    <t xml:space="preserve"> Trong đó: Vốn trong nước</t>
  </si>
  <si>
    <t>Trong đó: Vốn trong nước</t>
  </si>
  <si>
    <t xml:space="preserve"> - Tiểu dự án 2: Ứng dụng công nghệ thông tin hỗ trợ phát triển kinh tế - xã hội và đảm bảo an ninh trật tự vùng đồng bào dân tộc thiểu số và miền núi (sự nghiệp văn hóa thông tin)</t>
  </si>
  <si>
    <t xml:space="preserve"> - Tiểu dự án 2: Bồi dưỡng kiến thức dân tộc, đào tạo dự bị đại học, đại học và sau đại học đáp ứng nhu cầu nhân lực cho vùng đồng bào DTTS&amp;MN (sự nghiệp giáo dục)</t>
  </si>
  <si>
    <t>QUYẾT TOÁN CHI NGÂN SÁCH ĐỊA PHƯƠNG THEO LĨNH VỰC NĂM 2023</t>
  </si>
  <si>
    <t>QUYẾT TOÁN CHI NGÂN SÁCH CẤP HUYỆN THEO LĨNH VỰC NĂM 2023</t>
  </si>
  <si>
    <t>QUYẾT TOÁN NGUỒN THU NGÂN SÁCH NHÀ NƯỚC TRÊN ĐỊA BÀN THEO LĨNH VỰC NĂM 2023</t>
  </si>
  <si>
    <t>- Thuế tiêu thụ đặc biệt hàng SX- kinh doanh trong nước</t>
  </si>
  <si>
    <t xml:space="preserve"> - Phí lệ phí do cơ quan nhà nước TW thu, tỉnh thu</t>
  </si>
  <si>
    <t xml:space="preserve"> - Phí, lệ phí do cơ quan nhà nước huyện thu</t>
  </si>
  <si>
    <t xml:space="preserve"> - Phí, lệ phí do cơ quan xã thu</t>
  </si>
  <si>
    <t xml:space="preserve"> - Thu khác ngân sách trung ương, tỉnh</t>
  </si>
  <si>
    <t>CẤP HUYỆN VÀ NGÂN SÁCH XÃ NĂM 2023</t>
  </si>
  <si>
    <t>QUYẾT TOÁN CÂN ĐỐI NGÂN SÁCH ĐỊA PHƯƠNG NĂM 2023</t>
  </si>
  <si>
    <t>QUYẾT TOÁN CHI BỔ SUNG TỪ NGÂN SÁCH CẤP HUYỆN CHO NGÂN SÁCH TỪNG XÃ NĂM 2023</t>
  </si>
  <si>
    <t>QUYẾT TOÁN THU NGÂN SÁCH XÃ NĂM 2023</t>
  </si>
  <si>
    <t>QUYẾT TOÁN CHI NGÂN SÁCH ĐỊA PHƯƠNG TỪNG XÃ NĂM 2023</t>
  </si>
  <si>
    <t>TỔNG HỢP CÁC QUỸ TÀI CHÍNH NHÀ NƯỚC NGOÀI NGÂN SÁCH DO ĐỊA PHƯƠNG QUẢN LÝ NĂM 2023</t>
  </si>
  <si>
    <t>Kế hoạch năm 2023</t>
  </si>
  <si>
    <t>Thực hiện năm 2023</t>
  </si>
  <si>
    <t>Dư nguồn đến ngày 31/12/2023</t>
  </si>
  <si>
    <t>Xã Quài Tở</t>
  </si>
  <si>
    <t>Xã Mường Thín</t>
  </si>
  <si>
    <t>3</t>
  </si>
  <si>
    <t>5</t>
  </si>
  <si>
    <t>Xã Mùn Chung</t>
  </si>
  <si>
    <t>6</t>
  </si>
  <si>
    <t>Thi trấn Tuần Giáo</t>
  </si>
  <si>
    <t>7</t>
  </si>
  <si>
    <t>8</t>
  </si>
  <si>
    <t>9</t>
  </si>
  <si>
    <t>10</t>
  </si>
  <si>
    <t>11</t>
  </si>
  <si>
    <t>12</t>
  </si>
  <si>
    <t>13</t>
  </si>
  <si>
    <t>14</t>
  </si>
  <si>
    <t>Xã Tỏa Tình</t>
  </si>
  <si>
    <t>15</t>
  </si>
  <si>
    <t>16</t>
  </si>
  <si>
    <t>17</t>
  </si>
  <si>
    <t>Xã Pú Nhung</t>
  </si>
  <si>
    <t>18</t>
  </si>
  <si>
    <t>19</t>
  </si>
  <si>
    <t>Xã Nà Sáy</t>
  </si>
  <si>
    <t>TỔNG HỢP THU DỊCH VỤ CỦA ĐƠN VỊ SỰ NGHIỆP CÔNG NĂM 2023</t>
  </si>
  <si>
    <t>Mai</t>
  </si>
  <si>
    <t>Ban</t>
  </si>
  <si>
    <t>Bích</t>
  </si>
  <si>
    <t>(Kèm theo Báo cáo số  289/BC-UBND ngày  17 /6 /2024 của UBND huyện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</si>
</sst>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_);_(* \(#,##0\);_(* &quot;-&quot;_);_(@_)"/>
    <numFmt numFmtId="165" formatCode="_(* #,##0.00_);_(* \(#,##0.00\);_(* &quot;-&quot;??_);_(@_)"/>
    <numFmt numFmtId="166" formatCode="#,###;\-#,###;&quot;&quot;;_(@_)"/>
    <numFmt numFmtId="167" formatCode="###,###,###"/>
    <numFmt numFmtId="168" formatCode="&quot;$&quot;#,##0;\-&quot;$&quot;#,##0"/>
    <numFmt numFmtId="169" formatCode="_(* #,##0_);_(* \(#,##0\);_(* &quot;-&quot;??_);_(@_)"/>
    <numFmt numFmtId="170" formatCode="0.0%"/>
    <numFmt numFmtId="171" formatCode="_(* #,##0.0_);_(* \(#,##0.0\);_(* &quot;-&quot;??_);_(@_)"/>
    <numFmt numFmtId="172" formatCode="_(* #,##0.000_);_(* \(#,##0.000\);_(* &quot;-&quot;??_);_(@_)"/>
    <numFmt numFmtId="173" formatCode="#,##0.000000"/>
    <numFmt numFmtId="174" formatCode="#,##0.0000000"/>
    <numFmt numFmtId="175" formatCode="#,##0.0000"/>
  </numFmts>
  <fonts count="71">
    <font>
      <sz val="12"/>
      <name val=".Vntime"/>
    </font>
    <font>
      <sz val="12"/>
      <name val=".VnTime"/>
      <family val="2"/>
    </font>
    <font>
      <b/>
      <sz val="12"/>
      <name val="Times New Roman"/>
      <family val="1"/>
    </font>
    <font>
      <sz val="12"/>
      <name val="Times New Roman"/>
      <family val="1"/>
    </font>
    <font>
      <b/>
      <sz val="14"/>
      <name val="Times New Roman"/>
      <family val="1"/>
    </font>
    <font>
      <sz val="16"/>
      <name val="Times New Roman"/>
      <family val="1"/>
    </font>
    <font>
      <i/>
      <sz val="14"/>
      <name val="Times New Roman"/>
      <family val="1"/>
    </font>
    <font>
      <sz val="14"/>
      <name val="Times New Roman"/>
      <family val="1"/>
    </font>
    <font>
      <b/>
      <sz val="13"/>
      <name val="Times New Roman"/>
      <family val="1"/>
    </font>
    <font>
      <sz val="13"/>
      <name val="Times New Roman"/>
      <family val="1"/>
    </font>
    <font>
      <b/>
      <sz val="11"/>
      <name val="Times New Roman"/>
      <family val="1"/>
    </font>
    <font>
      <sz val="12"/>
      <name val=".VnArial Narrow"/>
      <family val="2"/>
    </font>
    <font>
      <i/>
      <sz val="12"/>
      <name val="Times New Roman"/>
      <family val="1"/>
    </font>
    <font>
      <sz val="13"/>
      <name val=".VnTime"/>
      <family val="2"/>
    </font>
    <font>
      <sz val="14"/>
      <name val=".VnTime"/>
      <family val="2"/>
    </font>
    <font>
      <sz val="9"/>
      <name val="Arial"/>
      <family val="2"/>
    </font>
    <font>
      <sz val="8"/>
      <name val=".VnTime"/>
      <family val="2"/>
    </font>
    <font>
      <sz val="11"/>
      <name val="Times New Roman"/>
      <family val="1"/>
    </font>
    <font>
      <b/>
      <sz val="10"/>
      <name val="Times New Roman"/>
      <family val="1"/>
    </font>
    <font>
      <b/>
      <sz val="9"/>
      <name val="Times New Roman"/>
      <family val="1"/>
    </font>
    <font>
      <sz val="9"/>
      <name val="Times New Roman"/>
      <family val="1"/>
    </font>
    <font>
      <sz val="10"/>
      <name val="Times New Roman"/>
      <family val="1"/>
    </font>
    <font>
      <sz val="8"/>
      <name val="Times New Roman"/>
      <family val="1"/>
    </font>
    <font>
      <b/>
      <sz val="8"/>
      <name val="Times New Roman"/>
      <family val="1"/>
    </font>
    <font>
      <sz val="10"/>
      <name val="Arial"/>
      <family val="2"/>
      <charset val="163"/>
    </font>
    <font>
      <i/>
      <sz val="10"/>
      <name val="Times New Roman"/>
      <family val="1"/>
    </font>
    <font>
      <b/>
      <sz val="11"/>
      <name val="Times New Romanh"/>
    </font>
    <font>
      <b/>
      <sz val="12"/>
      <name val="Times New Roman h"/>
    </font>
    <font>
      <i/>
      <sz val="9"/>
      <name val="Times New Roman"/>
      <family val="1"/>
    </font>
    <font>
      <sz val="10"/>
      <name val="Arial"/>
      <family val="2"/>
    </font>
    <font>
      <b/>
      <sz val="16"/>
      <name val="Times New Roman"/>
      <family val="1"/>
    </font>
    <font>
      <sz val="11"/>
      <color indexed="8"/>
      <name val="Times New Roman"/>
      <family val="1"/>
    </font>
    <font>
      <b/>
      <sz val="11"/>
      <color indexed="8"/>
      <name val="Times New Roman"/>
      <family val="1"/>
    </font>
    <font>
      <b/>
      <i/>
      <sz val="11"/>
      <name val="Times New Roman"/>
      <family val="1"/>
    </font>
    <font>
      <sz val="10"/>
      <name val=".VnTime"/>
      <family val="2"/>
    </font>
    <font>
      <b/>
      <u/>
      <sz val="11"/>
      <name val="Times New Roman"/>
      <family val="1"/>
    </font>
    <font>
      <b/>
      <sz val="20"/>
      <name val="Times New Roman"/>
      <family val="1"/>
    </font>
    <font>
      <i/>
      <sz val="16"/>
      <name val="Times New Roman"/>
      <family val="1"/>
    </font>
    <font>
      <i/>
      <sz val="13"/>
      <name val="Times New Roman"/>
      <family val="1"/>
    </font>
    <font>
      <b/>
      <i/>
      <sz val="13"/>
      <name val="Times New Roman"/>
      <family val="1"/>
    </font>
    <font>
      <b/>
      <sz val="11"/>
      <name val="Times New Roman h"/>
    </font>
    <font>
      <i/>
      <sz val="11"/>
      <name val="Times New Roman"/>
      <family val="1"/>
    </font>
    <font>
      <b/>
      <sz val="18"/>
      <name val="Times New Roman"/>
      <family val="1"/>
    </font>
    <font>
      <b/>
      <sz val="10.5"/>
      <name val="Times New Roman"/>
      <family val="1"/>
    </font>
    <font>
      <b/>
      <sz val="9"/>
      <color indexed="81"/>
      <name val="Tahoma"/>
      <family val="2"/>
    </font>
    <font>
      <b/>
      <sz val="9"/>
      <name val="Tahoma"/>
      <family val="2"/>
      <charset val="254"/>
    </font>
    <font>
      <sz val="9"/>
      <name val="Tahoma"/>
      <family val="2"/>
      <charset val="254"/>
    </font>
    <font>
      <sz val="7"/>
      <name val="Times New Roman"/>
      <family val="1"/>
    </font>
    <font>
      <sz val="11"/>
      <color theme="1"/>
      <name val="Calibri"/>
      <family val="2"/>
      <scheme val="minor"/>
    </font>
    <font>
      <sz val="12"/>
      <color theme="1"/>
      <name val="Times New Roman"/>
      <family val="2"/>
    </font>
    <font>
      <sz val="11"/>
      <color theme="1"/>
      <name val="Calibri"/>
      <family val="2"/>
      <charset val="163"/>
      <scheme val="minor"/>
    </font>
    <font>
      <i/>
      <sz val="12"/>
      <color theme="0"/>
      <name val="Times New Roman"/>
      <family val="1"/>
    </font>
    <font>
      <b/>
      <sz val="12"/>
      <color rgb="FF00B050"/>
      <name val="Times New Roman"/>
      <family val="1"/>
    </font>
    <font>
      <sz val="12"/>
      <color rgb="FF7030A0"/>
      <name val="Times New Roman"/>
      <family val="1"/>
    </font>
    <font>
      <b/>
      <sz val="12"/>
      <color rgb="FF7030A0"/>
      <name val="Times New Roman"/>
      <family val="1"/>
    </font>
    <font>
      <sz val="10"/>
      <color rgb="FFFF0000"/>
      <name val="Times New Roman"/>
      <family val="1"/>
    </font>
    <font>
      <b/>
      <sz val="10"/>
      <color rgb="FFFF0000"/>
      <name val="Times New Roman"/>
      <family val="1"/>
    </font>
    <font>
      <sz val="8"/>
      <color rgb="FFFF0000"/>
      <name val="Times New Roman"/>
      <family val="1"/>
    </font>
    <font>
      <i/>
      <sz val="10"/>
      <color rgb="FFFF0000"/>
      <name val="Times New Roman"/>
      <family val="1"/>
    </font>
    <font>
      <b/>
      <sz val="9"/>
      <color rgb="FFFF0000"/>
      <name val="Times New Roman"/>
      <family val="1"/>
    </font>
    <font>
      <b/>
      <sz val="9"/>
      <color rgb="FFFF0000"/>
      <name val="Dutoan TCVN1993"/>
    </font>
    <font>
      <b/>
      <sz val="11"/>
      <color rgb="FFFF0000"/>
      <name val="Times New Roman"/>
      <family val="1"/>
    </font>
    <font>
      <sz val="12"/>
      <color theme="1"/>
      <name val="Times New Roman"/>
      <family val="1"/>
      <charset val="163"/>
    </font>
    <font>
      <sz val="10"/>
      <color theme="1"/>
      <name val="Times New Roman"/>
      <family val="1"/>
      <charset val="163"/>
    </font>
    <font>
      <b/>
      <sz val="10"/>
      <color theme="1"/>
      <name val="Times New Roman"/>
      <family val="1"/>
      <charset val="163"/>
    </font>
    <font>
      <b/>
      <sz val="22"/>
      <color theme="1"/>
      <name val="Times New Roman"/>
      <family val="1"/>
      <charset val="163"/>
    </font>
    <font>
      <sz val="22"/>
      <color theme="1"/>
      <name val="Times New Roman"/>
      <family val="1"/>
      <charset val="163"/>
    </font>
    <font>
      <i/>
      <sz val="18"/>
      <color theme="1"/>
      <name val="Times New Roman"/>
      <family val="1"/>
      <charset val="163"/>
    </font>
    <font>
      <sz val="6"/>
      <color theme="1"/>
      <name val="Times New Roman"/>
      <family val="1"/>
      <charset val="163"/>
    </font>
    <font>
      <sz val="14"/>
      <color theme="1"/>
      <name val="Times New Roman"/>
      <family val="1"/>
      <charset val="163"/>
    </font>
    <font>
      <sz val="9"/>
      <color theme="1"/>
      <name val="Times New Roman"/>
      <family val="1"/>
      <charset val="163"/>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9">
    <xf numFmtId="0" fontId="0" fillId="0" borderId="0"/>
    <xf numFmtId="165" fontId="1"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8" fontId="15" fillId="0" borderId="0" applyProtection="0"/>
    <xf numFmtId="165" fontId="24" fillId="0" borderId="0" applyFont="0" applyFill="0" applyBorder="0" applyAlignment="0" applyProtection="0"/>
    <xf numFmtId="166" fontId="13" fillId="0" borderId="0" applyFont="0" applyFill="0" applyBorder="0" applyAlignment="0" applyProtection="0"/>
    <xf numFmtId="0" fontId="14" fillId="0" borderId="0"/>
    <xf numFmtId="0" fontId="24" fillId="0" borderId="0"/>
    <xf numFmtId="0" fontId="48" fillId="0" borderId="0"/>
    <xf numFmtId="0" fontId="15" fillId="0" borderId="0"/>
    <xf numFmtId="0" fontId="1" fillId="0" borderId="0"/>
    <xf numFmtId="0" fontId="49" fillId="0" borderId="0"/>
    <xf numFmtId="0" fontId="14" fillId="0" borderId="0" applyProtection="0"/>
    <xf numFmtId="0" fontId="11" fillId="0" borderId="0"/>
    <xf numFmtId="0" fontId="50" fillId="0" borderId="0"/>
    <xf numFmtId="0" fontId="29" fillId="0" borderId="0"/>
    <xf numFmtId="9" fontId="1" fillId="0" borderId="0" applyFont="0" applyFill="0" applyBorder="0" applyAlignment="0" applyProtection="0"/>
  </cellStyleXfs>
  <cellXfs count="1089">
    <xf numFmtId="0" fontId="0" fillId="0" borderId="0" xfId="0"/>
    <xf numFmtId="0" fontId="3" fillId="0" borderId="0" xfId="0" applyFont="1" applyAlignment="1">
      <alignment horizontal="centerContinuous"/>
    </xf>
    <xf numFmtId="0" fontId="3" fillId="0" borderId="0" xfId="0" applyFont="1"/>
    <xf numFmtId="0" fontId="5" fillId="0" borderId="0" xfId="0" applyFont="1" applyAlignment="1">
      <alignment horizontal="centerContinuous"/>
    </xf>
    <xf numFmtId="0" fontId="7" fillId="0" borderId="0" xfId="0" applyFont="1"/>
    <xf numFmtId="0" fontId="7" fillId="0" borderId="0" xfId="0" applyFont="1" applyFill="1"/>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Alignment="1">
      <alignment vertical="center"/>
    </xf>
    <xf numFmtId="0" fontId="6" fillId="0" borderId="0" xfId="12" applyFont="1" applyBorder="1" applyAlignment="1"/>
    <xf numFmtId="0" fontId="2" fillId="0" borderId="0" xfId="15" applyFont="1" applyFill="1" applyAlignment="1">
      <alignment vertical="center"/>
    </xf>
    <xf numFmtId="0" fontId="21" fillId="0" borderId="0" xfId="15" applyFont="1" applyFill="1" applyAlignment="1">
      <alignment vertical="center"/>
    </xf>
    <xf numFmtId="0" fontId="3" fillId="0" borderId="0" xfId="15" applyFont="1" applyFill="1" applyAlignment="1">
      <alignment vertical="center"/>
    </xf>
    <xf numFmtId="0" fontId="4" fillId="0" borderId="0" xfId="15" applyNumberFormat="1" applyFont="1" applyFill="1" applyAlignment="1">
      <alignment horizontal="right" vertical="center"/>
    </xf>
    <xf numFmtId="0" fontId="21" fillId="0" borderId="0" xfId="15" applyNumberFormat="1" applyFont="1" applyFill="1" applyAlignment="1">
      <alignment vertical="center"/>
    </xf>
    <xf numFmtId="0" fontId="3" fillId="0" borderId="0" xfId="15" applyFont="1" applyFill="1"/>
    <xf numFmtId="167" fontId="6" fillId="0" borderId="4" xfId="15" applyNumberFormat="1" applyFont="1" applyFill="1" applyBorder="1" applyAlignment="1">
      <alignment horizontal="right" vertical="center"/>
    </xf>
    <xf numFmtId="167" fontId="4" fillId="0" borderId="5" xfId="15" applyNumberFormat="1" applyFont="1" applyFill="1" applyBorder="1" applyAlignment="1" applyProtection="1">
      <alignment horizontal="center" vertical="center" wrapText="1"/>
    </xf>
    <xf numFmtId="167" fontId="4" fillId="0" borderId="6" xfId="15" applyNumberFormat="1" applyFont="1" applyFill="1" applyBorder="1" applyAlignment="1" applyProtection="1">
      <alignment horizontal="center" vertical="center" wrapText="1"/>
    </xf>
    <xf numFmtId="167" fontId="4" fillId="0" borderId="7" xfId="15" applyNumberFormat="1" applyFont="1" applyFill="1" applyBorder="1" applyAlignment="1" applyProtection="1">
      <alignment horizontal="center" vertical="center" wrapText="1"/>
    </xf>
    <xf numFmtId="0" fontId="4" fillId="0" borderId="8" xfId="15" applyFont="1" applyFill="1" applyBorder="1" applyAlignment="1">
      <alignment horizontal="center" vertical="center" wrapText="1"/>
    </xf>
    <xf numFmtId="167" fontId="22" fillId="0" borderId="9" xfId="15" applyNumberFormat="1" applyFont="1" applyFill="1" applyBorder="1" applyAlignment="1" applyProtection="1">
      <alignment horizontal="center" vertical="center" wrapText="1"/>
    </xf>
    <xf numFmtId="167" fontId="22" fillId="0" borderId="10" xfId="15" applyNumberFormat="1" applyFont="1" applyFill="1" applyBorder="1" applyAlignment="1" applyProtection="1">
      <alignment vertical="center" wrapText="1"/>
    </xf>
    <xf numFmtId="0" fontId="22" fillId="0" borderId="11" xfId="15" applyFont="1" applyFill="1" applyBorder="1" applyAlignment="1">
      <alignment vertical="center" wrapText="1"/>
    </xf>
    <xf numFmtId="167" fontId="22" fillId="0" borderId="12" xfId="15" applyNumberFormat="1" applyFont="1" applyFill="1" applyBorder="1" applyAlignment="1" applyProtection="1">
      <alignment horizontal="center" vertical="center" wrapText="1"/>
    </xf>
    <xf numFmtId="167" fontId="22" fillId="0" borderId="13" xfId="15" applyNumberFormat="1" applyFont="1" applyFill="1" applyBorder="1" applyAlignment="1" applyProtection="1">
      <alignment vertical="center" wrapText="1"/>
    </xf>
    <xf numFmtId="0" fontId="22" fillId="0" borderId="14" xfId="15" applyFont="1" applyFill="1" applyBorder="1" applyAlignment="1">
      <alignment vertical="center" wrapText="1"/>
    </xf>
    <xf numFmtId="167" fontId="10" fillId="0" borderId="15" xfId="15" applyNumberFormat="1" applyFont="1" applyFill="1" applyBorder="1" applyAlignment="1" applyProtection="1">
      <alignment horizontal="center" vertical="center" wrapText="1"/>
    </xf>
    <xf numFmtId="167" fontId="10" fillId="0" borderId="2" xfId="15" applyNumberFormat="1" applyFont="1" applyFill="1" applyBorder="1" applyAlignment="1" applyProtection="1">
      <alignment horizontal="center" vertical="center" wrapText="1"/>
    </xf>
    <xf numFmtId="167" fontId="10" fillId="0" borderId="16" xfId="15" applyNumberFormat="1" applyFont="1" applyFill="1" applyBorder="1" applyAlignment="1">
      <alignment horizontal="center" vertical="center" wrapText="1"/>
    </xf>
    <xf numFmtId="167" fontId="2" fillId="0" borderId="17" xfId="15" applyNumberFormat="1" applyFont="1" applyFill="1" applyBorder="1" applyAlignment="1" applyProtection="1">
      <alignment horizontal="center" vertical="center"/>
    </xf>
    <xf numFmtId="167" fontId="4" fillId="0" borderId="18" xfId="15" applyNumberFormat="1" applyFont="1" applyFill="1" applyBorder="1" applyAlignment="1">
      <alignment horizontal="left" vertical="center"/>
    </xf>
    <xf numFmtId="167" fontId="23" fillId="0" borderId="18" xfId="15" applyNumberFormat="1" applyFont="1" applyFill="1" applyBorder="1" applyAlignment="1">
      <alignment horizontal="center" vertical="center"/>
    </xf>
    <xf numFmtId="0" fontId="3" fillId="0" borderId="19" xfId="15" applyFont="1" applyFill="1" applyBorder="1" applyAlignment="1">
      <alignment vertical="center"/>
    </xf>
    <xf numFmtId="167" fontId="12" fillId="0" borderId="20" xfId="15" applyNumberFormat="1" applyFont="1" applyFill="1" applyBorder="1" applyAlignment="1">
      <alignment horizontal="center" vertical="center"/>
    </xf>
    <xf numFmtId="167" fontId="6" fillId="0" borderId="3" xfId="15" applyNumberFormat="1" applyFont="1" applyFill="1" applyBorder="1" applyAlignment="1" applyProtection="1">
      <alignment horizontal="left" vertical="center"/>
    </xf>
    <xf numFmtId="167" fontId="6" fillId="0" borderId="3" xfId="15" quotePrefix="1" applyNumberFormat="1" applyFont="1" applyFill="1" applyBorder="1" applyAlignment="1" applyProtection="1">
      <alignment horizontal="left" vertical="center"/>
    </xf>
    <xf numFmtId="167" fontId="2" fillId="0" borderId="20" xfId="15" applyNumberFormat="1" applyFont="1" applyFill="1" applyBorder="1" applyAlignment="1">
      <alignment horizontal="center" vertical="center"/>
    </xf>
    <xf numFmtId="167" fontId="4" fillId="0" borderId="3" xfId="15" applyNumberFormat="1" applyFont="1" applyFill="1" applyBorder="1" applyAlignment="1" applyProtection="1">
      <alignment horizontal="left" vertical="center"/>
    </xf>
    <xf numFmtId="0" fontId="21" fillId="0" borderId="3" xfId="15" applyFont="1" applyFill="1" applyBorder="1"/>
    <xf numFmtId="0" fontId="21" fillId="0" borderId="21" xfId="15" applyFont="1" applyFill="1" applyBorder="1"/>
    <xf numFmtId="167" fontId="3" fillId="0" borderId="22" xfId="15" applyNumberFormat="1" applyFont="1" applyFill="1" applyBorder="1" applyAlignment="1" applyProtection="1">
      <alignment horizontal="justify" vertical="center"/>
    </xf>
    <xf numFmtId="167" fontId="7" fillId="0" borderId="23" xfId="15" applyNumberFormat="1" applyFont="1" applyFill="1" applyBorder="1" applyAlignment="1" applyProtection="1">
      <alignment horizontal="justify" vertical="center"/>
    </xf>
    <xf numFmtId="0" fontId="3" fillId="0" borderId="23" xfId="15" applyFont="1" applyFill="1" applyBorder="1"/>
    <xf numFmtId="0" fontId="3" fillId="0" borderId="24" xfId="15" applyFont="1" applyFill="1" applyBorder="1"/>
    <xf numFmtId="0" fontId="17" fillId="0" borderId="2" xfId="0" quotePrefix="1" applyFont="1" applyBorder="1" applyAlignment="1">
      <alignment horizontal="center" vertical="center"/>
    </xf>
    <xf numFmtId="0" fontId="7" fillId="0" borderId="0" xfId="0" applyFont="1" applyFill="1" applyAlignment="1">
      <alignment horizontal="centerContinuous"/>
    </xf>
    <xf numFmtId="0" fontId="21" fillId="0" borderId="0" xfId="0" applyFont="1" applyFill="1"/>
    <xf numFmtId="0" fontId="3" fillId="0" borderId="0" xfId="0" applyFont="1" applyFill="1"/>
    <xf numFmtId="0" fontId="2" fillId="0" borderId="0" xfId="0" applyFont="1" applyFill="1" applyAlignment="1">
      <alignment horizontal="centerContinuous"/>
    </xf>
    <xf numFmtId="0" fontId="3" fillId="0" borderId="0" xfId="0" applyFont="1" applyFill="1" applyAlignment="1">
      <alignment horizontal="centerContinuous"/>
    </xf>
    <xf numFmtId="0" fontId="9" fillId="0" borderId="0" xfId="0" applyFont="1" applyFill="1"/>
    <xf numFmtId="0" fontId="22" fillId="0" borderId="2" xfId="0" applyFont="1" applyFill="1" applyBorder="1" applyAlignment="1">
      <alignment horizontal="center" vertical="center"/>
    </xf>
    <xf numFmtId="0" fontId="2" fillId="0" borderId="0" xfId="0" applyFont="1" applyFill="1" applyAlignment="1">
      <alignment horizontal="right"/>
    </xf>
    <xf numFmtId="3" fontId="7" fillId="0" borderId="0" xfId="0" applyNumberFormat="1" applyFont="1" applyFill="1"/>
    <xf numFmtId="0" fontId="2" fillId="0" borderId="0" xfId="12" applyFont="1" applyFill="1" applyAlignment="1">
      <alignment horizontal="centerContinuous"/>
    </xf>
    <xf numFmtId="0" fontId="3" fillId="0" borderId="0" xfId="12" applyFont="1" applyFill="1" applyAlignment="1">
      <alignment horizontal="centerContinuous"/>
    </xf>
    <xf numFmtId="0" fontId="2" fillId="0" borderId="0" xfId="12" applyFont="1" applyFill="1" applyAlignment="1">
      <alignment horizontal="right"/>
    </xf>
    <xf numFmtId="0" fontId="3" fillId="0" borderId="0" xfId="12" applyFont="1" applyFill="1"/>
    <xf numFmtId="0" fontId="5" fillId="0" borderId="0" xfId="12" applyFont="1" applyFill="1" applyAlignment="1">
      <alignment horizontal="centerContinuous"/>
    </xf>
    <xf numFmtId="0" fontId="6" fillId="0" borderId="0" xfId="12" applyFont="1" applyFill="1" applyAlignment="1">
      <alignment horizontal="left"/>
    </xf>
    <xf numFmtId="0" fontId="7" fillId="0" borderId="0" xfId="12" applyFont="1" applyFill="1"/>
    <xf numFmtId="0" fontId="17" fillId="0" borderId="2" xfId="12" applyFont="1" applyFill="1" applyBorder="1" applyAlignment="1">
      <alignment horizontal="center" vertical="center"/>
    </xf>
    <xf numFmtId="0" fontId="17" fillId="0" borderId="0" xfId="12" applyFont="1" applyFill="1" applyAlignment="1">
      <alignment vertical="center"/>
    </xf>
    <xf numFmtId="3" fontId="17" fillId="0" borderId="0" xfId="0" applyNumberFormat="1" applyFont="1"/>
    <xf numFmtId="0" fontId="3" fillId="0" borderId="0" xfId="0" quotePrefix="1" applyFont="1"/>
    <xf numFmtId="3" fontId="21" fillId="0" borderId="0" xfId="0" applyNumberFormat="1" applyFont="1" applyFill="1"/>
    <xf numFmtId="0" fontId="18" fillId="0" borderId="0" xfId="0" applyFont="1" applyFill="1"/>
    <xf numFmtId="0" fontId="4" fillId="0" borderId="0" xfId="0" applyFont="1" applyFill="1" applyAlignment="1"/>
    <xf numFmtId="0" fontId="21" fillId="0" borderId="2" xfId="0" quotePrefix="1" applyFont="1" applyFill="1" applyBorder="1" applyAlignment="1">
      <alignment horizontal="center" vertical="center"/>
    </xf>
    <xf numFmtId="0" fontId="17" fillId="0" borderId="0" xfId="0" applyFont="1"/>
    <xf numFmtId="0" fontId="10" fillId="0" borderId="0" xfId="0" applyFont="1"/>
    <xf numFmtId="0" fontId="17" fillId="0" borderId="0" xfId="0" applyFont="1" applyFill="1"/>
    <xf numFmtId="3" fontId="17" fillId="0" borderId="0" xfId="0" applyNumberFormat="1" applyFont="1" applyFill="1"/>
    <xf numFmtId="3" fontId="17" fillId="0" borderId="0" xfId="0" applyNumberFormat="1" applyFont="1" applyFill="1" applyAlignment="1">
      <alignment horizontal="center"/>
    </xf>
    <xf numFmtId="0" fontId="22" fillId="0" borderId="2" xfId="0" quotePrefix="1" applyFont="1" applyFill="1" applyBorder="1" applyAlignment="1">
      <alignment horizontal="center" vertical="center"/>
    </xf>
    <xf numFmtId="3" fontId="20" fillId="0" borderId="0" xfId="0" applyNumberFormat="1" applyFont="1" applyFill="1"/>
    <xf numFmtId="0" fontId="22" fillId="0" borderId="0" xfId="0" applyFont="1" applyFill="1" applyAlignment="1">
      <alignment vertical="center"/>
    </xf>
    <xf numFmtId="0" fontId="19" fillId="0" borderId="0" xfId="0" applyFont="1" applyFill="1"/>
    <xf numFmtId="0" fontId="12" fillId="0" borderId="0" xfId="12" applyFont="1" applyFill="1" applyBorder="1" applyAlignment="1">
      <alignment horizontal="right"/>
    </xf>
    <xf numFmtId="0" fontId="17" fillId="0" borderId="2" xfId="0" applyFont="1" applyFill="1" applyBorder="1" applyAlignment="1">
      <alignment horizontal="center" vertical="center"/>
    </xf>
    <xf numFmtId="0" fontId="6" fillId="0" borderId="0" xfId="12" applyFont="1" applyFill="1" applyBorder="1" applyAlignment="1">
      <alignment horizontal="right"/>
    </xf>
    <xf numFmtId="169" fontId="2" fillId="0" borderId="0" xfId="1" applyNumberFormat="1" applyFont="1" applyFill="1"/>
    <xf numFmtId="0" fontId="3" fillId="0" borderId="0" xfId="0" applyFont="1" applyFill="1" applyAlignment="1">
      <alignment horizontal="right"/>
    </xf>
    <xf numFmtId="0" fontId="21" fillId="0" borderId="0" xfId="12" applyFont="1" applyFill="1"/>
    <xf numFmtId="0" fontId="25" fillId="0" borderId="0" xfId="0" applyFont="1" applyFill="1" applyBorder="1" applyAlignment="1">
      <alignment horizontal="center"/>
    </xf>
    <xf numFmtId="0" fontId="18" fillId="0" borderId="0" xfId="0" applyFont="1" applyFill="1" applyBorder="1" applyAlignment="1">
      <alignment horizontal="center" vertical="center" wrapText="1"/>
    </xf>
    <xf numFmtId="0" fontId="21" fillId="0" borderId="2" xfId="0" applyFont="1" applyFill="1" applyBorder="1" applyAlignment="1">
      <alignment horizontal="center" vertical="center"/>
    </xf>
    <xf numFmtId="0" fontId="18" fillId="0" borderId="0" xfId="0" applyFont="1" applyFill="1" applyAlignment="1">
      <alignment vertical="center"/>
    </xf>
    <xf numFmtId="3" fontId="21" fillId="0" borderId="0" xfId="9" applyNumberFormat="1" applyFont="1" applyFill="1" applyAlignment="1"/>
    <xf numFmtId="3" fontId="21" fillId="0" borderId="0" xfId="9" applyNumberFormat="1" applyFont="1" applyFill="1" applyAlignment="1">
      <alignment horizontal="right"/>
    </xf>
    <xf numFmtId="0" fontId="18" fillId="0" borderId="0" xfId="9" applyFont="1" applyFill="1" applyAlignment="1"/>
    <xf numFmtId="0" fontId="21" fillId="0" borderId="0" xfId="9" applyFont="1" applyFill="1" applyAlignment="1"/>
    <xf numFmtId="3" fontId="21" fillId="0" borderId="0" xfId="0" applyNumberFormat="1" applyFont="1" applyFill="1" applyAlignment="1">
      <alignment horizontal="right"/>
    </xf>
    <xf numFmtId="0" fontId="21" fillId="0" borderId="0" xfId="0" applyFont="1" applyFill="1" applyBorder="1" applyAlignment="1">
      <alignment horizontal="center"/>
    </xf>
    <xf numFmtId="0" fontId="21" fillId="0" borderId="0" xfId="0" applyFont="1" applyFill="1" applyBorder="1"/>
    <xf numFmtId="3" fontId="21" fillId="0" borderId="0" xfId="0" applyNumberFormat="1" applyFont="1" applyFill="1" applyBorder="1"/>
    <xf numFmtId="0" fontId="18" fillId="0" borderId="0" xfId="0" applyFont="1" applyFill="1" applyAlignment="1">
      <alignment horizontal="right"/>
    </xf>
    <xf numFmtId="0" fontId="18" fillId="0" borderId="0" xfId="12" applyFont="1" applyFill="1" applyAlignment="1">
      <alignment horizontal="right"/>
    </xf>
    <xf numFmtId="0" fontId="12" fillId="0" borderId="0" xfId="0" applyFont="1" applyFill="1" applyBorder="1" applyAlignment="1">
      <alignment horizontal="center"/>
    </xf>
    <xf numFmtId="0" fontId="21" fillId="0" borderId="0" xfId="0" applyFont="1" applyFill="1" applyBorder="1" applyAlignment="1">
      <alignment horizontal="center" vertical="center"/>
    </xf>
    <xf numFmtId="3" fontId="18" fillId="0" borderId="0" xfId="0" applyNumberFormat="1" applyFont="1" applyFill="1" applyBorder="1"/>
    <xf numFmtId="0" fontId="21" fillId="0" borderId="0" xfId="9" applyFont="1" applyFill="1" applyAlignment="1">
      <alignment horizontal="center" vertical="center"/>
    </xf>
    <xf numFmtId="0" fontId="18" fillId="0" borderId="0" xfId="9" applyFont="1" applyFill="1" applyAlignment="1">
      <alignment horizontal="center" vertical="center"/>
    </xf>
    <xf numFmtId="0" fontId="18" fillId="0" borderId="2" xfId="9" applyFont="1" applyFill="1" applyBorder="1" applyAlignment="1">
      <alignment horizontal="center" vertical="center"/>
    </xf>
    <xf numFmtId="3" fontId="21" fillId="0" borderId="0" xfId="9" applyNumberFormat="1" applyFont="1" applyFill="1" applyAlignment="1">
      <alignment horizontal="center"/>
    </xf>
    <xf numFmtId="3" fontId="21" fillId="0" borderId="0" xfId="9" applyNumberFormat="1" applyFont="1" applyFill="1" applyAlignment="1">
      <alignment wrapText="1"/>
    </xf>
    <xf numFmtId="169" fontId="17" fillId="0" borderId="0" xfId="1" applyNumberFormat="1" applyFont="1" applyFill="1"/>
    <xf numFmtId="0" fontId="17" fillId="0" borderId="0" xfId="12" applyFont="1" applyFill="1"/>
    <xf numFmtId="0" fontId="3" fillId="0" borderId="2" xfId="12" applyFont="1" applyFill="1" applyBorder="1" applyAlignment="1">
      <alignment horizontal="center" vertical="center"/>
    </xf>
    <xf numFmtId="0" fontId="3" fillId="0" borderId="2" xfId="12" quotePrefix="1" applyFont="1" applyFill="1" applyBorder="1" applyAlignment="1">
      <alignment horizontal="center" vertical="center"/>
    </xf>
    <xf numFmtId="0" fontId="3" fillId="0" borderId="0" xfId="12" applyFont="1" applyFill="1" applyAlignment="1">
      <alignment vertical="center"/>
    </xf>
    <xf numFmtId="3" fontId="3" fillId="0" borderId="0" xfId="12" applyNumberFormat="1" applyFont="1" applyFill="1"/>
    <xf numFmtId="0" fontId="2" fillId="0" borderId="0" xfId="12" applyFont="1" applyFill="1"/>
    <xf numFmtId="0" fontId="17" fillId="0" borderId="1" xfId="12" applyFont="1" applyFill="1" applyBorder="1" applyAlignment="1">
      <alignment horizontal="center" vertical="center"/>
    </xf>
    <xf numFmtId="169" fontId="17" fillId="0" borderId="0" xfId="12" applyNumberFormat="1" applyFont="1" applyFill="1"/>
    <xf numFmtId="0" fontId="31" fillId="0" borderId="26" xfId="0" applyFont="1" applyFill="1" applyBorder="1" applyAlignment="1">
      <alignment horizontal="center" vertical="center" wrapText="1"/>
    </xf>
    <xf numFmtId="0" fontId="32" fillId="0" borderId="26" xfId="0" applyFont="1" applyFill="1" applyBorder="1" applyAlignment="1">
      <alignment horizontal="center" vertical="center" wrapText="1"/>
    </xf>
    <xf numFmtId="169" fontId="32" fillId="0" borderId="26" xfId="1" applyNumberFormat="1" applyFont="1" applyFill="1" applyBorder="1" applyAlignment="1">
      <alignment horizontal="center" vertical="center" wrapText="1"/>
    </xf>
    <xf numFmtId="0" fontId="6" fillId="0" borderId="0" xfId="12" applyNumberFormat="1" applyFont="1" applyBorder="1" applyAlignment="1"/>
    <xf numFmtId="3" fontId="7" fillId="0" borderId="0" xfId="12" applyNumberFormat="1" applyFont="1" applyFill="1"/>
    <xf numFmtId="0" fontId="17" fillId="0" borderId="1"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2" xfId="0" quotePrefix="1" applyFont="1" applyFill="1" applyBorder="1" applyAlignment="1">
      <alignment horizontal="center" vertical="center"/>
    </xf>
    <xf numFmtId="0" fontId="17" fillId="0" borderId="0" xfId="0" applyFont="1" applyFill="1" applyAlignment="1">
      <alignment vertical="center"/>
    </xf>
    <xf numFmtId="0" fontId="10" fillId="0" borderId="0" xfId="0" applyFont="1" applyFill="1"/>
    <xf numFmtId="0" fontId="33" fillId="0" borderId="0" xfId="0" applyFont="1" applyFill="1"/>
    <xf numFmtId="0" fontId="12" fillId="0" borderId="0" xfId="14" applyNumberFormat="1" applyFont="1" applyFill="1" applyBorder="1" applyAlignment="1">
      <alignment wrapText="1"/>
    </xf>
    <xf numFmtId="0" fontId="10" fillId="0" borderId="0" xfId="12" applyFont="1" applyFill="1" applyAlignment="1">
      <alignment horizontal="right"/>
    </xf>
    <xf numFmtId="3" fontId="22" fillId="0" borderId="2" xfId="9" applyNumberFormat="1" applyFont="1" applyFill="1" applyBorder="1" applyAlignment="1">
      <alignment horizontal="center" vertical="center" wrapText="1"/>
    </xf>
    <xf numFmtId="0" fontId="22" fillId="0" borderId="0" xfId="9" applyFont="1" applyFill="1" applyAlignment="1">
      <alignment horizontal="center" vertical="center"/>
    </xf>
    <xf numFmtId="3" fontId="21" fillId="0" borderId="0" xfId="9" applyNumberFormat="1" applyFont="1" applyFill="1" applyAlignment="1">
      <alignment horizontal="left"/>
    </xf>
    <xf numFmtId="0" fontId="9" fillId="0" borderId="0" xfId="15" applyFont="1" applyFill="1"/>
    <xf numFmtId="3" fontId="17" fillId="0" borderId="0" xfId="12" applyNumberFormat="1" applyFont="1" applyFill="1"/>
    <xf numFmtId="0" fontId="7" fillId="2" borderId="0" xfId="0" applyFont="1" applyFill="1"/>
    <xf numFmtId="0" fontId="3" fillId="2" borderId="0" xfId="0" applyFont="1" applyFill="1"/>
    <xf numFmtId="0" fontId="6" fillId="2" borderId="0" xfId="0" applyFont="1" applyFill="1"/>
    <xf numFmtId="0" fontId="6" fillId="2" borderId="0" xfId="0" applyFont="1" applyFill="1" applyAlignment="1">
      <alignment horizontal="left"/>
    </xf>
    <xf numFmtId="0" fontId="20" fillId="2" borderId="0" xfId="12" applyFont="1" applyFill="1" applyAlignment="1">
      <alignment vertical="center"/>
    </xf>
    <xf numFmtId="169" fontId="17" fillId="2" borderId="3" xfId="1" quotePrefix="1" applyNumberFormat="1" applyFont="1" applyFill="1" applyBorder="1" applyAlignment="1">
      <alignment horizontal="center" vertical="center" wrapText="1"/>
    </xf>
    <xf numFmtId="169" fontId="17" fillId="2" borderId="3" xfId="1" applyNumberFormat="1" applyFont="1" applyFill="1" applyBorder="1" applyAlignment="1">
      <alignment horizontal="left" vertical="center" wrapText="1"/>
    </xf>
    <xf numFmtId="169" fontId="17" fillId="2" borderId="25" xfId="1" quotePrefix="1" applyNumberFormat="1" applyFont="1" applyFill="1" applyBorder="1" applyAlignment="1">
      <alignment horizontal="center" vertical="center" wrapText="1"/>
    </xf>
    <xf numFmtId="169" fontId="17" fillId="2" borderId="25" xfId="1" applyNumberFormat="1" applyFont="1" applyFill="1" applyBorder="1" applyAlignment="1">
      <alignment horizontal="left" vertical="center" wrapText="1"/>
    </xf>
    <xf numFmtId="0" fontId="20" fillId="2" borderId="2" xfId="12" applyFont="1" applyFill="1" applyBorder="1" applyAlignment="1">
      <alignment horizontal="center" vertical="center"/>
    </xf>
    <xf numFmtId="3" fontId="18" fillId="0" borderId="30" xfId="9" applyNumberFormat="1" applyFont="1" applyFill="1" applyBorder="1" applyAlignment="1">
      <alignment horizontal="center" vertical="center" wrapText="1"/>
    </xf>
    <xf numFmtId="49" fontId="21" fillId="0" borderId="0" xfId="9" applyNumberFormat="1" applyFont="1" applyFill="1" applyAlignment="1">
      <alignment vertical="center" wrapText="1"/>
    </xf>
    <xf numFmtId="3" fontId="21" fillId="0" borderId="0" xfId="9" applyNumberFormat="1" applyFont="1" applyFill="1" applyAlignment="1">
      <alignment vertical="center"/>
    </xf>
    <xf numFmtId="0" fontId="21" fillId="0" borderId="0" xfId="9" applyFont="1" applyFill="1" applyAlignment="1">
      <alignment vertical="center"/>
    </xf>
    <xf numFmtId="3" fontId="25" fillId="0" borderId="27" xfId="9" applyNumberFormat="1" applyFont="1" applyFill="1" applyBorder="1" applyAlignment="1">
      <alignment horizontal="center" vertical="center"/>
    </xf>
    <xf numFmtId="3" fontId="25" fillId="0" borderId="27" xfId="9" applyNumberFormat="1" applyFont="1" applyFill="1" applyBorder="1" applyAlignment="1">
      <alignment horizontal="right" vertical="center"/>
    </xf>
    <xf numFmtId="3" fontId="25" fillId="0" borderId="0" xfId="9" applyNumberFormat="1" applyFont="1" applyFill="1" applyAlignment="1">
      <alignment vertical="center"/>
    </xf>
    <xf numFmtId="3" fontId="21" fillId="0" borderId="0" xfId="9" applyNumberFormat="1" applyFont="1" applyFill="1" applyAlignment="1">
      <alignment horizontal="center" vertical="center"/>
    </xf>
    <xf numFmtId="3" fontId="21" fillId="0" borderId="0" xfId="9" applyNumberFormat="1" applyFont="1" applyFill="1" applyAlignment="1">
      <alignment vertical="center" wrapText="1"/>
    </xf>
    <xf numFmtId="0" fontId="18" fillId="0" borderId="29" xfId="9" applyFont="1" applyFill="1" applyBorder="1" applyAlignment="1">
      <alignment horizontal="center" vertical="center"/>
    </xf>
    <xf numFmtId="0" fontId="21" fillId="0" borderId="0" xfId="9" applyFont="1" applyFill="1" applyBorder="1" applyAlignment="1">
      <alignment horizontal="center"/>
    </xf>
    <xf numFmtId="49" fontId="21" fillId="0" borderId="0" xfId="9" applyNumberFormat="1" applyFont="1" applyFill="1" applyBorder="1" applyAlignment="1">
      <alignment wrapText="1"/>
    </xf>
    <xf numFmtId="0" fontId="21" fillId="0" borderId="0" xfId="9" applyFont="1" applyFill="1" applyBorder="1" applyAlignment="1"/>
    <xf numFmtId="3" fontId="21" fillId="0" borderId="0" xfId="9" applyNumberFormat="1" applyFont="1" applyFill="1" applyBorder="1" applyAlignment="1"/>
    <xf numFmtId="3" fontId="17" fillId="0" borderId="0" xfId="0" applyNumberFormat="1" applyFont="1" applyFill="1" applyAlignment="1">
      <alignment vertical="center"/>
    </xf>
    <xf numFmtId="3" fontId="10" fillId="0" borderId="0" xfId="0" applyNumberFormat="1" applyFont="1" applyFill="1"/>
    <xf numFmtId="170" fontId="32" fillId="0" borderId="26" xfId="18" applyNumberFormat="1" applyFont="1" applyFill="1" applyBorder="1" applyAlignment="1">
      <alignment horizontal="center" vertical="center" wrapText="1"/>
    </xf>
    <xf numFmtId="0" fontId="2" fillId="0" borderId="0" xfId="0" applyFont="1" applyFill="1" applyAlignment="1">
      <alignment horizontal="center"/>
    </xf>
    <xf numFmtId="169" fontId="10" fillId="0" borderId="0" xfId="1" applyNumberFormat="1" applyFont="1" applyFill="1"/>
    <xf numFmtId="0" fontId="41" fillId="0" borderId="0" xfId="0" applyFont="1" applyFill="1"/>
    <xf numFmtId="0" fontId="10" fillId="0" borderId="0" xfId="0" applyFont="1" applyBorder="1" applyAlignment="1">
      <alignment horizontal="center" vertical="center"/>
    </xf>
    <xf numFmtId="0" fontId="17" fillId="0" borderId="0" xfId="0" quotePrefix="1" applyFont="1" applyBorder="1" applyAlignment="1">
      <alignment horizontal="center" vertical="center"/>
    </xf>
    <xf numFmtId="3" fontId="17" fillId="0" borderId="0" xfId="0" applyNumberFormat="1" applyFont="1" applyBorder="1"/>
    <xf numFmtId="170" fontId="10" fillId="0" borderId="0" xfId="18" applyNumberFormat="1" applyFont="1" applyBorder="1"/>
    <xf numFmtId="170" fontId="17" fillId="0" borderId="0" xfId="18" applyNumberFormat="1" applyFont="1" applyBorder="1"/>
    <xf numFmtId="3" fontId="10" fillId="0" borderId="0" xfId="0" applyNumberFormat="1" applyFont="1" applyBorder="1"/>
    <xf numFmtId="0" fontId="23"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170" fontId="10" fillId="0" borderId="0" xfId="18" applyNumberFormat="1" applyFont="1" applyFill="1" applyBorder="1"/>
    <xf numFmtId="170" fontId="17" fillId="0" borderId="0" xfId="18" applyNumberFormat="1" applyFont="1" applyFill="1" applyBorder="1"/>
    <xf numFmtId="0" fontId="9" fillId="2" borderId="0" xfId="12" applyFont="1" applyFill="1" applyAlignment="1">
      <alignment vertical="center"/>
    </xf>
    <xf numFmtId="0" fontId="10" fillId="2" borderId="26" xfId="12" applyFont="1" applyFill="1" applyBorder="1" applyAlignment="1">
      <alignment horizontal="center" vertical="center"/>
    </xf>
    <xf numFmtId="0" fontId="10" fillId="2" borderId="26" xfId="12" applyFont="1" applyFill="1" applyBorder="1" applyAlignment="1">
      <alignment vertical="center"/>
    </xf>
    <xf numFmtId="169" fontId="10" fillId="2" borderId="26" xfId="1" applyNumberFormat="1" applyFont="1" applyFill="1" applyBorder="1" applyAlignment="1">
      <alignment vertical="center"/>
    </xf>
    <xf numFmtId="169" fontId="2" fillId="2" borderId="0" xfId="1" applyNumberFormat="1" applyFont="1" applyFill="1" applyBorder="1" applyAlignment="1">
      <alignment vertical="center"/>
    </xf>
    <xf numFmtId="0" fontId="4" fillId="2" borderId="0" xfId="12" applyFont="1" applyFill="1" applyAlignment="1">
      <alignment vertical="center"/>
    </xf>
    <xf numFmtId="169" fontId="17" fillId="2" borderId="3" xfId="1" applyNumberFormat="1" applyFont="1" applyFill="1" applyBorder="1" applyAlignment="1">
      <alignment vertical="center"/>
    </xf>
    <xf numFmtId="169" fontId="3" fillId="2" borderId="0" xfId="1" applyNumberFormat="1" applyFont="1" applyFill="1" applyBorder="1" applyAlignment="1">
      <alignment vertical="center"/>
    </xf>
    <xf numFmtId="0" fontId="7" fillId="2" borderId="0" xfId="12" applyFont="1" applyFill="1" applyAlignment="1">
      <alignment vertical="center"/>
    </xf>
    <xf numFmtId="169" fontId="17" fillId="2" borderId="25" xfId="1" applyNumberFormat="1" applyFont="1" applyFill="1" applyBorder="1" applyAlignment="1">
      <alignment vertical="center"/>
    </xf>
    <xf numFmtId="0" fontId="2" fillId="0" borderId="0" xfId="0" applyFont="1" applyFill="1" applyAlignment="1"/>
    <xf numFmtId="0" fontId="12" fillId="0" borderId="0" xfId="0" applyFont="1" applyFill="1" applyAlignment="1"/>
    <xf numFmtId="3" fontId="21" fillId="0" borderId="27" xfId="0" applyNumberFormat="1" applyFont="1" applyFill="1" applyBorder="1" applyAlignment="1">
      <alignment horizontal="center"/>
    </xf>
    <xf numFmtId="3" fontId="21" fillId="0" borderId="27" xfId="0" applyNumberFormat="1" applyFont="1" applyFill="1" applyBorder="1" applyAlignment="1">
      <alignment horizontal="right"/>
    </xf>
    <xf numFmtId="3" fontId="25" fillId="0" borderId="27" xfId="0" applyNumberFormat="1" applyFont="1" applyFill="1" applyBorder="1" applyAlignment="1">
      <alignment horizontal="center"/>
    </xf>
    <xf numFmtId="169" fontId="18" fillId="0" borderId="0" xfId="1" applyNumberFormat="1" applyFont="1" applyFill="1" applyAlignment="1">
      <alignment vertical="center"/>
    </xf>
    <xf numFmtId="169" fontId="7" fillId="0" borderId="0" xfId="1" applyNumberFormat="1" applyFont="1" applyFill="1" applyAlignment="1">
      <alignment vertical="center"/>
    </xf>
    <xf numFmtId="0" fontId="4" fillId="0" borderId="0" xfId="12" applyFont="1" applyFill="1" applyAlignment="1"/>
    <xf numFmtId="0" fontId="12" fillId="0" borderId="0" xfId="12" applyFont="1" applyFill="1" applyBorder="1" applyAlignment="1">
      <alignment horizontal="center"/>
    </xf>
    <xf numFmtId="3" fontId="10" fillId="0" borderId="0" xfId="12" applyNumberFormat="1" applyFont="1" applyFill="1"/>
    <xf numFmtId="0" fontId="10" fillId="0" borderId="0" xfId="12" applyFont="1" applyFill="1"/>
    <xf numFmtId="3" fontId="21" fillId="0" borderId="0" xfId="12" applyNumberFormat="1" applyFont="1" applyFill="1" applyBorder="1"/>
    <xf numFmtId="9" fontId="21" fillId="0" borderId="0" xfId="18" applyFont="1" applyFill="1" applyBorder="1"/>
    <xf numFmtId="0" fontId="20" fillId="0" borderId="0" xfId="0" applyFont="1" applyFill="1"/>
    <xf numFmtId="3" fontId="18" fillId="0" borderId="2" xfId="9" applyNumberFormat="1" applyFont="1" applyFill="1" applyBorder="1" applyAlignment="1">
      <alignment horizontal="center" vertical="center" wrapText="1"/>
    </xf>
    <xf numFmtId="3" fontId="21" fillId="3" borderId="0" xfId="9" applyNumberFormat="1" applyFont="1" applyFill="1" applyAlignment="1">
      <alignment vertical="center"/>
    </xf>
    <xf numFmtId="0" fontId="21" fillId="3" borderId="0" xfId="9" applyFont="1" applyFill="1" applyBorder="1" applyAlignment="1"/>
    <xf numFmtId="3" fontId="21" fillId="3" borderId="0" xfId="9" applyNumberFormat="1" applyFont="1" applyFill="1" applyBorder="1" applyAlignment="1"/>
    <xf numFmtId="49" fontId="21" fillId="3" borderId="0" xfId="9" applyNumberFormat="1" applyFont="1" applyFill="1" applyBorder="1" applyAlignment="1">
      <alignment wrapText="1"/>
    </xf>
    <xf numFmtId="3" fontId="21" fillId="3" borderId="0" xfId="9" applyNumberFormat="1" applyFont="1" applyFill="1" applyAlignment="1"/>
    <xf numFmtId="3" fontId="3" fillId="0" borderId="0" xfId="15" applyNumberFormat="1" applyFont="1" applyFill="1" applyAlignment="1">
      <alignment vertical="center"/>
    </xf>
    <xf numFmtId="3" fontId="3" fillId="0" borderId="0" xfId="15" applyNumberFormat="1" applyFont="1" applyFill="1"/>
    <xf numFmtId="3" fontId="9" fillId="0" borderId="0" xfId="15" applyNumberFormat="1" applyFont="1" applyFill="1"/>
    <xf numFmtId="0" fontId="22" fillId="0" borderId="0" xfId="15" applyNumberFormat="1" applyFont="1" applyFill="1" applyAlignment="1">
      <alignment vertical="center"/>
    </xf>
    <xf numFmtId="0" fontId="38" fillId="0" borderId="0" xfId="0" applyFont="1" applyFill="1" applyAlignment="1">
      <alignment horizontal="center"/>
    </xf>
    <xf numFmtId="0" fontId="8" fillId="0" borderId="0" xfId="0" applyFont="1" applyFill="1" applyAlignment="1">
      <alignment horizontal="center"/>
    </xf>
    <xf numFmtId="3" fontId="39" fillId="0" borderId="0" xfId="0" applyNumberFormat="1" applyFont="1" applyFill="1" applyAlignment="1">
      <alignment horizontal="center"/>
    </xf>
    <xf numFmtId="167" fontId="25" fillId="0" borderId="4" xfId="15" applyNumberFormat="1" applyFont="1" applyFill="1" applyBorder="1" applyAlignment="1">
      <alignment horizontal="right" vertical="center"/>
    </xf>
    <xf numFmtId="0" fontId="4" fillId="0" borderId="7" xfId="15" applyFont="1" applyFill="1" applyBorder="1" applyAlignment="1">
      <alignment horizontal="center" vertical="center" wrapText="1"/>
    </xf>
    <xf numFmtId="3" fontId="17" fillId="0" borderId="0" xfId="0" applyNumberFormat="1" applyFont="1" applyAlignment="1">
      <alignment horizontal="right"/>
    </xf>
    <xf numFmtId="0" fontId="51" fillId="0" borderId="0" xfId="0" applyFont="1" applyFill="1"/>
    <xf numFmtId="0" fontId="25" fillId="0" borderId="0" xfId="9" applyFont="1" applyFill="1" applyAlignment="1">
      <alignment vertical="center"/>
    </xf>
    <xf numFmtId="0" fontId="47" fillId="0" borderId="2" xfId="0" quotePrefix="1" applyFont="1" applyFill="1" applyBorder="1" applyAlignment="1">
      <alignment horizontal="center" vertical="center"/>
    </xf>
    <xf numFmtId="3" fontId="3" fillId="0" borderId="0" xfId="0" applyNumberFormat="1" applyFont="1" applyFill="1"/>
    <xf numFmtId="0" fontId="22" fillId="0" borderId="2" xfId="0" quotePrefix="1" applyFont="1" applyFill="1" applyBorder="1" applyAlignment="1">
      <alignment horizontal="center" vertical="center" wrapText="1"/>
    </xf>
    <xf numFmtId="0" fontId="18" fillId="0" borderId="18" xfId="9" applyFont="1" applyFill="1" applyBorder="1" applyAlignment="1">
      <alignment horizontal="center"/>
    </xf>
    <xf numFmtId="49" fontId="18" fillId="0" borderId="18" xfId="9" applyNumberFormat="1" applyFont="1" applyFill="1" applyBorder="1" applyAlignment="1">
      <alignment horizontal="left" wrapText="1"/>
    </xf>
    <xf numFmtId="3" fontId="18" fillId="0" borderId="18" xfId="9" applyNumberFormat="1" applyFont="1" applyFill="1" applyBorder="1" applyAlignment="1">
      <alignment horizontal="right"/>
    </xf>
    <xf numFmtId="0" fontId="18" fillId="0" borderId="3" xfId="9" applyFont="1" applyFill="1" applyBorder="1" applyAlignment="1">
      <alignment horizontal="center"/>
    </xf>
    <xf numFmtId="49" fontId="18" fillId="0" borderId="3" xfId="9" applyNumberFormat="1" applyFont="1" applyFill="1" applyBorder="1" applyAlignment="1">
      <alignment horizontal="left" wrapText="1"/>
    </xf>
    <xf numFmtId="3" fontId="18" fillId="0" borderId="3" xfId="9" applyNumberFormat="1" applyFont="1" applyFill="1" applyBorder="1" applyAlignment="1">
      <alignment horizontal="right"/>
    </xf>
    <xf numFmtId="0" fontId="21" fillId="0" borderId="3" xfId="9" applyFont="1" applyFill="1" applyBorder="1" applyAlignment="1">
      <alignment horizontal="center"/>
    </xf>
    <xf numFmtId="49" fontId="21" fillId="0" borderId="3" xfId="9" applyNumberFormat="1" applyFont="1" applyFill="1" applyBorder="1" applyAlignment="1">
      <alignment wrapText="1"/>
    </xf>
    <xf numFmtId="3" fontId="21" fillId="0" borderId="3" xfId="9" applyNumberFormat="1" applyFont="1" applyFill="1" applyBorder="1" applyAlignment="1"/>
    <xf numFmtId="3" fontId="21" fillId="0" borderId="3" xfId="9" applyNumberFormat="1" applyFont="1" applyFill="1" applyBorder="1" applyAlignment="1">
      <alignment horizontal="right"/>
    </xf>
    <xf numFmtId="0" fontId="21" fillId="0" borderId="25" xfId="9" applyFont="1" applyFill="1" applyBorder="1" applyAlignment="1">
      <alignment horizontal="center"/>
    </xf>
    <xf numFmtId="49" fontId="21" fillId="0" borderId="25" xfId="9" applyNumberFormat="1" applyFont="1" applyFill="1" applyBorder="1" applyAlignment="1">
      <alignment wrapText="1"/>
    </xf>
    <xf numFmtId="3" fontId="21" fillId="0" borderId="25" xfId="9" applyNumberFormat="1" applyFont="1" applyFill="1" applyBorder="1" applyAlignment="1"/>
    <xf numFmtId="3" fontId="18" fillId="0" borderId="18" xfId="1" applyNumberFormat="1" applyFont="1" applyFill="1" applyBorder="1" applyAlignment="1">
      <alignment vertical="center"/>
    </xf>
    <xf numFmtId="170" fontId="18" fillId="0" borderId="18" xfId="18" applyNumberFormat="1" applyFont="1" applyFill="1" applyBorder="1" applyAlignment="1">
      <alignment vertical="center"/>
    </xf>
    <xf numFmtId="164" fontId="21" fillId="0" borderId="3" xfId="2" quotePrefix="1" applyFont="1" applyFill="1" applyBorder="1" applyAlignment="1">
      <alignment horizontal="center" vertical="center" wrapText="1"/>
    </xf>
    <xf numFmtId="3" fontId="21" fillId="0" borderId="3" xfId="1" applyNumberFormat="1" applyFont="1" applyFill="1" applyBorder="1" applyAlignment="1">
      <alignment vertical="center"/>
    </xf>
    <xf numFmtId="3" fontId="21" fillId="0" borderId="3" xfId="1" applyNumberFormat="1" applyFont="1" applyFill="1" applyBorder="1" applyAlignment="1">
      <alignment horizontal="right" vertical="center"/>
    </xf>
    <xf numFmtId="170" fontId="21" fillId="0" borderId="3" xfId="18" applyNumberFormat="1" applyFont="1" applyFill="1" applyBorder="1" applyAlignment="1">
      <alignment vertical="center"/>
    </xf>
    <xf numFmtId="164" fontId="21" fillId="0" borderId="25" xfId="2" quotePrefix="1" applyFont="1" applyFill="1" applyBorder="1" applyAlignment="1">
      <alignment horizontal="center" vertical="center" wrapText="1"/>
    </xf>
    <xf numFmtId="3" fontId="21" fillId="0" borderId="25" xfId="1" applyNumberFormat="1" applyFont="1" applyFill="1" applyBorder="1" applyAlignment="1">
      <alignment vertical="center"/>
    </xf>
    <xf numFmtId="3" fontId="21" fillId="0" borderId="25" xfId="1" applyNumberFormat="1" applyFont="1" applyFill="1" applyBorder="1" applyAlignment="1">
      <alignment horizontal="right" vertical="center"/>
    </xf>
    <xf numFmtId="170" fontId="21" fillId="0" borderId="25" xfId="18" applyNumberFormat="1" applyFont="1" applyFill="1" applyBorder="1" applyAlignment="1">
      <alignment vertical="center"/>
    </xf>
    <xf numFmtId="170" fontId="18" fillId="0" borderId="3" xfId="18" applyNumberFormat="1" applyFont="1" applyFill="1" applyBorder="1" applyAlignment="1">
      <alignment vertical="center"/>
    </xf>
    <xf numFmtId="0" fontId="7" fillId="0" borderId="0" xfId="16" applyFont="1"/>
    <xf numFmtId="0" fontId="3" fillId="0" borderId="0" xfId="16" applyNumberFormat="1" applyFont="1" applyAlignment="1"/>
    <xf numFmtId="0" fontId="7" fillId="0" borderId="0" xfId="16" applyFont="1" applyAlignment="1">
      <alignment horizontal="right"/>
    </xf>
    <xf numFmtId="0" fontId="3" fillId="0" borderId="0" xfId="16" applyNumberFormat="1" applyFont="1" applyAlignment="1">
      <alignment wrapText="1"/>
    </xf>
    <xf numFmtId="0" fontId="3" fillId="0" borderId="0" xfId="16" applyFont="1" applyAlignment="1">
      <alignment vertical="center" wrapText="1"/>
    </xf>
    <xf numFmtId="0" fontId="3" fillId="0" borderId="0" xfId="16" applyFont="1" applyAlignment="1">
      <alignment horizontal="right" wrapText="1"/>
    </xf>
    <xf numFmtId="0" fontId="7" fillId="0" borderId="0" xfId="16" applyNumberFormat="1" applyFont="1" applyAlignment="1">
      <alignment wrapText="1"/>
    </xf>
    <xf numFmtId="0" fontId="7" fillId="0" borderId="0" xfId="16" applyFont="1" applyAlignment="1">
      <alignment vertical="center" wrapText="1"/>
    </xf>
    <xf numFmtId="0" fontId="7" fillId="0" borderId="0" xfId="16" applyFont="1" applyAlignment="1">
      <alignment horizontal="right" wrapText="1"/>
    </xf>
    <xf numFmtId="0" fontId="18" fillId="0" borderId="0" xfId="16" applyNumberFormat="1" applyFont="1" applyAlignment="1">
      <alignment horizontal="center" wrapText="1"/>
    </xf>
    <xf numFmtId="0" fontId="18" fillId="0" borderId="0" xfId="16" applyFont="1" applyAlignment="1">
      <alignment horizontal="center" vertical="center" wrapText="1"/>
    </xf>
    <xf numFmtId="0" fontId="21" fillId="0" borderId="0" xfId="16" applyFont="1" applyAlignment="1">
      <alignment horizontal="right" wrapText="1"/>
    </xf>
    <xf numFmtId="0" fontId="21" fillId="0" borderId="0" xfId="16" applyFont="1" applyAlignment="1">
      <alignment horizontal="center" wrapText="1"/>
    </xf>
    <xf numFmtId="0" fontId="21" fillId="0" borderId="2" xfId="16" applyFont="1" applyBorder="1" applyAlignment="1">
      <alignment horizontal="center" vertical="center" wrapText="1"/>
    </xf>
    <xf numFmtId="0" fontId="21" fillId="0" borderId="0" xfId="16" applyNumberFormat="1" applyFont="1" applyAlignment="1">
      <alignment horizontal="center" wrapText="1"/>
    </xf>
    <xf numFmtId="0" fontId="21" fillId="0" borderId="0" xfId="16" applyNumberFormat="1" applyFont="1" applyFill="1" applyAlignment="1"/>
    <xf numFmtId="0" fontId="21" fillId="0" borderId="0" xfId="16" applyFont="1" applyAlignment="1">
      <alignment horizontal="center" vertical="center" wrapText="1"/>
    </xf>
    <xf numFmtId="169" fontId="18" fillId="0" borderId="0" xfId="16" applyNumberFormat="1" applyFont="1" applyAlignment="1">
      <alignment horizontal="center" wrapText="1"/>
    </xf>
    <xf numFmtId="0" fontId="7" fillId="0" borderId="0" xfId="16" applyNumberFormat="1" applyFont="1" applyAlignment="1"/>
    <xf numFmtId="0" fontId="55" fillId="0" borderId="0" xfId="9" applyFont="1" applyFill="1" applyAlignment="1"/>
    <xf numFmtId="0" fontId="56" fillId="0" borderId="29" xfId="9" applyFont="1" applyFill="1" applyBorder="1" applyAlignment="1">
      <alignment horizontal="center" vertical="center"/>
    </xf>
    <xf numFmtId="0" fontId="56" fillId="0" borderId="2" xfId="9" applyFont="1" applyFill="1" applyBorder="1" applyAlignment="1">
      <alignment horizontal="center" vertical="center"/>
    </xf>
    <xf numFmtId="3" fontId="56" fillId="0" borderId="2" xfId="9" applyNumberFormat="1" applyFont="1" applyFill="1" applyBorder="1" applyAlignment="1">
      <alignment horizontal="center" vertical="center" wrapText="1"/>
    </xf>
    <xf numFmtId="3" fontId="56" fillId="0" borderId="30" xfId="9" applyNumberFormat="1" applyFont="1" applyFill="1" applyBorder="1" applyAlignment="1">
      <alignment horizontal="center" vertical="center" wrapText="1"/>
    </xf>
    <xf numFmtId="3" fontId="57" fillId="0" borderId="2" xfId="9" applyNumberFormat="1" applyFont="1" applyFill="1" applyBorder="1" applyAlignment="1">
      <alignment horizontal="center" vertical="center" wrapText="1"/>
    </xf>
    <xf numFmtId="3" fontId="21" fillId="3" borderId="3" xfId="9" applyNumberFormat="1" applyFont="1" applyFill="1" applyBorder="1" applyAlignment="1"/>
    <xf numFmtId="49" fontId="55" fillId="0" borderId="3" xfId="9" applyNumberFormat="1" applyFont="1" applyFill="1" applyBorder="1" applyAlignment="1">
      <alignment wrapText="1"/>
    </xf>
    <xf numFmtId="3" fontId="55" fillId="0" borderId="3" xfId="9" applyNumberFormat="1" applyFont="1" applyFill="1" applyBorder="1" applyAlignment="1"/>
    <xf numFmtId="3" fontId="18" fillId="3" borderId="18" xfId="9" applyNumberFormat="1" applyFont="1" applyFill="1" applyBorder="1" applyAlignment="1">
      <alignment horizontal="right"/>
    </xf>
    <xf numFmtId="3" fontId="18" fillId="3" borderId="3" xfId="9" applyNumberFormat="1" applyFont="1" applyFill="1" applyBorder="1" applyAlignment="1">
      <alignment horizontal="right"/>
    </xf>
    <xf numFmtId="3" fontId="21" fillId="3" borderId="3" xfId="9" applyNumberFormat="1" applyFont="1" applyFill="1" applyBorder="1" applyAlignment="1">
      <alignment horizontal="right"/>
    </xf>
    <xf numFmtId="3" fontId="55" fillId="0" borderId="3" xfId="0" applyNumberFormat="1" applyFont="1" applyFill="1" applyBorder="1" applyAlignment="1"/>
    <xf numFmtId="3" fontId="21" fillId="3" borderId="25" xfId="9" applyNumberFormat="1" applyFont="1" applyFill="1" applyBorder="1" applyAlignment="1"/>
    <xf numFmtId="3" fontId="55" fillId="3" borderId="25" xfId="9" applyNumberFormat="1" applyFont="1" applyFill="1" applyBorder="1" applyAlignment="1"/>
    <xf numFmtId="3" fontId="55" fillId="0" borderId="3" xfId="9" applyNumberFormat="1" applyFont="1" applyFill="1" applyBorder="1" applyAlignment="1">
      <alignment horizontal="right"/>
    </xf>
    <xf numFmtId="3" fontId="21" fillId="0" borderId="3" xfId="0" applyNumberFormat="1" applyFont="1" applyFill="1" applyBorder="1" applyAlignment="1"/>
    <xf numFmtId="170" fontId="21" fillId="0" borderId="0" xfId="18" applyNumberFormat="1" applyFont="1" applyFill="1" applyBorder="1" applyAlignment="1">
      <alignment horizontal="center"/>
    </xf>
    <xf numFmtId="3" fontId="21" fillId="3" borderId="3" xfId="9" applyNumberFormat="1" applyFont="1" applyFill="1" applyBorder="1" applyAlignment="1">
      <alignment wrapText="1"/>
    </xf>
    <xf numFmtId="3" fontId="55" fillId="0" borderId="25" xfId="9" applyNumberFormat="1" applyFont="1" applyFill="1" applyBorder="1" applyAlignment="1"/>
    <xf numFmtId="49" fontId="55" fillId="0" borderId="0" xfId="9" applyNumberFormat="1" applyFont="1" applyFill="1" applyAlignment="1">
      <alignment vertical="center" wrapText="1"/>
    </xf>
    <xf numFmtId="3" fontId="55" fillId="0" borderId="0" xfId="9" applyNumberFormat="1" applyFont="1" applyFill="1" applyAlignment="1">
      <alignment vertical="center"/>
    </xf>
    <xf numFmtId="49" fontId="56" fillId="0" borderId="18" xfId="9" applyNumberFormat="1" applyFont="1" applyFill="1" applyBorder="1" applyAlignment="1">
      <alignment horizontal="left" wrapText="1"/>
    </xf>
    <xf numFmtId="3" fontId="56" fillId="0" borderId="18" xfId="9" applyNumberFormat="1" applyFont="1" applyFill="1" applyBorder="1" applyAlignment="1">
      <alignment horizontal="right"/>
    </xf>
    <xf numFmtId="49" fontId="56" fillId="0" borderId="3" xfId="9" applyNumberFormat="1" applyFont="1" applyFill="1" applyBorder="1" applyAlignment="1">
      <alignment horizontal="left" wrapText="1"/>
    </xf>
    <xf numFmtId="3" fontId="56" fillId="0" borderId="3" xfId="9" applyNumberFormat="1" applyFont="1" applyFill="1" applyBorder="1" applyAlignment="1">
      <alignment horizontal="right"/>
    </xf>
    <xf numFmtId="49" fontId="56" fillId="0" borderId="3" xfId="9" applyNumberFormat="1" applyFont="1" applyFill="1" applyBorder="1" applyAlignment="1">
      <alignment wrapText="1"/>
    </xf>
    <xf numFmtId="3" fontId="56" fillId="0" borderId="3" xfId="9" applyNumberFormat="1" applyFont="1" applyFill="1" applyBorder="1" applyAlignment="1"/>
    <xf numFmtId="3" fontId="55" fillId="0" borderId="0" xfId="9" applyNumberFormat="1" applyFont="1" applyFill="1" applyAlignment="1"/>
    <xf numFmtId="3" fontId="55" fillId="0" borderId="0" xfId="9" applyNumberFormat="1" applyFont="1" applyFill="1" applyBorder="1" applyAlignment="1"/>
    <xf numFmtId="3" fontId="55" fillId="0" borderId="0" xfId="9" applyNumberFormat="1" applyFont="1" applyFill="1" applyAlignment="1">
      <alignment wrapText="1"/>
    </xf>
    <xf numFmtId="3" fontId="55" fillId="0" borderId="0" xfId="9" applyNumberFormat="1" applyFont="1" applyFill="1" applyAlignment="1">
      <alignment vertical="center" wrapText="1"/>
    </xf>
    <xf numFmtId="0" fontId="56" fillId="0" borderId="3" xfId="9" applyFont="1" applyFill="1" applyBorder="1" applyAlignment="1">
      <alignment horizontal="center"/>
    </xf>
    <xf numFmtId="0" fontId="56" fillId="3" borderId="3" xfId="9" applyFont="1" applyFill="1" applyBorder="1" applyAlignment="1">
      <alignment horizontal="center"/>
    </xf>
    <xf numFmtId="3" fontId="56" fillId="3" borderId="3" xfId="9" applyNumberFormat="1" applyFont="1" applyFill="1" applyBorder="1" applyAlignment="1"/>
    <xf numFmtId="0" fontId="56" fillId="3" borderId="3" xfId="9" applyFont="1" applyFill="1" applyBorder="1" applyAlignment="1"/>
    <xf numFmtId="0" fontId="56" fillId="0" borderId="0" xfId="9" applyFont="1" applyFill="1" applyAlignment="1"/>
    <xf numFmtId="0" fontId="55" fillId="0" borderId="3" xfId="9" applyFont="1" applyFill="1" applyBorder="1" applyAlignment="1">
      <alignment horizontal="center"/>
    </xf>
    <xf numFmtId="0" fontId="55" fillId="3" borderId="3" xfId="9" applyFont="1" applyFill="1" applyBorder="1" applyAlignment="1"/>
    <xf numFmtId="3" fontId="55" fillId="3" borderId="3" xfId="9" applyNumberFormat="1" applyFont="1" applyFill="1" applyBorder="1" applyAlignment="1"/>
    <xf numFmtId="0" fontId="55" fillId="0" borderId="3" xfId="9" applyFont="1" applyFill="1" applyBorder="1" applyAlignment="1"/>
    <xf numFmtId="49" fontId="55" fillId="3" borderId="3" xfId="9" applyNumberFormat="1" applyFont="1" applyFill="1" applyBorder="1" applyAlignment="1">
      <alignment wrapText="1"/>
    </xf>
    <xf numFmtId="0" fontId="55" fillId="0" borderId="25" xfId="9" applyFont="1" applyFill="1" applyBorder="1" applyAlignment="1">
      <alignment horizontal="center"/>
    </xf>
    <xf numFmtId="49" fontId="55" fillId="0" borderId="25" xfId="9" applyNumberFormat="1" applyFont="1" applyFill="1" applyBorder="1" applyAlignment="1">
      <alignment wrapText="1"/>
    </xf>
    <xf numFmtId="0" fontId="55" fillId="3" borderId="25" xfId="9" applyFont="1" applyFill="1" applyBorder="1" applyAlignment="1"/>
    <xf numFmtId="0" fontId="55" fillId="0" borderId="25" xfId="9" applyFont="1" applyFill="1" applyBorder="1" applyAlignment="1"/>
    <xf numFmtId="49" fontId="55" fillId="3" borderId="25" xfId="9" applyNumberFormat="1" applyFont="1" applyFill="1" applyBorder="1" applyAlignment="1">
      <alignment wrapText="1"/>
    </xf>
    <xf numFmtId="0" fontId="56" fillId="0" borderId="26" xfId="9" applyFont="1" applyFill="1" applyBorder="1" applyAlignment="1">
      <alignment horizontal="center"/>
    </xf>
    <xf numFmtId="49" fontId="56" fillId="0" borderId="26" xfId="9" applyNumberFormat="1" applyFont="1" applyFill="1" applyBorder="1" applyAlignment="1">
      <alignment wrapText="1"/>
    </xf>
    <xf numFmtId="0" fontId="56" fillId="3" borderId="26" xfId="9" applyFont="1" applyFill="1" applyBorder="1" applyAlignment="1">
      <alignment horizontal="center"/>
    </xf>
    <xf numFmtId="3" fontId="56" fillId="3" borderId="26" xfId="9" applyNumberFormat="1" applyFont="1" applyFill="1" applyBorder="1" applyAlignment="1"/>
    <xf numFmtId="0" fontId="56" fillId="3" borderId="26" xfId="9" applyFont="1" applyFill="1" applyBorder="1" applyAlignment="1"/>
    <xf numFmtId="3" fontId="56" fillId="0" borderId="26" xfId="9" applyNumberFormat="1" applyFont="1" applyFill="1" applyBorder="1" applyAlignment="1"/>
    <xf numFmtId="3" fontId="21" fillId="0" borderId="25" xfId="0" applyNumberFormat="1" applyFont="1" applyFill="1" applyBorder="1" applyAlignment="1"/>
    <xf numFmtId="3" fontId="55" fillId="0" borderId="25" xfId="0" applyNumberFormat="1" applyFont="1" applyFill="1" applyBorder="1" applyAlignment="1"/>
    <xf numFmtId="3" fontId="55" fillId="3" borderId="0" xfId="9" applyNumberFormat="1" applyFont="1" applyFill="1" applyAlignment="1"/>
    <xf numFmtId="3" fontId="21" fillId="0" borderId="0" xfId="9" applyNumberFormat="1" applyFont="1" applyFill="1" applyAlignment="1">
      <alignment horizontal="right" wrapText="1"/>
    </xf>
    <xf numFmtId="3" fontId="22" fillId="0" borderId="0" xfId="0" applyNumberFormat="1" applyFont="1" applyFill="1" applyAlignment="1">
      <alignment vertical="center"/>
    </xf>
    <xf numFmtId="0" fontId="22" fillId="0" borderId="0" xfId="0" applyFont="1" applyFill="1" applyBorder="1" applyAlignment="1">
      <alignment horizontal="right" vertical="center"/>
    </xf>
    <xf numFmtId="0" fontId="22" fillId="0" borderId="0" xfId="0" applyFont="1" applyFill="1" applyBorder="1" applyAlignment="1">
      <alignment horizontal="right" vertical="center" wrapText="1"/>
    </xf>
    <xf numFmtId="3" fontId="21" fillId="0" borderId="0" xfId="0" applyNumberFormat="1" applyFont="1" applyFill="1" applyAlignment="1">
      <alignment vertical="center"/>
    </xf>
    <xf numFmtId="3" fontId="18" fillId="0" borderId="33" xfId="9" applyNumberFormat="1" applyFont="1" applyFill="1" applyBorder="1" applyAlignment="1">
      <alignment horizontal="center" vertical="center" wrapText="1"/>
    </xf>
    <xf numFmtId="3" fontId="56" fillId="0" borderId="29" xfId="9" applyNumberFormat="1" applyFont="1" applyFill="1" applyBorder="1" applyAlignment="1">
      <alignment horizontal="center" vertical="center" wrapText="1"/>
    </xf>
    <xf numFmtId="3" fontId="22" fillId="3" borderId="2" xfId="9" applyNumberFormat="1" applyFont="1" applyFill="1" applyBorder="1" applyAlignment="1">
      <alignment horizontal="center" vertical="center" wrapText="1"/>
    </xf>
    <xf numFmtId="170" fontId="55" fillId="3" borderId="3" xfId="9" applyNumberFormat="1" applyFont="1" applyFill="1" applyBorder="1" applyAlignment="1">
      <alignment horizontal="right"/>
    </xf>
    <xf numFmtId="3" fontId="55" fillId="0" borderId="0" xfId="9" applyNumberFormat="1" applyFont="1" applyFill="1" applyAlignment="1">
      <alignment horizontal="right" vertical="center" wrapText="1"/>
    </xf>
    <xf numFmtId="3" fontId="55" fillId="3" borderId="0" xfId="9" applyNumberFormat="1" applyFont="1" applyFill="1" applyAlignment="1">
      <alignment vertical="center"/>
    </xf>
    <xf numFmtId="0" fontId="55" fillId="3" borderId="0" xfId="9" applyFont="1" applyFill="1" applyAlignment="1">
      <alignment vertical="center"/>
    </xf>
    <xf numFmtId="3" fontId="57" fillId="3" borderId="2" xfId="9" applyNumberFormat="1" applyFont="1" applyFill="1" applyBorder="1" applyAlignment="1">
      <alignment horizontal="center" vertical="center" wrapText="1"/>
    </xf>
    <xf numFmtId="3" fontId="56" fillId="3" borderId="18" xfId="9" applyNumberFormat="1" applyFont="1" applyFill="1" applyBorder="1" applyAlignment="1">
      <alignment horizontal="right"/>
    </xf>
    <xf numFmtId="3" fontId="56" fillId="3" borderId="3" xfId="9" applyNumberFormat="1" applyFont="1" applyFill="1" applyBorder="1" applyAlignment="1">
      <alignment horizontal="right"/>
    </xf>
    <xf numFmtId="3" fontId="55" fillId="3" borderId="3" xfId="9" applyNumberFormat="1" applyFont="1" applyFill="1" applyBorder="1" applyAlignment="1">
      <alignment horizontal="right"/>
    </xf>
    <xf numFmtId="3" fontId="55" fillId="3" borderId="0" xfId="9" applyNumberFormat="1" applyFont="1" applyFill="1" applyBorder="1" applyAlignment="1"/>
    <xf numFmtId="3" fontId="21" fillId="3" borderId="0" xfId="9" applyNumberFormat="1" applyFont="1" applyFill="1" applyAlignment="1">
      <alignment horizontal="left"/>
    </xf>
    <xf numFmtId="0" fontId="56" fillId="3" borderId="0" xfId="0" applyFont="1" applyFill="1" applyAlignment="1"/>
    <xf numFmtId="0" fontId="58" fillId="3" borderId="27" xfId="0" applyFont="1" applyFill="1" applyBorder="1" applyAlignment="1">
      <alignment horizontal="center"/>
    </xf>
    <xf numFmtId="0" fontId="58" fillId="3" borderId="0" xfId="9" applyFont="1" applyFill="1" applyAlignment="1">
      <alignment vertical="center"/>
    </xf>
    <xf numFmtId="170" fontId="56" fillId="3" borderId="18" xfId="9" applyNumberFormat="1" applyFont="1" applyFill="1" applyBorder="1" applyAlignment="1"/>
    <xf numFmtId="170" fontId="56" fillId="3" borderId="3" xfId="9" applyNumberFormat="1" applyFont="1" applyFill="1" applyBorder="1" applyAlignment="1"/>
    <xf numFmtId="170" fontId="55" fillId="3" borderId="25" xfId="9" applyNumberFormat="1" applyFont="1" applyFill="1" applyBorder="1" applyAlignment="1">
      <alignment horizontal="right"/>
    </xf>
    <xf numFmtId="3" fontId="21" fillId="0" borderId="0" xfId="9" applyNumberFormat="1" applyFont="1" applyFill="1" applyAlignment="1">
      <alignment horizontal="right" vertical="center" wrapText="1"/>
    </xf>
    <xf numFmtId="0" fontId="18" fillId="0" borderId="0" xfId="0" applyFont="1" applyFill="1" applyAlignment="1">
      <alignment horizontal="center"/>
    </xf>
    <xf numFmtId="3" fontId="18" fillId="0" borderId="0" xfId="0" applyNumberFormat="1" applyFont="1" applyFill="1"/>
    <xf numFmtId="0" fontId="17" fillId="3" borderId="0" xfId="12" applyFont="1" applyFill="1"/>
    <xf numFmtId="0" fontId="2" fillId="0" borderId="0" xfId="0" applyFont="1" applyAlignment="1">
      <alignment horizontal="right"/>
    </xf>
    <xf numFmtId="0" fontId="12" fillId="0" borderId="0" xfId="0" applyFont="1" applyBorder="1" applyAlignment="1">
      <alignment horizontal="right"/>
    </xf>
    <xf numFmtId="169" fontId="3" fillId="0" borderId="0" xfId="1" applyNumberFormat="1" applyFont="1" applyFill="1"/>
    <xf numFmtId="169" fontId="17" fillId="0" borderId="0" xfId="1" applyNumberFormat="1" applyFont="1" applyFill="1" applyAlignment="1">
      <alignment vertical="center"/>
    </xf>
    <xf numFmtId="3" fontId="2" fillId="0" borderId="0" xfId="12" applyNumberFormat="1" applyFont="1" applyFill="1"/>
    <xf numFmtId="170" fontId="17" fillId="3" borderId="0" xfId="18" applyNumberFormat="1" applyFont="1" applyFill="1" applyBorder="1"/>
    <xf numFmtId="169" fontId="17" fillId="3" borderId="0" xfId="1" applyNumberFormat="1" applyFont="1" applyFill="1"/>
    <xf numFmtId="0" fontId="17" fillId="3" borderId="0" xfId="0" applyFont="1" applyFill="1"/>
    <xf numFmtId="3" fontId="10" fillId="0" borderId="0" xfId="0" applyNumberFormat="1" applyFont="1"/>
    <xf numFmtId="3" fontId="61" fillId="0" borderId="0" xfId="0" applyNumberFormat="1" applyFont="1" applyAlignment="1">
      <alignment horizontal="right"/>
    </xf>
    <xf numFmtId="3" fontId="61" fillId="0" borderId="0" xfId="0" applyNumberFormat="1" applyFont="1" applyFill="1"/>
    <xf numFmtId="0" fontId="21" fillId="0" borderId="0" xfId="0" applyFont="1" applyFill="1" applyAlignment="1">
      <alignment vertical="center"/>
    </xf>
    <xf numFmtId="169" fontId="4" fillId="0" borderId="0" xfId="1" applyNumberFormat="1" applyFont="1" applyFill="1"/>
    <xf numFmtId="169" fontId="7" fillId="0" borderId="0" xfId="1" applyNumberFormat="1" applyFont="1" applyFill="1"/>
    <xf numFmtId="0" fontId="4" fillId="0" borderId="0" xfId="0" applyFont="1" applyFill="1" applyAlignment="1">
      <alignment horizontal="center"/>
    </xf>
    <xf numFmtId="0" fontId="4" fillId="0" borderId="0" xfId="0" applyFont="1" applyAlignment="1">
      <alignment horizontal="center"/>
    </xf>
    <xf numFmtId="0" fontId="18" fillId="0" borderId="0" xfId="0" applyFont="1" applyFill="1" applyAlignment="1">
      <alignment horizontal="center"/>
    </xf>
    <xf numFmtId="0" fontId="2" fillId="2" borderId="0" xfId="12" applyFont="1" applyFill="1" applyAlignment="1">
      <alignment horizontal="center" vertical="center" wrapText="1"/>
    </xf>
    <xf numFmtId="0" fontId="3" fillId="2" borderId="0" xfId="12" applyFont="1" applyFill="1" applyAlignment="1">
      <alignment horizontal="center" vertical="center" wrapText="1"/>
    </xf>
    <xf numFmtId="0" fontId="20" fillId="2" borderId="0" xfId="12" applyFont="1" applyFill="1" applyAlignment="1">
      <alignment horizontal="center" vertical="center"/>
    </xf>
    <xf numFmtId="3" fontId="10" fillId="0" borderId="0" xfId="12" applyNumberFormat="1" applyFont="1"/>
    <xf numFmtId="0" fontId="10" fillId="0" borderId="0" xfId="12" applyFont="1"/>
    <xf numFmtId="0" fontId="17" fillId="0" borderId="0" xfId="12" applyFont="1"/>
    <xf numFmtId="0" fontId="21" fillId="0" borderId="2" xfId="0" applyFont="1" applyBorder="1" applyAlignment="1">
      <alignment horizontal="center" vertical="center"/>
    </xf>
    <xf numFmtId="0" fontId="21" fillId="0" borderId="2" xfId="0" applyFont="1" applyBorder="1" applyAlignment="1">
      <alignment horizontal="center" vertical="center" wrapText="1"/>
    </xf>
    <xf numFmtId="0" fontId="9" fillId="0" borderId="0" xfId="0" applyFont="1"/>
    <xf numFmtId="3" fontId="21" fillId="0" borderId="0" xfId="0" applyNumberFormat="1" applyFont="1" applyAlignment="1">
      <alignment horizontal="right"/>
    </xf>
    <xf numFmtId="0" fontId="22" fillId="0" borderId="2" xfId="0" applyFont="1" applyBorder="1" applyAlignment="1">
      <alignment horizontal="center" vertical="center"/>
    </xf>
    <xf numFmtId="0" fontId="22" fillId="0" borderId="2" xfId="0" applyFont="1" applyBorder="1" applyAlignment="1">
      <alignment horizontal="center" vertical="center" wrapText="1"/>
    </xf>
    <xf numFmtId="0" fontId="20" fillId="0" borderId="0" xfId="0" applyFont="1" applyAlignment="1">
      <alignment vertical="center"/>
    </xf>
    <xf numFmtId="0" fontId="18" fillId="0" borderId="18" xfId="0" applyFont="1" applyBorder="1" applyAlignment="1">
      <alignment horizontal="center" vertical="center"/>
    </xf>
    <xf numFmtId="0" fontId="18" fillId="0" borderId="18" xfId="0" applyFont="1" applyBorder="1" applyAlignment="1">
      <alignment vertical="center"/>
    </xf>
    <xf numFmtId="3" fontId="18" fillId="0" borderId="30" xfId="1" applyNumberFormat="1" applyFont="1" applyFill="1" applyBorder="1" applyAlignment="1">
      <alignment vertical="center"/>
    </xf>
    <xf numFmtId="0" fontId="18" fillId="0" borderId="0" xfId="0" applyFont="1" applyAlignment="1">
      <alignment vertical="center"/>
    </xf>
    <xf numFmtId="3" fontId="21" fillId="0" borderId="3" xfId="0" applyNumberFormat="1" applyFont="1" applyBorder="1" applyAlignment="1">
      <alignment horizontal="left" vertical="center" wrapText="1"/>
    </xf>
    <xf numFmtId="0" fontId="7" fillId="0" borderId="3" xfId="0" applyFont="1" applyBorder="1" applyAlignment="1">
      <alignment vertical="center"/>
    </xf>
    <xf numFmtId="3" fontId="20" fillId="0" borderId="3" xfId="0" applyNumberFormat="1" applyFont="1" applyBorder="1" applyAlignment="1">
      <alignment horizontal="left" vertical="center"/>
    </xf>
    <xf numFmtId="169" fontId="21" fillId="0" borderId="3" xfId="1" applyNumberFormat="1" applyFont="1" applyFill="1" applyBorder="1" applyAlignment="1">
      <alignment horizontal="right" vertical="center" wrapText="1"/>
    </xf>
    <xf numFmtId="0" fontId="7" fillId="0" borderId="0" xfId="0" applyFont="1" applyAlignment="1">
      <alignment vertical="center"/>
    </xf>
    <xf numFmtId="3" fontId="21" fillId="0" borderId="25" xfId="0" applyNumberFormat="1" applyFont="1" applyBorder="1" applyAlignment="1">
      <alignment horizontal="left" vertical="center" wrapText="1"/>
    </xf>
    <xf numFmtId="3" fontId="20" fillId="0" borderId="25" xfId="0" applyNumberFormat="1" applyFont="1" applyBorder="1" applyAlignment="1">
      <alignment horizontal="left" vertical="center"/>
    </xf>
    <xf numFmtId="170" fontId="21" fillId="0" borderId="18" xfId="18" applyNumberFormat="1" applyFont="1" applyFill="1" applyBorder="1" applyAlignment="1">
      <alignment vertical="center"/>
    </xf>
    <xf numFmtId="170" fontId="21" fillId="0" borderId="2" xfId="18" applyNumberFormat="1" applyFont="1" applyFill="1" applyBorder="1" applyAlignment="1">
      <alignment vertical="center"/>
    </xf>
    <xf numFmtId="3" fontId="21" fillId="0" borderId="0" xfId="16" applyNumberFormat="1" applyFont="1" applyFill="1" applyAlignment="1">
      <alignment horizontal="right" wrapText="1"/>
    </xf>
    <xf numFmtId="0" fontId="18" fillId="0" borderId="0" xfId="16" applyFont="1" applyFill="1" applyAlignment="1">
      <alignment horizontal="center" vertical="center" wrapText="1"/>
    </xf>
    <xf numFmtId="0" fontId="21" fillId="0" borderId="0" xfId="16" applyFont="1" applyFill="1" applyAlignment="1">
      <alignment vertical="center"/>
    </xf>
    <xf numFmtId="167" fontId="2" fillId="0" borderId="30" xfId="15" applyNumberFormat="1" applyFont="1" applyFill="1" applyBorder="1" applyAlignment="1" applyProtection="1">
      <alignment horizontal="center" vertical="center" wrapText="1"/>
    </xf>
    <xf numFmtId="0" fontId="2" fillId="0" borderId="2" xfId="15" applyFont="1" applyFill="1" applyBorder="1" applyAlignment="1">
      <alignment horizontal="center" vertical="center" wrapText="1"/>
    </xf>
    <xf numFmtId="167" fontId="2" fillId="0" borderId="2" xfId="15" applyNumberFormat="1" applyFont="1" applyFill="1" applyBorder="1" applyAlignment="1" applyProtection="1">
      <alignment horizontal="center" vertical="center" wrapText="1"/>
    </xf>
    <xf numFmtId="0" fontId="2" fillId="0" borderId="30" xfId="15" applyFont="1" applyFill="1" applyBorder="1" applyAlignment="1">
      <alignment horizontal="center" vertical="center" wrapText="1"/>
    </xf>
    <xf numFmtId="0" fontId="2" fillId="0" borderId="0" xfId="15" applyNumberFormat="1" applyFont="1" applyFill="1" applyAlignment="1"/>
    <xf numFmtId="0" fontId="2" fillId="0" borderId="0" xfId="15" applyFont="1" applyFill="1"/>
    <xf numFmtId="167" fontId="17" fillId="0" borderId="2" xfId="15" applyNumberFormat="1" applyFont="1" applyFill="1" applyBorder="1" applyAlignment="1" applyProtection="1">
      <alignment horizontal="center" vertical="center" wrapText="1"/>
    </xf>
    <xf numFmtId="167" fontId="17" fillId="0" borderId="2" xfId="15" applyNumberFormat="1" applyFont="1" applyFill="1" applyBorder="1" applyAlignment="1">
      <alignment horizontal="center" vertical="center" wrapText="1"/>
    </xf>
    <xf numFmtId="0" fontId="10" fillId="0" borderId="0" xfId="15" applyNumberFormat="1" applyFont="1" applyFill="1" applyAlignment="1">
      <alignment wrapText="1"/>
    </xf>
    <xf numFmtId="167" fontId="10" fillId="0" borderId="0" xfId="15" applyNumberFormat="1" applyFont="1" applyFill="1" applyAlignment="1">
      <alignment vertical="center" wrapText="1"/>
    </xf>
    <xf numFmtId="3" fontId="3" fillId="0" borderId="0" xfId="15" applyNumberFormat="1" applyFont="1" applyFill="1" applyAlignment="1"/>
    <xf numFmtId="0" fontId="3" fillId="0" borderId="0" xfId="15" applyNumberFormat="1" applyFont="1" applyFill="1" applyAlignment="1"/>
    <xf numFmtId="0" fontId="3" fillId="0" borderId="0" xfId="15" applyNumberFormat="1" applyFont="1" applyFill="1" applyAlignment="1">
      <alignment wrapText="1"/>
    </xf>
    <xf numFmtId="0" fontId="3" fillId="0" borderId="0" xfId="15" applyFont="1" applyFill="1" applyAlignment="1">
      <alignment vertical="center" wrapText="1"/>
    </xf>
    <xf numFmtId="9" fontId="3" fillId="0" borderId="0" xfId="15" applyNumberFormat="1" applyFont="1" applyFill="1" applyAlignment="1"/>
    <xf numFmtId="9" fontId="3" fillId="0" borderId="0" xfId="15" applyNumberFormat="1" applyFont="1" applyFill="1"/>
    <xf numFmtId="0" fontId="25" fillId="0" borderId="3" xfId="15" applyFont="1" applyFill="1" applyBorder="1"/>
    <xf numFmtId="0" fontId="25" fillId="0" borderId="21" xfId="15" applyFont="1" applyFill="1" applyBorder="1"/>
    <xf numFmtId="0" fontId="18" fillId="0" borderId="3" xfId="15" applyFont="1" applyFill="1" applyBorder="1"/>
    <xf numFmtId="0" fontId="18" fillId="0" borderId="21" xfId="15" applyFont="1" applyFill="1" applyBorder="1"/>
    <xf numFmtId="0" fontId="10" fillId="0" borderId="13" xfId="0" applyFont="1" applyFill="1" applyBorder="1" applyAlignment="1">
      <alignment horizontal="center" vertical="center"/>
    </xf>
    <xf numFmtId="0" fontId="2" fillId="0" borderId="3"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28" xfId="0" applyFont="1" applyFill="1" applyBorder="1" applyAlignment="1">
      <alignment horizontal="center" vertical="center"/>
    </xf>
    <xf numFmtId="3" fontId="18" fillId="0" borderId="30" xfId="9" applyNumberFormat="1" applyFont="1" applyFill="1" applyBorder="1" applyAlignment="1">
      <alignment horizontal="center" vertical="center" wrapText="1"/>
    </xf>
    <xf numFmtId="3" fontId="18" fillId="0" borderId="33" xfId="9" applyNumberFormat="1" applyFont="1" applyFill="1" applyBorder="1" applyAlignment="1">
      <alignment horizontal="center" vertical="center" wrapText="1"/>
    </xf>
    <xf numFmtId="3" fontId="18" fillId="0" borderId="2" xfId="9" applyNumberFormat="1" applyFont="1" applyFill="1" applyBorder="1" applyAlignment="1">
      <alignment horizontal="center" vertical="center" wrapText="1"/>
    </xf>
    <xf numFmtId="0" fontId="18" fillId="0" borderId="2" xfId="9" applyFont="1" applyFill="1" applyBorder="1" applyAlignment="1">
      <alignment horizontal="center" vertical="center"/>
    </xf>
    <xf numFmtId="0" fontId="18" fillId="0" borderId="29" xfId="9" applyFont="1" applyFill="1" applyBorder="1" applyAlignment="1">
      <alignment horizontal="center" vertical="center"/>
    </xf>
    <xf numFmtId="3" fontId="18" fillId="0" borderId="29" xfId="9"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0" fillId="0" borderId="2" xfId="12" applyFont="1" applyFill="1" applyBorder="1" applyAlignment="1">
      <alignment horizontal="center" vertical="center" wrapText="1"/>
    </xf>
    <xf numFmtId="0" fontId="18" fillId="0" borderId="30" xfId="16" applyFont="1" applyBorder="1" applyAlignment="1">
      <alignment horizontal="center" vertical="center" wrapText="1"/>
    </xf>
    <xf numFmtId="0" fontId="2" fillId="0" borderId="0" xfId="0" applyFont="1" applyFill="1" applyAlignment="1">
      <alignment horizontal="centerContinuous" vertical="center"/>
    </xf>
    <xf numFmtId="0" fontId="3" fillId="0" borderId="0" xfId="0" applyFont="1" applyFill="1" applyAlignment="1">
      <alignment horizontal="centerContinuous" vertical="center"/>
    </xf>
    <xf numFmtId="0" fontId="4" fillId="0" borderId="0" xfId="0" applyFont="1" applyFill="1" applyAlignment="1">
      <alignment horizontal="centerContinuous" vertical="center"/>
    </xf>
    <xf numFmtId="0" fontId="4" fillId="0" borderId="0" xfId="0" applyFont="1" applyFill="1" applyAlignment="1">
      <alignment horizontal="center" vertical="center"/>
    </xf>
    <xf numFmtId="0" fontId="2" fillId="0" borderId="0" xfId="12" applyFont="1" applyFill="1" applyAlignment="1">
      <alignment horizontal="right" vertical="center"/>
    </xf>
    <xf numFmtId="0" fontId="6" fillId="0" borderId="0" xfId="0" applyFont="1" applyFill="1" applyAlignment="1">
      <alignment horizontal="left" vertical="center"/>
    </xf>
    <xf numFmtId="0" fontId="7" fillId="0" borderId="0" xfId="0" applyFont="1" applyFill="1" applyBorder="1" applyAlignment="1">
      <alignment vertical="center"/>
    </xf>
    <xf numFmtId="0" fontId="26" fillId="0" borderId="18" xfId="0" applyFont="1" applyFill="1" applyBorder="1" applyAlignment="1">
      <alignment vertical="center"/>
    </xf>
    <xf numFmtId="3" fontId="10" fillId="0" borderId="18" xfId="0" applyNumberFormat="1" applyFont="1" applyFill="1" applyBorder="1" applyAlignment="1">
      <alignment vertical="center"/>
    </xf>
    <xf numFmtId="170" fontId="10" fillId="0" borderId="3" xfId="18" applyNumberFormat="1" applyFont="1" applyFill="1" applyBorder="1" applyAlignment="1">
      <alignment vertical="center"/>
    </xf>
    <xf numFmtId="0" fontId="10" fillId="0" borderId="3" xfId="0" applyFont="1" applyFill="1" applyBorder="1" applyAlignment="1">
      <alignment vertical="center"/>
    </xf>
    <xf numFmtId="3" fontId="10" fillId="0" borderId="3" xfId="0" applyNumberFormat="1" applyFont="1" applyFill="1" applyBorder="1" applyAlignment="1">
      <alignment vertical="center"/>
    </xf>
    <xf numFmtId="3" fontId="10" fillId="0" borderId="3" xfId="1" applyNumberFormat="1" applyFont="1" applyFill="1" applyBorder="1" applyAlignment="1">
      <alignment vertical="center"/>
    </xf>
    <xf numFmtId="0" fontId="17" fillId="0" borderId="3" xfId="0" quotePrefix="1" applyFont="1" applyFill="1" applyBorder="1" applyAlignment="1">
      <alignment horizontal="center" vertical="center"/>
    </xf>
    <xf numFmtId="0" fontId="17" fillId="0" borderId="3" xfId="0" applyFont="1" applyFill="1" applyBorder="1" applyAlignment="1">
      <alignment vertical="center"/>
    </xf>
    <xf numFmtId="3" fontId="17" fillId="0" borderId="3" xfId="0" applyNumberFormat="1" applyFont="1" applyFill="1" applyBorder="1" applyAlignment="1">
      <alignment vertical="center"/>
    </xf>
    <xf numFmtId="3" fontId="17" fillId="0" borderId="3" xfId="1" applyNumberFormat="1" applyFont="1" applyFill="1" applyBorder="1" applyAlignment="1">
      <alignment vertical="center"/>
    </xf>
    <xf numFmtId="170" fontId="17" fillId="0" borderId="3" xfId="18" applyNumberFormat="1" applyFont="1" applyFill="1" applyBorder="1" applyAlignment="1">
      <alignment vertical="center"/>
    </xf>
    <xf numFmtId="0" fontId="17" fillId="0" borderId="3" xfId="0" applyFont="1" applyFill="1" applyBorder="1" applyAlignment="1">
      <alignment vertical="center" wrapText="1"/>
    </xf>
    <xf numFmtId="0" fontId="17" fillId="0" borderId="3" xfId="0" applyFont="1" applyFill="1" applyBorder="1" applyAlignment="1">
      <alignment horizontal="center" vertical="center"/>
    </xf>
    <xf numFmtId="3" fontId="33" fillId="0" borderId="3" xfId="0" applyNumberFormat="1" applyFont="1" applyFill="1" applyBorder="1" applyAlignment="1">
      <alignment vertical="center"/>
    </xf>
    <xf numFmtId="0" fontId="10" fillId="0" borderId="3" xfId="0" applyFont="1" applyFill="1" applyBorder="1" applyAlignment="1">
      <alignment vertical="center" wrapText="1"/>
    </xf>
    <xf numFmtId="0" fontId="10" fillId="0" borderId="28" xfId="0" applyFont="1" applyFill="1" applyBorder="1" applyAlignment="1">
      <alignment vertical="center"/>
    </xf>
    <xf numFmtId="3" fontId="10" fillId="0" borderId="28" xfId="0" applyNumberFormat="1" applyFont="1" applyFill="1" applyBorder="1" applyAlignment="1">
      <alignment vertical="center"/>
    </xf>
    <xf numFmtId="0" fontId="10" fillId="0" borderId="25" xfId="0" applyFont="1" applyFill="1" applyBorder="1" applyAlignment="1">
      <alignment horizontal="center" vertical="center"/>
    </xf>
    <xf numFmtId="0" fontId="10" fillId="0" borderId="25" xfId="0" applyFont="1" applyFill="1" applyBorder="1" applyAlignment="1">
      <alignment vertical="center"/>
    </xf>
    <xf numFmtId="3" fontId="10" fillId="0" borderId="25" xfId="0" applyNumberFormat="1" applyFont="1" applyFill="1" applyBorder="1" applyAlignment="1">
      <alignment vertical="center"/>
    </xf>
    <xf numFmtId="3" fontId="10" fillId="0" borderId="25" xfId="1" applyNumberFormat="1" applyFont="1" applyFill="1" applyBorder="1" applyAlignment="1">
      <alignment vertical="center"/>
    </xf>
    <xf numFmtId="170" fontId="17" fillId="0" borderId="25" xfId="18" applyNumberFormat="1" applyFont="1" applyFill="1" applyBorder="1" applyAlignment="1">
      <alignment vertical="center"/>
    </xf>
    <xf numFmtId="0" fontId="10" fillId="0" borderId="13" xfId="0" applyFont="1" applyFill="1" applyBorder="1" applyAlignment="1">
      <alignment vertical="center"/>
    </xf>
    <xf numFmtId="3" fontId="17" fillId="0" borderId="13" xfId="0" applyNumberFormat="1" applyFont="1" applyFill="1" applyBorder="1" applyAlignment="1">
      <alignment vertical="center"/>
    </xf>
    <xf numFmtId="3" fontId="10" fillId="0" borderId="13" xfId="0" applyNumberFormat="1" applyFont="1" applyFill="1" applyBorder="1" applyAlignment="1">
      <alignment vertical="center"/>
    </xf>
    <xf numFmtId="3" fontId="10" fillId="0" borderId="13" xfId="1" applyNumberFormat="1" applyFont="1" applyFill="1" applyBorder="1" applyAlignment="1">
      <alignment vertical="center"/>
    </xf>
    <xf numFmtId="170" fontId="17" fillId="0" borderId="13" xfId="18" applyNumberFormat="1" applyFont="1" applyFill="1" applyBorder="1" applyAlignment="1">
      <alignment vertical="center"/>
    </xf>
    <xf numFmtId="0" fontId="2" fillId="0" borderId="0" xfId="12" applyFont="1" applyFill="1" applyAlignment="1">
      <alignment horizontal="centerContinuous" vertical="center"/>
    </xf>
    <xf numFmtId="0" fontId="3" fillId="0" borderId="0" xfId="12" applyFont="1" applyFill="1" applyAlignment="1">
      <alignment horizontal="centerContinuous" vertical="center"/>
    </xf>
    <xf numFmtId="0" fontId="6" fillId="0" borderId="0" xfId="12" applyFont="1" applyFill="1" applyAlignment="1">
      <alignment horizontal="left" vertical="center"/>
    </xf>
    <xf numFmtId="0" fontId="7" fillId="0" borderId="0" xfId="12" applyFont="1" applyFill="1" applyAlignment="1">
      <alignment vertical="center"/>
    </xf>
    <xf numFmtId="169" fontId="7" fillId="0" borderId="0" xfId="12" applyNumberFormat="1" applyFont="1" applyFill="1" applyAlignment="1">
      <alignment vertical="center"/>
    </xf>
    <xf numFmtId="0" fontId="6" fillId="0" borderId="0" xfId="12" applyFont="1" applyFill="1" applyAlignment="1">
      <alignment vertical="center"/>
    </xf>
    <xf numFmtId="0" fontId="6" fillId="0" borderId="0" xfId="12" applyFont="1" applyFill="1" applyAlignment="1">
      <alignment horizontal="right" vertical="center"/>
    </xf>
    <xf numFmtId="0" fontId="32" fillId="0" borderId="3" xfId="0" applyFont="1" applyFill="1" applyBorder="1" applyAlignment="1">
      <alignment horizontal="center" vertical="center" wrapText="1"/>
    </xf>
    <xf numFmtId="0" fontId="32" fillId="0" borderId="3" xfId="0" applyFont="1" applyFill="1" applyBorder="1" applyAlignment="1">
      <alignment vertical="center" wrapText="1"/>
    </xf>
    <xf numFmtId="169" fontId="32" fillId="0" borderId="3" xfId="1" applyNumberFormat="1"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3" xfId="0" applyFont="1" applyFill="1" applyBorder="1" applyAlignment="1">
      <alignment vertical="center" wrapText="1"/>
    </xf>
    <xf numFmtId="169" fontId="31" fillId="0" borderId="3" xfId="1" applyNumberFormat="1" applyFont="1" applyFill="1" applyBorder="1" applyAlignment="1">
      <alignment horizontal="center" vertical="center" wrapText="1"/>
    </xf>
    <xf numFmtId="170" fontId="31" fillId="0" borderId="26" xfId="18" applyNumberFormat="1" applyFont="1" applyFill="1" applyBorder="1" applyAlignment="1">
      <alignment horizontal="center" vertical="center" wrapText="1"/>
    </xf>
    <xf numFmtId="3" fontId="31" fillId="0" borderId="3" xfId="1" applyNumberFormat="1" applyFont="1" applyFill="1" applyBorder="1" applyAlignment="1">
      <alignment horizontal="right" vertical="center" wrapText="1"/>
    </xf>
    <xf numFmtId="0" fontId="31" fillId="0" borderId="3" xfId="0" quotePrefix="1" applyFont="1" applyFill="1" applyBorder="1" applyAlignment="1">
      <alignment vertical="center" wrapText="1"/>
    </xf>
    <xf numFmtId="3" fontId="17" fillId="0" borderId="3" xfId="12" applyNumberFormat="1" applyFont="1" applyFill="1" applyBorder="1" applyAlignment="1">
      <alignment vertical="center"/>
    </xf>
    <xf numFmtId="0" fontId="17" fillId="0" borderId="3" xfId="12" applyFont="1" applyFill="1" applyBorder="1" applyAlignment="1">
      <alignment vertical="center"/>
    </xf>
    <xf numFmtId="0" fontId="32" fillId="0" borderId="25" xfId="0" applyFont="1" applyFill="1" applyBorder="1" applyAlignment="1">
      <alignment horizontal="center" vertical="center" wrapText="1"/>
    </xf>
    <xf numFmtId="0" fontId="32" fillId="0" borderId="25" xfId="0" applyFont="1" applyFill="1" applyBorder="1" applyAlignment="1">
      <alignment vertical="center" wrapText="1"/>
    </xf>
    <xf numFmtId="169" fontId="31" fillId="0" borderId="25" xfId="1" applyNumberFormat="1" applyFont="1" applyFill="1" applyBorder="1" applyAlignment="1">
      <alignment horizontal="center" vertical="center" wrapText="1"/>
    </xf>
    <xf numFmtId="169" fontId="32" fillId="0" borderId="25" xfId="1" applyNumberFormat="1" applyFont="1" applyFill="1" applyBorder="1" applyAlignment="1">
      <alignment horizontal="center" vertical="center" wrapText="1"/>
    </xf>
    <xf numFmtId="170" fontId="32" fillId="0" borderId="25" xfId="18" applyNumberFormat="1" applyFont="1" applyFill="1" applyBorder="1" applyAlignment="1">
      <alignment horizontal="center" vertical="center" wrapText="1"/>
    </xf>
    <xf numFmtId="0" fontId="2" fillId="0" borderId="0" xfId="0" applyFont="1" applyAlignment="1">
      <alignment horizontal="centerContinuous" vertical="center"/>
    </xf>
    <xf numFmtId="0" fontId="3" fillId="0" borderId="0" xfId="0" applyFont="1" applyAlignment="1">
      <alignment horizontal="centerContinuous" vertical="center"/>
    </xf>
    <xf numFmtId="0" fontId="6" fillId="0" borderId="0" xfId="0" applyFont="1" applyAlignment="1">
      <alignment horizontal="left" vertical="center"/>
    </xf>
    <xf numFmtId="0" fontId="7" fillId="0" borderId="0" xfId="0" applyFont="1" applyBorder="1" applyAlignment="1">
      <alignment vertical="center"/>
    </xf>
    <xf numFmtId="0" fontId="10" fillId="0" borderId="18" xfId="0" applyFont="1" applyBorder="1" applyAlignment="1">
      <alignment horizontal="center" vertical="center"/>
    </xf>
    <xf numFmtId="0" fontId="26" fillId="0" borderId="18" xfId="0" applyFont="1" applyBorder="1" applyAlignment="1">
      <alignment vertical="center"/>
    </xf>
    <xf numFmtId="3" fontId="17" fillId="0" borderId="18" xfId="0" applyNumberFormat="1" applyFont="1" applyBorder="1" applyAlignment="1">
      <alignment vertical="center"/>
    </xf>
    <xf numFmtId="3" fontId="17" fillId="0" borderId="18" xfId="0" applyNumberFormat="1" applyFont="1" applyFill="1" applyBorder="1" applyAlignment="1">
      <alignment vertical="center"/>
    </xf>
    <xf numFmtId="0" fontId="10" fillId="0" borderId="3" xfId="0" applyFont="1" applyBorder="1" applyAlignment="1">
      <alignment horizontal="center" vertical="center"/>
    </xf>
    <xf numFmtId="0" fontId="26" fillId="0" borderId="3" xfId="0" applyFont="1" applyBorder="1" applyAlignment="1">
      <alignment vertical="center"/>
    </xf>
    <xf numFmtId="3" fontId="10" fillId="0" borderId="3" xfId="0" applyNumberFormat="1" applyFont="1" applyBorder="1" applyAlignment="1">
      <alignment vertical="center"/>
    </xf>
    <xf numFmtId="170" fontId="10" fillId="0" borderId="3" xfId="18" applyNumberFormat="1" applyFont="1" applyBorder="1" applyAlignment="1">
      <alignment vertical="center"/>
    </xf>
    <xf numFmtId="0" fontId="17" fillId="0" borderId="3" xfId="0" applyFont="1" applyBorder="1" applyAlignment="1">
      <alignment horizontal="center" vertical="center"/>
    </xf>
    <xf numFmtId="0" fontId="17" fillId="0" borderId="3" xfId="0" applyFont="1" applyBorder="1" applyAlignment="1">
      <alignment vertical="center"/>
    </xf>
    <xf numFmtId="169" fontId="17" fillId="0" borderId="3" xfId="0" applyNumberFormat="1" applyFont="1" applyFill="1" applyBorder="1" applyAlignment="1">
      <alignment vertical="center"/>
    </xf>
    <xf numFmtId="170" fontId="17" fillId="0" borderId="3" xfId="18" applyNumberFormat="1" applyFont="1" applyBorder="1" applyAlignment="1">
      <alignment vertical="center"/>
    </xf>
    <xf numFmtId="3" fontId="17" fillId="0" borderId="3" xfId="0" applyNumberFormat="1" applyFont="1" applyBorder="1" applyAlignment="1">
      <alignment vertical="center"/>
    </xf>
    <xf numFmtId="0" fontId="17" fillId="0" borderId="3" xfId="0" quotePrefix="1" applyFont="1" applyBorder="1" applyAlignment="1">
      <alignment horizontal="center" vertical="center"/>
    </xf>
    <xf numFmtId="0" fontId="10" fillId="0" borderId="3" xfId="0" applyFont="1" applyBorder="1" applyAlignment="1">
      <alignment vertical="center"/>
    </xf>
    <xf numFmtId="3" fontId="35" fillId="0" borderId="3" xfId="0" applyNumberFormat="1" applyFont="1" applyFill="1" applyBorder="1" applyAlignment="1">
      <alignment vertical="center"/>
    </xf>
    <xf numFmtId="3" fontId="10" fillId="0" borderId="25" xfId="0" applyNumberFormat="1" applyFont="1" applyBorder="1" applyAlignment="1">
      <alignment vertical="center"/>
    </xf>
    <xf numFmtId="0" fontId="4" fillId="0" borderId="0" xfId="12" applyFont="1" applyFill="1" applyAlignment="1">
      <alignment horizontal="centerContinuous" vertical="center"/>
    </xf>
    <xf numFmtId="0" fontId="18" fillId="0" borderId="0" xfId="12" applyFont="1" applyFill="1" applyAlignment="1">
      <alignment horizontal="right" vertical="center"/>
    </xf>
    <xf numFmtId="0" fontId="2" fillId="0" borderId="26" xfId="0" applyFont="1" applyFill="1" applyBorder="1" applyAlignment="1">
      <alignment horizontal="center" vertical="center"/>
    </xf>
    <xf numFmtId="0" fontId="2" fillId="0" borderId="26" xfId="0" applyFont="1" applyFill="1" applyBorder="1" applyAlignment="1">
      <alignment vertical="center"/>
    </xf>
    <xf numFmtId="3" fontId="2" fillId="0" borderId="26" xfId="12" applyNumberFormat="1" applyFont="1" applyFill="1" applyBorder="1" applyAlignment="1">
      <alignment vertical="center"/>
    </xf>
    <xf numFmtId="170" fontId="2" fillId="0" borderId="3" xfId="18" applyNumberFormat="1" applyFont="1" applyFill="1" applyBorder="1" applyAlignment="1">
      <alignment vertical="center"/>
    </xf>
    <xf numFmtId="0" fontId="2" fillId="0" borderId="3" xfId="0" applyFont="1" applyFill="1" applyBorder="1" applyAlignment="1">
      <alignment vertical="center"/>
    </xf>
    <xf numFmtId="3" fontId="2" fillId="0" borderId="3" xfId="12" applyNumberFormat="1" applyFont="1" applyFill="1" applyBorder="1" applyAlignment="1">
      <alignment vertical="center"/>
    </xf>
    <xf numFmtId="0" fontId="3" fillId="0" borderId="3" xfId="0" applyFont="1" applyFill="1" applyBorder="1" applyAlignment="1">
      <alignment horizontal="center" vertical="center"/>
    </xf>
    <xf numFmtId="3" fontId="3" fillId="0" borderId="3" xfId="12" applyNumberFormat="1" applyFont="1" applyFill="1" applyBorder="1" applyAlignment="1">
      <alignment vertical="center"/>
    </xf>
    <xf numFmtId="170" fontId="3" fillId="0" borderId="3" xfId="18" applyNumberFormat="1" applyFont="1" applyFill="1" applyBorder="1" applyAlignment="1">
      <alignment vertical="center"/>
    </xf>
    <xf numFmtId="0" fontId="3" fillId="0" borderId="3" xfId="0" applyFont="1" applyFill="1" applyBorder="1" applyAlignment="1">
      <alignment vertical="center"/>
    </xf>
    <xf numFmtId="0" fontId="3" fillId="0" borderId="3" xfId="0" quotePrefix="1" applyFont="1" applyFill="1" applyBorder="1" applyAlignment="1">
      <alignment horizontal="center" vertical="center"/>
    </xf>
    <xf numFmtId="0" fontId="17" fillId="0" borderId="31" xfId="0" applyFont="1" applyBorder="1" applyAlignment="1">
      <alignment vertical="center"/>
    </xf>
    <xf numFmtId="3" fontId="3" fillId="3" borderId="3" xfId="12" applyNumberFormat="1" applyFont="1" applyFill="1" applyBorder="1" applyAlignment="1">
      <alignment vertical="center"/>
    </xf>
    <xf numFmtId="0" fontId="3" fillId="0" borderId="3" xfId="0" applyFont="1" applyFill="1" applyBorder="1" applyAlignment="1">
      <alignment vertical="center" wrapText="1"/>
    </xf>
    <xf numFmtId="0" fontId="2" fillId="0" borderId="3" xfId="0" quotePrefix="1" applyFont="1" applyFill="1" applyBorder="1" applyAlignment="1">
      <alignment horizontal="center" vertical="center"/>
    </xf>
    <xf numFmtId="0" fontId="27" fillId="0" borderId="3" xfId="0" applyFont="1" applyFill="1" applyBorder="1" applyAlignment="1">
      <alignment vertical="center"/>
    </xf>
    <xf numFmtId="3" fontId="2" fillId="0" borderId="3" xfId="0" applyNumberFormat="1" applyFont="1" applyFill="1" applyBorder="1" applyAlignment="1">
      <alignment horizontal="left" vertical="center" wrapText="1"/>
    </xf>
    <xf numFmtId="3" fontId="3" fillId="0" borderId="3" xfId="0" quotePrefix="1" applyNumberFormat="1" applyFont="1" applyFill="1" applyBorder="1" applyAlignment="1">
      <alignment vertical="center" wrapText="1"/>
    </xf>
    <xf numFmtId="3" fontId="3" fillId="0" borderId="3" xfId="0" applyNumberFormat="1" applyFont="1" applyFill="1" applyBorder="1" applyAlignment="1">
      <alignment horizontal="left" vertical="center" wrapText="1"/>
    </xf>
    <xf numFmtId="3" fontId="3" fillId="0" borderId="3" xfId="0" applyNumberFormat="1" applyFont="1" applyFill="1" applyBorder="1" applyAlignment="1">
      <alignment vertical="center" wrapText="1"/>
    </xf>
    <xf numFmtId="3" fontId="52" fillId="0" borderId="3" xfId="0" applyNumberFormat="1" applyFont="1" applyFill="1" applyBorder="1" applyAlignment="1">
      <alignment horizontal="left" vertical="center" wrapText="1"/>
    </xf>
    <xf numFmtId="0" fontId="2" fillId="2" borderId="3" xfId="9" applyFont="1" applyFill="1" applyBorder="1" applyAlignment="1">
      <alignment horizontal="justify" vertical="center" wrapText="1"/>
    </xf>
    <xf numFmtId="0" fontId="3" fillId="2" borderId="3" xfId="9" applyFont="1" applyFill="1" applyBorder="1" applyAlignment="1">
      <alignment horizontal="justify" vertical="center" wrapText="1"/>
    </xf>
    <xf numFmtId="0" fontId="2" fillId="0" borderId="3" xfId="9" applyFont="1" applyFill="1" applyBorder="1" applyAlignment="1">
      <alignment horizontal="justify" vertical="center" wrapText="1"/>
    </xf>
    <xf numFmtId="0" fontId="3" fillId="0" borderId="3" xfId="9" applyFont="1" applyFill="1" applyBorder="1" applyAlignment="1">
      <alignment horizontal="justify" vertical="center" wrapText="1"/>
    </xf>
    <xf numFmtId="0" fontId="53" fillId="0" borderId="3" xfId="9" applyFont="1" applyFill="1" applyBorder="1" applyAlignment="1">
      <alignment horizontal="justify" vertical="center" wrapText="1"/>
    </xf>
    <xf numFmtId="0" fontId="2" fillId="0" borderId="0" xfId="12" applyFont="1" applyFill="1" applyAlignment="1">
      <alignment vertical="center"/>
    </xf>
    <xf numFmtId="0" fontId="52" fillId="2" borderId="3" xfId="9" applyFont="1" applyFill="1" applyBorder="1" applyAlignment="1">
      <alignment horizontal="justify" vertical="center" wrapText="1"/>
    </xf>
    <xf numFmtId="0" fontId="54" fillId="0" borderId="3" xfId="9" applyFont="1" applyFill="1" applyBorder="1" applyAlignment="1">
      <alignment horizontal="justify" vertical="center" wrapText="1"/>
    </xf>
    <xf numFmtId="3" fontId="3" fillId="0" borderId="3" xfId="0" applyNumberFormat="1" applyFont="1" applyFill="1" applyBorder="1" applyAlignment="1">
      <alignment vertical="center"/>
    </xf>
    <xf numFmtId="169" fontId="3" fillId="0" borderId="3" xfId="0" applyNumberFormat="1" applyFont="1" applyFill="1" applyBorder="1" applyAlignment="1">
      <alignment vertical="center"/>
    </xf>
    <xf numFmtId="0" fontId="2" fillId="0" borderId="25" xfId="0" applyFont="1" applyFill="1" applyBorder="1" applyAlignment="1">
      <alignment horizontal="center" vertical="center"/>
    </xf>
    <xf numFmtId="0" fontId="2" fillId="0" borderId="25" xfId="0" applyFont="1" applyFill="1" applyBorder="1" applyAlignment="1">
      <alignment vertical="center"/>
    </xf>
    <xf numFmtId="3" fontId="2" fillId="0" borderId="25" xfId="12" applyNumberFormat="1" applyFont="1" applyFill="1" applyBorder="1" applyAlignment="1">
      <alignment vertical="center"/>
    </xf>
    <xf numFmtId="170" fontId="2" fillId="0" borderId="25" xfId="18" applyNumberFormat="1" applyFont="1" applyFill="1" applyBorder="1" applyAlignment="1">
      <alignment vertical="center"/>
    </xf>
    <xf numFmtId="0" fontId="2" fillId="0" borderId="0" xfId="0" applyFont="1" applyFill="1" applyAlignment="1">
      <alignment horizontal="right" vertical="center"/>
    </xf>
    <xf numFmtId="0" fontId="18" fillId="0" borderId="0" xfId="0" applyFont="1" applyFill="1" applyAlignment="1">
      <alignment horizontal="right" vertical="center"/>
    </xf>
    <xf numFmtId="0" fontId="7" fillId="0" borderId="0" xfId="0" applyFont="1" applyFill="1" applyAlignment="1">
      <alignment vertical="center"/>
    </xf>
    <xf numFmtId="0" fontId="10" fillId="0" borderId="18" xfId="0" applyFont="1" applyFill="1" applyBorder="1" applyAlignment="1">
      <alignment vertical="center"/>
    </xf>
    <xf numFmtId="3" fontId="10" fillId="0" borderId="3" xfId="0" applyNumberFormat="1" applyFont="1" applyFill="1" applyBorder="1" applyAlignment="1">
      <alignment horizontal="right" vertical="center"/>
    </xf>
    <xf numFmtId="170" fontId="10" fillId="0" borderId="3" xfId="18" applyNumberFormat="1" applyFont="1" applyFill="1" applyBorder="1" applyAlignment="1">
      <alignment horizontal="right" vertical="center"/>
    </xf>
    <xf numFmtId="3" fontId="17" fillId="0" borderId="3" xfId="0" applyNumberFormat="1" applyFont="1" applyFill="1" applyBorder="1" applyAlignment="1">
      <alignment horizontal="right" vertical="center"/>
    </xf>
    <xf numFmtId="170" fontId="17" fillId="0" borderId="3" xfId="18" applyNumberFormat="1" applyFont="1" applyFill="1" applyBorder="1" applyAlignment="1">
      <alignment horizontal="right" vertical="center"/>
    </xf>
    <xf numFmtId="0" fontId="17" fillId="0" borderId="31" xfId="0" applyFont="1" applyFill="1" applyBorder="1" applyAlignment="1">
      <alignment vertical="center"/>
    </xf>
    <xf numFmtId="3" fontId="41" fillId="0" borderId="3" xfId="0" applyNumberFormat="1" applyFont="1" applyFill="1" applyBorder="1" applyAlignment="1">
      <alignment vertical="center"/>
    </xf>
    <xf numFmtId="3" fontId="41" fillId="0" borderId="25" xfId="0" applyNumberFormat="1" applyFont="1" applyFill="1" applyBorder="1" applyAlignment="1">
      <alignment vertical="center"/>
    </xf>
    <xf numFmtId="3" fontId="10" fillId="0" borderId="25" xfId="0" applyNumberFormat="1" applyFont="1" applyFill="1" applyBorder="1" applyAlignment="1">
      <alignment horizontal="right" vertical="center"/>
    </xf>
    <xf numFmtId="170" fontId="17" fillId="0" borderId="25" xfId="18" applyNumberFormat="1" applyFont="1" applyFill="1" applyBorder="1" applyAlignment="1">
      <alignment horizontal="right" vertical="center"/>
    </xf>
    <xf numFmtId="0" fontId="12" fillId="0" borderId="0" xfId="0" applyFont="1" applyFill="1" applyAlignment="1">
      <alignment horizontal="centerContinuous" vertical="center"/>
    </xf>
    <xf numFmtId="0" fontId="7" fillId="0" borderId="0" xfId="0" applyFont="1" applyFill="1" applyAlignment="1">
      <alignment horizontal="centerContinuous" vertical="center"/>
    </xf>
    <xf numFmtId="3" fontId="25" fillId="0" borderId="27" xfId="0" applyNumberFormat="1" applyFont="1" applyFill="1" applyBorder="1" applyAlignment="1">
      <alignment vertical="center"/>
    </xf>
    <xf numFmtId="0" fontId="10" fillId="0" borderId="26" xfId="0" applyFont="1" applyFill="1" applyBorder="1" applyAlignment="1">
      <alignment horizontal="center" vertical="center"/>
    </xf>
    <xf numFmtId="0" fontId="10" fillId="0" borderId="26" xfId="0" applyFont="1" applyFill="1" applyBorder="1" applyAlignment="1">
      <alignment vertical="center"/>
    </xf>
    <xf numFmtId="3" fontId="10" fillId="0" borderId="26" xfId="0" applyNumberFormat="1" applyFont="1" applyFill="1" applyBorder="1" applyAlignment="1">
      <alignment vertical="center"/>
    </xf>
    <xf numFmtId="0" fontId="17" fillId="3" borderId="3" xfId="0" quotePrefix="1" applyFont="1" applyFill="1" applyBorder="1" applyAlignment="1">
      <alignment horizontal="center" vertical="center"/>
    </xf>
    <xf numFmtId="0" fontId="17" fillId="3" borderId="3" xfId="0" applyFont="1" applyFill="1" applyBorder="1" applyAlignment="1">
      <alignment vertical="center"/>
    </xf>
    <xf numFmtId="3" fontId="17" fillId="3" borderId="3" xfId="0" applyNumberFormat="1" applyFont="1" applyFill="1" applyBorder="1" applyAlignment="1">
      <alignment vertical="center"/>
    </xf>
    <xf numFmtId="170" fontId="17" fillId="3" borderId="3" xfId="18" applyNumberFormat="1" applyFont="1" applyFill="1" applyBorder="1" applyAlignment="1">
      <alignment vertical="center"/>
    </xf>
    <xf numFmtId="3" fontId="10" fillId="0" borderId="3" xfId="12" applyNumberFormat="1" applyFont="1" applyFill="1" applyBorder="1" applyAlignment="1">
      <alignment vertical="center"/>
    </xf>
    <xf numFmtId="0" fontId="40" fillId="0" borderId="3" xfId="0" applyFont="1" applyFill="1" applyBorder="1" applyAlignment="1">
      <alignment vertical="center"/>
    </xf>
    <xf numFmtId="3" fontId="10" fillId="0" borderId="3" xfId="0" applyNumberFormat="1" applyFont="1" applyFill="1" applyBorder="1" applyAlignment="1">
      <alignment horizontal="left" vertical="center" wrapText="1"/>
    </xf>
    <xf numFmtId="0" fontId="10" fillId="0" borderId="3" xfId="0" quotePrefix="1" applyFont="1" applyFill="1" applyBorder="1" applyAlignment="1">
      <alignment horizontal="center" vertical="center"/>
    </xf>
    <xf numFmtId="3" fontId="17" fillId="0" borderId="3" xfId="0" applyNumberFormat="1" applyFont="1" applyFill="1" applyBorder="1" applyAlignment="1">
      <alignment horizontal="left" vertical="center" wrapText="1"/>
    </xf>
    <xf numFmtId="0" fontId="10" fillId="0" borderId="3" xfId="9" applyFont="1" applyFill="1" applyBorder="1" applyAlignment="1">
      <alignment horizontal="justify" vertical="center" wrapText="1"/>
    </xf>
    <xf numFmtId="0" fontId="17" fillId="0" borderId="3" xfId="9" applyFont="1" applyFill="1" applyBorder="1" applyAlignment="1">
      <alignment horizontal="justify" vertical="center" wrapText="1"/>
    </xf>
    <xf numFmtId="0" fontId="25" fillId="0" borderId="27" xfId="0" applyFont="1" applyFill="1" applyBorder="1" applyAlignment="1">
      <alignment horizontal="center" vertical="center"/>
    </xf>
    <xf numFmtId="0" fontId="18" fillId="0" borderId="18" xfId="9" applyFont="1" applyFill="1" applyBorder="1" applyAlignment="1">
      <alignment horizontal="center" vertical="center"/>
    </xf>
    <xf numFmtId="49" fontId="18" fillId="0" borderId="18" xfId="9" applyNumberFormat="1" applyFont="1" applyFill="1" applyBorder="1" applyAlignment="1">
      <alignment horizontal="left" vertical="center" wrapText="1"/>
    </xf>
    <xf numFmtId="3" fontId="18" fillId="0" borderId="18" xfId="9" applyNumberFormat="1" applyFont="1" applyFill="1" applyBorder="1" applyAlignment="1">
      <alignment horizontal="right" vertical="center"/>
    </xf>
    <xf numFmtId="170" fontId="18" fillId="0" borderId="18" xfId="9" applyNumberFormat="1" applyFont="1" applyFill="1" applyBorder="1" applyAlignment="1">
      <alignment vertical="center"/>
    </xf>
    <xf numFmtId="0" fontId="18" fillId="0" borderId="3" xfId="9" applyFont="1" applyFill="1" applyBorder="1" applyAlignment="1">
      <alignment horizontal="center" vertical="center"/>
    </xf>
    <xf numFmtId="49" fontId="18" fillId="0" borderId="3" xfId="9" applyNumberFormat="1" applyFont="1" applyFill="1" applyBorder="1" applyAlignment="1">
      <alignment horizontal="left" vertical="center" wrapText="1"/>
    </xf>
    <xf numFmtId="3" fontId="18" fillId="0" borderId="3" xfId="9" applyNumberFormat="1" applyFont="1" applyFill="1" applyBorder="1" applyAlignment="1">
      <alignment horizontal="right" vertical="center"/>
    </xf>
    <xf numFmtId="170" fontId="18" fillId="0" borderId="3" xfId="9" applyNumberFormat="1" applyFont="1" applyFill="1" applyBorder="1" applyAlignment="1">
      <alignment vertical="center"/>
    </xf>
    <xf numFmtId="0" fontId="21" fillId="0" borderId="3" xfId="9" applyFont="1" applyFill="1" applyBorder="1" applyAlignment="1">
      <alignment horizontal="center" vertical="center"/>
    </xf>
    <xf numFmtId="49" fontId="21" fillId="0" borderId="3" xfId="9" applyNumberFormat="1" applyFont="1" applyFill="1" applyBorder="1" applyAlignment="1">
      <alignment vertical="center" wrapText="1"/>
    </xf>
    <xf numFmtId="3" fontId="21" fillId="0" borderId="3" xfId="9" applyNumberFormat="1" applyFont="1" applyFill="1" applyBorder="1" applyAlignment="1">
      <alignment vertical="center"/>
    </xf>
    <xf numFmtId="3" fontId="21" fillId="0" borderId="3" xfId="9" applyNumberFormat="1" applyFont="1" applyFill="1" applyBorder="1" applyAlignment="1">
      <alignment vertical="center" wrapText="1"/>
    </xf>
    <xf numFmtId="170" fontId="21" fillId="0" borderId="3" xfId="9" applyNumberFormat="1" applyFont="1" applyFill="1" applyBorder="1" applyAlignment="1">
      <alignment horizontal="right" vertical="center"/>
    </xf>
    <xf numFmtId="3" fontId="21" fillId="0" borderId="3" xfId="9" applyNumberFormat="1" applyFont="1" applyFill="1" applyBorder="1" applyAlignment="1">
      <alignment horizontal="right" vertical="center"/>
    </xf>
    <xf numFmtId="3" fontId="21" fillId="0" borderId="3" xfId="0" applyNumberFormat="1" applyFont="1" applyFill="1" applyBorder="1" applyAlignment="1">
      <alignment vertical="center"/>
    </xf>
    <xf numFmtId="0" fontId="21" fillId="0" borderId="25" xfId="9" applyFont="1" applyFill="1" applyBorder="1" applyAlignment="1">
      <alignment horizontal="center" vertical="center"/>
    </xf>
    <xf numFmtId="49" fontId="21" fillId="0" borderId="25" xfId="9" applyNumberFormat="1" applyFont="1" applyFill="1" applyBorder="1" applyAlignment="1">
      <alignment vertical="center" wrapText="1"/>
    </xf>
    <xf numFmtId="3" fontId="21" fillId="0" borderId="25" xfId="9" applyNumberFormat="1" applyFont="1" applyFill="1" applyBorder="1" applyAlignment="1">
      <alignment vertical="center"/>
    </xf>
    <xf numFmtId="3" fontId="21" fillId="0" borderId="25" xfId="0" applyNumberFormat="1" applyFont="1" applyFill="1" applyBorder="1" applyAlignment="1">
      <alignment vertical="center"/>
    </xf>
    <xf numFmtId="170" fontId="21" fillId="0" borderId="25" xfId="9" applyNumberFormat="1" applyFont="1" applyFill="1" applyBorder="1" applyAlignment="1">
      <alignment horizontal="right" vertical="center"/>
    </xf>
    <xf numFmtId="0" fontId="18" fillId="0" borderId="26" xfId="9" applyFont="1" applyFill="1" applyBorder="1" applyAlignment="1">
      <alignment horizontal="center" vertical="center"/>
    </xf>
    <xf numFmtId="49" fontId="18" fillId="0" borderId="26" xfId="9" applyNumberFormat="1" applyFont="1" applyFill="1" applyBorder="1" applyAlignment="1">
      <alignment vertical="center" wrapText="1"/>
    </xf>
    <xf numFmtId="3" fontId="18" fillId="0" borderId="26" xfId="9" applyNumberFormat="1" applyFont="1" applyFill="1" applyBorder="1" applyAlignment="1">
      <alignment vertical="center"/>
    </xf>
    <xf numFmtId="0" fontId="18" fillId="0" borderId="26" xfId="9" applyFont="1" applyFill="1" applyBorder="1" applyAlignment="1">
      <alignment vertical="center"/>
    </xf>
    <xf numFmtId="0" fontId="21" fillId="0" borderId="3" xfId="9" applyFont="1" applyFill="1" applyBorder="1" applyAlignment="1">
      <alignment vertical="center"/>
    </xf>
    <xf numFmtId="49" fontId="18" fillId="0" borderId="3" xfId="9" applyNumberFormat="1" applyFont="1" applyFill="1" applyBorder="1" applyAlignment="1">
      <alignment vertical="center" wrapText="1"/>
    </xf>
    <xf numFmtId="3" fontId="18" fillId="0" borderId="3" xfId="9" applyNumberFormat="1" applyFont="1" applyFill="1" applyBorder="1" applyAlignment="1">
      <alignment vertical="center"/>
    </xf>
    <xf numFmtId="0" fontId="18" fillId="0" borderId="3" xfId="9" applyFont="1" applyFill="1" applyBorder="1" applyAlignment="1">
      <alignment vertical="center"/>
    </xf>
    <xf numFmtId="0" fontId="21" fillId="0" borderId="25" xfId="9" applyFont="1" applyFill="1" applyBorder="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0" fillId="0" borderId="0" xfId="0" applyFont="1" applyFill="1" applyAlignment="1">
      <alignment horizontal="centerContinuous" vertical="center"/>
    </xf>
    <xf numFmtId="0" fontId="5" fillId="0" borderId="0" xfId="0" applyFont="1" applyFill="1" applyAlignment="1">
      <alignment horizontal="centerContinuous" vertical="center"/>
    </xf>
    <xf numFmtId="0" fontId="4" fillId="0" borderId="0" xfId="0" quotePrefix="1" applyFont="1" applyFill="1" applyAlignment="1">
      <alignment horizontal="centerContinuous" vertical="center"/>
    </xf>
    <xf numFmtId="0" fontId="25" fillId="0" borderId="0" xfId="0" applyFont="1" applyFill="1" applyAlignment="1">
      <alignment horizontal="left" vertical="center"/>
    </xf>
    <xf numFmtId="0" fontId="25" fillId="0" borderId="0" xfId="0" applyFont="1" applyFill="1" applyBorder="1" applyAlignment="1">
      <alignment horizontal="center" vertical="center"/>
    </xf>
    <xf numFmtId="0" fontId="25" fillId="0" borderId="27" xfId="0" applyFont="1" applyFill="1" applyBorder="1" applyAlignment="1">
      <alignment vertical="center"/>
    </xf>
    <xf numFmtId="164" fontId="43" fillId="0" borderId="18" xfId="0" applyNumberFormat="1" applyFont="1" applyFill="1" applyBorder="1" applyAlignment="1">
      <alignment horizontal="right" vertical="center"/>
    </xf>
    <xf numFmtId="170" fontId="10" fillId="0" borderId="18" xfId="18" applyNumberFormat="1" applyFont="1" applyFill="1" applyBorder="1" applyAlignment="1">
      <alignment horizontal="right" vertical="center"/>
    </xf>
    <xf numFmtId="3" fontId="10" fillId="0" borderId="0" xfId="18" applyNumberFormat="1" applyFont="1" applyFill="1" applyBorder="1" applyAlignment="1">
      <alignment horizontal="right" vertical="center"/>
    </xf>
    <xf numFmtId="3" fontId="10" fillId="0" borderId="0" xfId="0" applyNumberFormat="1" applyFont="1" applyFill="1" applyAlignment="1">
      <alignment vertical="center"/>
    </xf>
    <xf numFmtId="164" fontId="43" fillId="0" borderId="3" xfId="0" applyNumberFormat="1" applyFont="1" applyFill="1" applyBorder="1" applyAlignment="1">
      <alignment horizontal="right" vertical="center"/>
    </xf>
    <xf numFmtId="170" fontId="43" fillId="0" borderId="3" xfId="18" applyNumberFormat="1" applyFont="1" applyFill="1" applyBorder="1" applyAlignment="1">
      <alignment horizontal="right" vertical="center"/>
    </xf>
    <xf numFmtId="164" fontId="17" fillId="0" borderId="3" xfId="0" applyNumberFormat="1" applyFont="1" applyFill="1" applyBorder="1" applyAlignment="1">
      <alignment horizontal="right" vertical="center"/>
    </xf>
    <xf numFmtId="164" fontId="17" fillId="0" borderId="0" xfId="0" applyNumberFormat="1" applyFont="1" applyFill="1" applyAlignment="1">
      <alignment vertical="center"/>
    </xf>
    <xf numFmtId="3" fontId="10" fillId="0" borderId="3" xfId="0" applyNumberFormat="1" applyFont="1" applyFill="1" applyBorder="1" applyAlignment="1">
      <alignment vertical="center" wrapText="1"/>
    </xf>
    <xf numFmtId="0" fontId="10" fillId="0" borderId="0" xfId="0" applyFont="1" applyFill="1" applyAlignment="1">
      <alignment vertical="center"/>
    </xf>
    <xf numFmtId="0" fontId="17" fillId="0" borderId="3" xfId="0" quotePrefix="1" applyFont="1" applyFill="1" applyBorder="1" applyAlignment="1">
      <alignment vertical="center" wrapText="1"/>
    </xf>
    <xf numFmtId="3" fontId="17" fillId="0" borderId="3" xfId="0" quotePrefix="1" applyNumberFormat="1" applyFont="1" applyFill="1" applyBorder="1" applyAlignment="1">
      <alignment vertical="center" wrapText="1"/>
    </xf>
    <xf numFmtId="0" fontId="17" fillId="0" borderId="25" xfId="0" applyFont="1" applyFill="1" applyBorder="1" applyAlignment="1">
      <alignment horizontal="center" vertical="center"/>
    </xf>
    <xf numFmtId="0" fontId="17" fillId="0" borderId="25" xfId="0" applyFont="1" applyFill="1" applyBorder="1" applyAlignment="1">
      <alignment vertical="center" wrapText="1"/>
    </xf>
    <xf numFmtId="164" fontId="17" fillId="0" borderId="25" xfId="0" applyNumberFormat="1" applyFont="1" applyFill="1" applyBorder="1" applyAlignment="1">
      <alignment horizontal="right" vertical="center"/>
    </xf>
    <xf numFmtId="0" fontId="17" fillId="0" borderId="2" xfId="0" applyFont="1" applyFill="1" applyBorder="1" applyAlignment="1">
      <alignment vertical="center" wrapText="1"/>
    </xf>
    <xf numFmtId="3" fontId="17" fillId="0" borderId="2" xfId="0" applyNumberFormat="1" applyFont="1" applyFill="1" applyBorder="1" applyAlignment="1">
      <alignment vertical="center"/>
    </xf>
    <xf numFmtId="170" fontId="17" fillId="0" borderId="2" xfId="18" applyNumberFormat="1" applyFont="1" applyFill="1" applyBorder="1" applyAlignment="1">
      <alignment horizontal="center" vertical="center"/>
    </xf>
    <xf numFmtId="170" fontId="17" fillId="0" borderId="0" xfId="18" applyNumberFormat="1" applyFont="1" applyFill="1" applyBorder="1" applyAlignment="1">
      <alignment horizontal="center" vertical="center"/>
    </xf>
    <xf numFmtId="0" fontId="18" fillId="0" borderId="0" xfId="0" applyFont="1" applyFill="1" applyAlignment="1">
      <alignment horizontal="center" vertical="center"/>
    </xf>
    <xf numFmtId="3" fontId="20" fillId="0" borderId="0" xfId="0" applyNumberFormat="1" applyFont="1" applyFill="1" applyAlignment="1">
      <alignment vertical="center"/>
    </xf>
    <xf numFmtId="0" fontId="30" fillId="0" borderId="0" xfId="0" applyFont="1" applyFill="1" applyAlignment="1">
      <alignment horizontal="center" vertical="center"/>
    </xf>
    <xf numFmtId="0" fontId="6" fillId="0" borderId="0" xfId="0" applyFont="1" applyFill="1" applyAlignment="1">
      <alignment horizontal="center" vertical="center"/>
    </xf>
    <xf numFmtId="3" fontId="6" fillId="0" borderId="0" xfId="0" applyNumberFormat="1" applyFont="1" applyFill="1" applyAlignment="1">
      <alignment horizontal="left" vertical="center"/>
    </xf>
    <xf numFmtId="0" fontId="6" fillId="0" borderId="0" xfId="0" applyFont="1" applyFill="1" applyBorder="1" applyAlignment="1">
      <alignment horizontal="center" vertical="center"/>
    </xf>
    <xf numFmtId="0" fontId="28" fillId="0" borderId="27" xfId="0" applyFont="1" applyFill="1" applyBorder="1" applyAlignment="1">
      <alignment vertical="center"/>
    </xf>
    <xf numFmtId="0" fontId="12" fillId="0" borderId="27" xfId="0" applyFont="1" applyFill="1" applyBorder="1" applyAlignment="1">
      <alignment vertical="center"/>
    </xf>
    <xf numFmtId="3" fontId="6" fillId="0" borderId="0" xfId="0" applyNumberFormat="1" applyFont="1" applyFill="1" applyBorder="1" applyAlignment="1">
      <alignment horizontal="center" vertical="center"/>
    </xf>
    <xf numFmtId="0" fontId="28" fillId="0" borderId="0"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18" xfId="0" applyFont="1" applyFill="1" applyBorder="1" applyAlignment="1">
      <alignment vertical="center"/>
    </xf>
    <xf numFmtId="3" fontId="19" fillId="0" borderId="18" xfId="0" applyNumberFormat="1" applyFont="1" applyFill="1" applyBorder="1" applyAlignment="1">
      <alignment vertical="center"/>
    </xf>
    <xf numFmtId="170" fontId="19" fillId="0" borderId="18" xfId="18" applyNumberFormat="1" applyFont="1" applyFill="1" applyBorder="1" applyAlignment="1">
      <alignment horizontal="center" vertical="center"/>
    </xf>
    <xf numFmtId="170" fontId="20" fillId="0" borderId="0" xfId="18" applyNumberFormat="1" applyFont="1" applyFill="1" applyBorder="1" applyAlignment="1">
      <alignment horizontal="right" vertical="center"/>
    </xf>
    <xf numFmtId="0" fontId="19" fillId="0" borderId="3" xfId="0" applyFont="1" applyFill="1" applyBorder="1" applyAlignment="1">
      <alignment horizontal="center" vertical="center"/>
    </xf>
    <xf numFmtId="0" fontId="19" fillId="0" borderId="3" xfId="0" applyFont="1" applyFill="1" applyBorder="1" applyAlignment="1">
      <alignment vertical="center"/>
    </xf>
    <xf numFmtId="3" fontId="19" fillId="0" borderId="3" xfId="0" applyNumberFormat="1" applyFont="1" applyFill="1" applyBorder="1" applyAlignment="1">
      <alignment vertical="center"/>
    </xf>
    <xf numFmtId="170" fontId="19" fillId="0" borderId="3" xfId="18" applyNumberFormat="1" applyFont="1" applyFill="1" applyBorder="1" applyAlignment="1">
      <alignment horizontal="center" vertical="center"/>
    </xf>
    <xf numFmtId="0" fontId="20" fillId="0" borderId="3" xfId="0" applyFont="1" applyFill="1" applyBorder="1" applyAlignment="1">
      <alignment horizontal="center" vertical="center"/>
    </xf>
    <xf numFmtId="0" fontId="20" fillId="0" borderId="3" xfId="0" applyFont="1" applyFill="1" applyBorder="1" applyAlignment="1">
      <alignment vertical="center"/>
    </xf>
    <xf numFmtId="3" fontId="20" fillId="0" borderId="3" xfId="0" applyNumberFormat="1" applyFont="1" applyFill="1" applyBorder="1" applyAlignment="1">
      <alignment vertical="center"/>
    </xf>
    <xf numFmtId="3" fontId="20" fillId="0" borderId="3" xfId="9" applyNumberFormat="1" applyFont="1" applyFill="1" applyBorder="1" applyAlignment="1">
      <alignment vertical="center"/>
    </xf>
    <xf numFmtId="170" fontId="20" fillId="0" borderId="3" xfId="18" applyNumberFormat="1" applyFont="1" applyFill="1" applyBorder="1" applyAlignment="1">
      <alignment horizontal="center" vertical="center"/>
    </xf>
    <xf numFmtId="170" fontId="20" fillId="0" borderId="0" xfId="18" applyNumberFormat="1" applyFont="1" applyFill="1" applyBorder="1" applyAlignment="1">
      <alignment horizontal="center" vertical="center"/>
    </xf>
    <xf numFmtId="0" fontId="19" fillId="0" borderId="0" xfId="0" applyFont="1" applyFill="1" applyAlignment="1">
      <alignment vertical="center"/>
    </xf>
    <xf numFmtId="3" fontId="19" fillId="0" borderId="0" xfId="0" applyNumberFormat="1" applyFont="1" applyFill="1" applyAlignment="1">
      <alignment vertical="center"/>
    </xf>
    <xf numFmtId="165" fontId="20" fillId="0" borderId="3" xfId="1" applyFont="1" applyFill="1" applyBorder="1" applyAlignment="1">
      <alignment vertical="center"/>
    </xf>
    <xf numFmtId="170" fontId="19" fillId="0" borderId="0" xfId="18" applyNumberFormat="1" applyFont="1" applyFill="1" applyBorder="1" applyAlignment="1">
      <alignment horizontal="center" vertical="center"/>
    </xf>
    <xf numFmtId="0" fontId="20" fillId="0" borderId="3" xfId="0" quotePrefix="1" applyFont="1" applyFill="1" applyBorder="1" applyAlignment="1">
      <alignment vertical="center"/>
    </xf>
    <xf numFmtId="0" fontId="20" fillId="0" borderId="0" xfId="0" applyFont="1" applyFill="1" applyAlignment="1">
      <alignment vertical="center"/>
    </xf>
    <xf numFmtId="0" fontId="20" fillId="0" borderId="3" xfId="0" quotePrefix="1" applyFont="1" applyFill="1" applyBorder="1" applyAlignment="1">
      <alignment vertical="center" wrapText="1"/>
    </xf>
    <xf numFmtId="0" fontId="19" fillId="0" borderId="3" xfId="0" applyFont="1" applyFill="1" applyBorder="1" applyAlignment="1">
      <alignment vertical="center" wrapText="1"/>
    </xf>
    <xf numFmtId="0" fontId="20" fillId="0" borderId="3" xfId="0" applyFont="1" applyFill="1" applyBorder="1" applyAlignment="1">
      <alignment vertical="center" wrapText="1"/>
    </xf>
    <xf numFmtId="0" fontId="20" fillId="0" borderId="25" xfId="0" applyFont="1" applyFill="1" applyBorder="1" applyAlignment="1">
      <alignment horizontal="center" vertical="center"/>
    </xf>
    <xf numFmtId="0" fontId="20" fillId="0" borderId="25" xfId="0" applyFont="1" applyFill="1" applyBorder="1" applyAlignment="1">
      <alignment vertical="center"/>
    </xf>
    <xf numFmtId="3" fontId="20" fillId="0" borderId="25" xfId="0" applyNumberFormat="1" applyFont="1" applyFill="1" applyBorder="1" applyAlignment="1">
      <alignment vertical="center"/>
    </xf>
    <xf numFmtId="170" fontId="20" fillId="0" borderId="25" xfId="18" applyNumberFormat="1" applyFont="1" applyFill="1" applyBorder="1" applyAlignment="1">
      <alignment horizontal="center" vertical="center"/>
    </xf>
    <xf numFmtId="0" fontId="8" fillId="0" borderId="0" xfId="0" applyFont="1" applyFill="1" applyAlignment="1">
      <alignment horizontal="centerContinuous" vertical="center"/>
    </xf>
    <xf numFmtId="0" fontId="9" fillId="0" borderId="0" xfId="0" applyFont="1" applyFill="1" applyAlignment="1">
      <alignment horizontal="centerContinuous" vertical="center"/>
    </xf>
    <xf numFmtId="169" fontId="3" fillId="0" borderId="0" xfId="1" applyNumberFormat="1" applyFont="1" applyFill="1" applyAlignment="1">
      <alignment horizontal="left" vertical="center"/>
    </xf>
    <xf numFmtId="169" fontId="21" fillId="0" borderId="0" xfId="1" applyNumberFormat="1" applyFont="1" applyFill="1" applyAlignment="1">
      <alignment vertical="center"/>
    </xf>
    <xf numFmtId="169" fontId="21" fillId="0" borderId="0" xfId="0" applyNumberFormat="1" applyFont="1" applyFill="1" applyAlignment="1">
      <alignment vertical="center"/>
    </xf>
    <xf numFmtId="169" fontId="20" fillId="0" borderId="0" xfId="1" applyNumberFormat="1" applyFont="1" applyFill="1" applyAlignment="1">
      <alignment vertical="center"/>
    </xf>
    <xf numFmtId="0" fontId="18" fillId="0" borderId="18" xfId="0" applyFont="1" applyFill="1" applyBorder="1" applyAlignment="1">
      <alignment horizontal="center" vertical="center"/>
    </xf>
    <xf numFmtId="0" fontId="18" fillId="0" borderId="18" xfId="0" applyFont="1" applyFill="1" applyBorder="1" applyAlignment="1">
      <alignment vertical="center"/>
    </xf>
    <xf numFmtId="3" fontId="18" fillId="0" borderId="18" xfId="0" applyNumberFormat="1" applyFont="1" applyFill="1" applyBorder="1" applyAlignment="1">
      <alignment vertical="center"/>
    </xf>
    <xf numFmtId="0" fontId="18" fillId="0" borderId="3" xfId="0" applyFont="1" applyFill="1" applyBorder="1" applyAlignment="1">
      <alignment horizontal="center" vertical="center"/>
    </xf>
    <xf numFmtId="3" fontId="18" fillId="0" borderId="3" xfId="0" applyNumberFormat="1" applyFont="1" applyFill="1" applyBorder="1" applyAlignment="1">
      <alignment vertical="center"/>
    </xf>
    <xf numFmtId="0" fontId="21" fillId="0" borderId="3" xfId="0" applyFont="1" applyFill="1" applyBorder="1" applyAlignment="1">
      <alignment horizontal="center" vertical="center"/>
    </xf>
    <xf numFmtId="0" fontId="21" fillId="0" borderId="3" xfId="0" applyFont="1" applyFill="1" applyBorder="1" applyAlignment="1">
      <alignment vertical="center"/>
    </xf>
    <xf numFmtId="0" fontId="18" fillId="0" borderId="3" xfId="0" applyFont="1" applyFill="1" applyBorder="1" applyAlignment="1">
      <alignment vertical="center"/>
    </xf>
    <xf numFmtId="0" fontId="21" fillId="0" borderId="3" xfId="0" quotePrefix="1" applyFont="1" applyFill="1" applyBorder="1" applyAlignment="1">
      <alignment vertical="center"/>
    </xf>
    <xf numFmtId="165" fontId="21" fillId="0" borderId="3" xfId="1" applyFont="1" applyFill="1" applyBorder="1" applyAlignment="1">
      <alignment vertical="center"/>
    </xf>
    <xf numFmtId="0" fontId="21" fillId="0" borderId="3" xfId="0" applyFont="1" applyFill="1" applyBorder="1" applyAlignment="1">
      <alignment vertical="center" wrapText="1"/>
    </xf>
    <xf numFmtId="0" fontId="18" fillId="0" borderId="3" xfId="0" applyFont="1" applyFill="1" applyBorder="1" applyAlignment="1">
      <alignment vertical="center" wrapText="1"/>
    </xf>
    <xf numFmtId="0" fontId="21" fillId="0" borderId="25" xfId="0" applyFont="1" applyFill="1" applyBorder="1" applyAlignment="1">
      <alignment horizontal="center" vertical="center"/>
    </xf>
    <xf numFmtId="0" fontId="21" fillId="0" borderId="25" xfId="0" applyFont="1" applyFill="1" applyBorder="1" applyAlignment="1">
      <alignment vertical="center"/>
    </xf>
    <xf numFmtId="169" fontId="7" fillId="0" borderId="0" xfId="0" applyNumberFormat="1" applyFont="1" applyFill="1" applyAlignment="1">
      <alignment vertical="center"/>
    </xf>
    <xf numFmtId="169" fontId="6" fillId="0" borderId="27" xfId="0" applyNumberFormat="1" applyFont="1" applyFill="1" applyBorder="1" applyAlignment="1">
      <alignment vertical="center"/>
    </xf>
    <xf numFmtId="0" fontId="6" fillId="0" borderId="27" xfId="0" applyFont="1" applyFill="1" applyBorder="1" applyAlignment="1">
      <alignment vertical="center"/>
    </xf>
    <xf numFmtId="169" fontId="3" fillId="0" borderId="0" xfId="0" applyNumberFormat="1" applyFont="1" applyFill="1" applyAlignment="1">
      <alignment vertical="center"/>
    </xf>
    <xf numFmtId="0" fontId="12" fillId="0" borderId="27" xfId="0" applyFont="1" applyFill="1" applyBorder="1" applyAlignment="1">
      <alignment horizontal="center" vertical="center"/>
    </xf>
    <xf numFmtId="169" fontId="18" fillId="0" borderId="18" xfId="1" applyNumberFormat="1" applyFont="1" applyFill="1" applyBorder="1" applyAlignment="1">
      <alignment horizontal="center" vertical="center"/>
    </xf>
    <xf numFmtId="169" fontId="18" fillId="0" borderId="18" xfId="1" applyNumberFormat="1" applyFont="1" applyFill="1" applyBorder="1" applyAlignment="1">
      <alignment vertical="center"/>
    </xf>
    <xf numFmtId="9" fontId="18" fillId="0" borderId="18" xfId="18" applyFont="1" applyFill="1" applyBorder="1" applyAlignment="1">
      <alignment vertical="center"/>
    </xf>
    <xf numFmtId="169" fontId="21" fillId="0" borderId="3" xfId="1" quotePrefix="1" applyNumberFormat="1" applyFont="1" applyFill="1" applyBorder="1" applyAlignment="1">
      <alignment horizontal="center" vertical="center" wrapText="1"/>
    </xf>
    <xf numFmtId="169" fontId="21" fillId="0" borderId="3" xfId="1" applyNumberFormat="1" applyFont="1" applyFill="1" applyBorder="1" applyAlignment="1">
      <alignment horizontal="left" vertical="center" wrapText="1"/>
    </xf>
    <xf numFmtId="9" fontId="21" fillId="0" borderId="3" xfId="18" applyFont="1" applyFill="1" applyBorder="1" applyAlignment="1">
      <alignment vertical="center"/>
    </xf>
    <xf numFmtId="9" fontId="21" fillId="0" borderId="18" xfId="18" applyFont="1" applyFill="1" applyBorder="1" applyAlignment="1">
      <alignment vertical="center"/>
    </xf>
    <xf numFmtId="169" fontId="21" fillId="0" borderId="25" xfId="1" quotePrefix="1" applyNumberFormat="1" applyFont="1" applyFill="1" applyBorder="1" applyAlignment="1">
      <alignment horizontal="center" vertical="center" wrapText="1"/>
    </xf>
    <xf numFmtId="169" fontId="21" fillId="0" borderId="25" xfId="1" applyNumberFormat="1" applyFont="1" applyFill="1" applyBorder="1" applyAlignment="1">
      <alignment horizontal="left" vertical="center" wrapText="1"/>
    </xf>
    <xf numFmtId="9" fontId="21" fillId="0" borderId="25" xfId="18" applyFont="1" applyFill="1" applyBorder="1" applyAlignment="1">
      <alignment vertical="center"/>
    </xf>
    <xf numFmtId="9" fontId="21" fillId="0" borderId="2" xfId="18" applyFont="1" applyFill="1" applyBorder="1" applyAlignment="1">
      <alignment vertical="center"/>
    </xf>
    <xf numFmtId="0" fontId="18" fillId="0" borderId="0" xfId="12" applyFont="1" applyFill="1" applyAlignment="1">
      <alignment horizontal="center" vertical="center"/>
    </xf>
    <xf numFmtId="0" fontId="18" fillId="0" borderId="0" xfId="12" applyFont="1" applyFill="1" applyAlignment="1">
      <alignment vertical="center"/>
    </xf>
    <xf numFmtId="0" fontId="12" fillId="0" borderId="27" xfId="12" applyFont="1" applyFill="1" applyBorder="1" applyAlignment="1">
      <alignment horizontal="center" vertical="center"/>
    </xf>
    <xf numFmtId="0" fontId="12" fillId="0" borderId="27" xfId="12" applyFont="1" applyFill="1" applyBorder="1" applyAlignment="1">
      <alignment horizontal="right" vertical="center"/>
    </xf>
    <xf numFmtId="0" fontId="12" fillId="0" borderId="0" xfId="12" applyFont="1" applyFill="1" applyBorder="1" applyAlignment="1">
      <alignment vertical="center"/>
    </xf>
    <xf numFmtId="0" fontId="6" fillId="0" borderId="27" xfId="12" applyFont="1" applyFill="1" applyBorder="1" applyAlignment="1">
      <alignment vertical="center"/>
    </xf>
    <xf numFmtId="0" fontId="6" fillId="0" borderId="0" xfId="12" applyFont="1" applyFill="1" applyBorder="1" applyAlignment="1">
      <alignment vertical="center"/>
    </xf>
    <xf numFmtId="0" fontId="6" fillId="0" borderId="0" xfId="12" applyFont="1" applyFill="1" applyBorder="1" applyAlignment="1">
      <alignment horizontal="center" vertical="center"/>
    </xf>
    <xf numFmtId="0" fontId="6" fillId="0" borderId="27" xfId="12" applyFont="1" applyFill="1" applyBorder="1" applyAlignment="1">
      <alignment horizontal="center" vertical="center"/>
    </xf>
    <xf numFmtId="0" fontId="12" fillId="0" borderId="27" xfId="12" applyFont="1" applyFill="1" applyBorder="1" applyAlignment="1">
      <alignment vertical="center"/>
    </xf>
    <xf numFmtId="0" fontId="10" fillId="0" borderId="18" xfId="12" applyFont="1" applyFill="1" applyBorder="1" applyAlignment="1">
      <alignment horizontal="center" vertical="center"/>
    </xf>
    <xf numFmtId="0" fontId="10" fillId="0" borderId="18" xfId="12" applyFont="1" applyFill="1" applyBorder="1" applyAlignment="1">
      <alignment vertical="center"/>
    </xf>
    <xf numFmtId="3" fontId="10" fillId="0" borderId="18" xfId="12" applyNumberFormat="1" applyFont="1" applyFill="1" applyBorder="1" applyAlignment="1">
      <alignment vertical="center"/>
    </xf>
    <xf numFmtId="170" fontId="10" fillId="0" borderId="3" xfId="18" applyNumberFormat="1" applyFont="1" applyFill="1" applyBorder="1" applyAlignment="1">
      <alignment horizontal="center" vertical="center"/>
    </xf>
    <xf numFmtId="0" fontId="10" fillId="0" borderId="26" xfId="12" applyFont="1" applyFill="1" applyBorder="1" applyAlignment="1">
      <alignment horizontal="center" vertical="center"/>
    </xf>
    <xf numFmtId="0" fontId="10" fillId="0" borderId="26" xfId="12" applyFont="1" applyFill="1" applyBorder="1" applyAlignment="1">
      <alignment vertical="center"/>
    </xf>
    <xf numFmtId="3" fontId="10" fillId="0" borderId="26" xfId="12" applyNumberFormat="1" applyFont="1" applyFill="1" applyBorder="1" applyAlignment="1">
      <alignment vertical="center"/>
    </xf>
    <xf numFmtId="0" fontId="10" fillId="0" borderId="3" xfId="12" applyFont="1" applyFill="1" applyBorder="1" applyAlignment="1">
      <alignment horizontal="center" vertical="center"/>
    </xf>
    <xf numFmtId="0" fontId="10" fillId="0" borderId="3" xfId="12" applyFont="1" applyFill="1" applyBorder="1" applyAlignment="1">
      <alignment vertical="center"/>
    </xf>
    <xf numFmtId="3" fontId="10" fillId="0" borderId="3" xfId="12" applyNumberFormat="1" applyFont="1" applyFill="1" applyBorder="1" applyAlignment="1">
      <alignment vertical="center" wrapText="1"/>
    </xf>
    <xf numFmtId="0" fontId="17" fillId="0" borderId="26" xfId="12" applyFont="1" applyFill="1" applyBorder="1" applyAlignment="1">
      <alignment horizontal="center" vertical="center"/>
    </xf>
    <xf numFmtId="170" fontId="17" fillId="0" borderId="3" xfId="18" applyNumberFormat="1" applyFont="1" applyFill="1" applyBorder="1" applyAlignment="1">
      <alignment horizontal="center" vertical="center"/>
    </xf>
    <xf numFmtId="0" fontId="17" fillId="3" borderId="26" xfId="12" applyFont="1" applyFill="1" applyBorder="1" applyAlignment="1">
      <alignment horizontal="center" vertical="center"/>
    </xf>
    <xf numFmtId="0" fontId="17" fillId="3" borderId="31" xfId="0" applyFont="1" applyFill="1" applyBorder="1" applyAlignment="1">
      <alignment vertical="center"/>
    </xf>
    <xf numFmtId="3" fontId="17" fillId="3" borderId="3" xfId="12" applyNumberFormat="1" applyFont="1" applyFill="1" applyBorder="1" applyAlignment="1">
      <alignment vertical="center"/>
    </xf>
    <xf numFmtId="170" fontId="17" fillId="3" borderId="3" xfId="18" applyNumberFormat="1" applyFont="1" applyFill="1" applyBorder="1" applyAlignment="1">
      <alignment horizontal="center" vertical="center"/>
    </xf>
    <xf numFmtId="0" fontId="10" fillId="0" borderId="3" xfId="12" applyFont="1" applyBorder="1" applyAlignment="1">
      <alignment horizontal="center" vertical="center"/>
    </xf>
    <xf numFmtId="0" fontId="10" fillId="0" borderId="3" xfId="12" applyFont="1" applyBorder="1" applyAlignment="1">
      <alignment vertical="center"/>
    </xf>
    <xf numFmtId="3" fontId="10" fillId="0" borderId="3" xfId="12" applyNumberFormat="1" applyFont="1" applyBorder="1" applyAlignment="1">
      <alignment vertical="center"/>
    </xf>
    <xf numFmtId="0" fontId="17" fillId="0" borderId="26" xfId="12" applyFont="1" applyBorder="1" applyAlignment="1">
      <alignment horizontal="center" vertical="center"/>
    </xf>
    <xf numFmtId="3" fontId="17" fillId="0" borderId="3" xfId="12" applyNumberFormat="1" applyFont="1" applyBorder="1" applyAlignment="1">
      <alignment vertical="center"/>
    </xf>
    <xf numFmtId="0" fontId="17" fillId="0" borderId="25" xfId="12" applyFont="1" applyBorder="1" applyAlignment="1">
      <alignment horizontal="center" vertical="center"/>
    </xf>
    <xf numFmtId="0" fontId="17" fillId="0" borderId="32" xfId="0" applyFont="1" applyBorder="1" applyAlignment="1">
      <alignment vertical="center"/>
    </xf>
    <xf numFmtId="3" fontId="17" fillId="0" borderId="25" xfId="12" applyNumberFormat="1" applyFont="1" applyBorder="1" applyAlignment="1">
      <alignment vertical="center"/>
    </xf>
    <xf numFmtId="3" fontId="17" fillId="0" borderId="25" xfId="12" applyNumberFormat="1" applyFont="1" applyFill="1" applyBorder="1" applyAlignment="1">
      <alignment vertical="center"/>
    </xf>
    <xf numFmtId="170" fontId="17" fillId="0" borderId="25" xfId="18" applyNumberFormat="1" applyFont="1" applyFill="1" applyBorder="1" applyAlignment="1">
      <alignment horizontal="center" vertical="center"/>
    </xf>
    <xf numFmtId="3" fontId="62" fillId="2" borderId="0" xfId="0" applyNumberFormat="1" applyFont="1" applyFill="1" applyAlignment="1">
      <alignment horizontal="center" vertical="center"/>
    </xf>
    <xf numFmtId="3" fontId="62" fillId="2" borderId="0" xfId="0" applyNumberFormat="1" applyFont="1" applyFill="1" applyAlignment="1">
      <alignment horizontal="left" vertical="center"/>
    </xf>
    <xf numFmtId="3" fontId="63" fillId="2" borderId="0" xfId="0" applyNumberFormat="1" applyFont="1" applyFill="1" applyAlignment="1">
      <alignment horizontal="center" vertical="center"/>
    </xf>
    <xf numFmtId="1" fontId="63" fillId="2" borderId="0" xfId="0" applyNumberFormat="1" applyFont="1" applyFill="1" applyAlignment="1">
      <alignment horizontal="center" vertical="center"/>
    </xf>
    <xf numFmtId="4" fontId="63" fillId="2" borderId="0" xfId="0" applyNumberFormat="1" applyFont="1" applyFill="1" applyAlignment="1">
      <alignment vertical="center"/>
    </xf>
    <xf numFmtId="3" fontId="63" fillId="2" borderId="0" xfId="0" applyNumberFormat="1" applyFont="1" applyFill="1" applyAlignment="1">
      <alignment vertical="center"/>
    </xf>
    <xf numFmtId="3" fontId="63" fillId="2" borderId="0" xfId="1" applyNumberFormat="1" applyFont="1" applyFill="1" applyAlignment="1">
      <alignment horizontal="right" vertical="center"/>
    </xf>
    <xf numFmtId="3" fontId="64" fillId="2" borderId="0" xfId="0" applyNumberFormat="1" applyFont="1" applyFill="1" applyAlignment="1">
      <alignment vertical="center"/>
    </xf>
    <xf numFmtId="3" fontId="63" fillId="2" borderId="0" xfId="0" applyNumberFormat="1" applyFont="1" applyFill="1" applyBorder="1" applyAlignment="1">
      <alignment vertical="center"/>
    </xf>
    <xf numFmtId="3" fontId="66" fillId="2" borderId="0" xfId="0" applyNumberFormat="1" applyFont="1" applyFill="1" applyBorder="1" applyAlignment="1">
      <alignment vertical="center"/>
    </xf>
    <xf numFmtId="3" fontId="66" fillId="2" borderId="0" xfId="0" applyNumberFormat="1" applyFont="1" applyFill="1" applyAlignment="1">
      <alignment vertical="center"/>
    </xf>
    <xf numFmtId="3" fontId="62" fillId="2" borderId="0" xfId="0" applyNumberFormat="1" applyFont="1" applyFill="1" applyAlignment="1">
      <alignment horizontal="center" vertical="center" wrapText="1"/>
    </xf>
    <xf numFmtId="3" fontId="62" fillId="2" borderId="0" xfId="0" applyNumberFormat="1" applyFont="1" applyFill="1" applyAlignment="1">
      <alignment horizontal="left" vertical="center" wrapText="1"/>
    </xf>
    <xf numFmtId="3" fontId="63" fillId="2" borderId="0" xfId="0" applyNumberFormat="1" applyFont="1" applyFill="1" applyAlignment="1">
      <alignment horizontal="center" vertical="center" wrapText="1"/>
    </xf>
    <xf numFmtId="1" fontId="63" fillId="2" borderId="0" xfId="0" applyNumberFormat="1" applyFont="1" applyFill="1" applyAlignment="1">
      <alignment horizontal="center" vertical="center" wrapText="1"/>
    </xf>
    <xf numFmtId="1" fontId="63" fillId="2" borderId="0" xfId="0" applyNumberFormat="1" applyFont="1" applyFill="1" applyBorder="1" applyAlignment="1">
      <alignment horizontal="center" vertical="center" wrapText="1"/>
    </xf>
    <xf numFmtId="3" fontId="64" fillId="2" borderId="0" xfId="0" applyNumberFormat="1" applyFont="1" applyFill="1" applyBorder="1" applyAlignment="1">
      <alignment horizontal="right" vertical="center" wrapText="1"/>
    </xf>
    <xf numFmtId="3" fontId="66" fillId="2" borderId="2" xfId="0" applyNumberFormat="1" applyFont="1" applyFill="1" applyBorder="1" applyAlignment="1">
      <alignment vertical="center"/>
    </xf>
    <xf numFmtId="3" fontId="64" fillId="2" borderId="2" xfId="0" applyNumberFormat="1" applyFont="1" applyFill="1" applyBorder="1" applyAlignment="1">
      <alignment horizontal="center" vertical="center" wrapText="1"/>
    </xf>
    <xf numFmtId="3" fontId="64" fillId="2" borderId="2" xfId="1" applyNumberFormat="1" applyFont="1" applyFill="1" applyBorder="1" applyAlignment="1">
      <alignment horizontal="center" vertical="center" wrapText="1"/>
    </xf>
    <xf numFmtId="3" fontId="63" fillId="2" borderId="2" xfId="0" applyNumberFormat="1" applyFont="1" applyFill="1" applyBorder="1" applyAlignment="1">
      <alignment horizontal="center" vertical="center" wrapText="1"/>
    </xf>
    <xf numFmtId="3" fontId="68" fillId="0" borderId="2" xfId="0" applyNumberFormat="1" applyFont="1" applyFill="1" applyBorder="1" applyAlignment="1">
      <alignment horizontal="center" vertical="center" wrapText="1"/>
    </xf>
    <xf numFmtId="3" fontId="69" fillId="3" borderId="2" xfId="0" applyNumberFormat="1" applyFont="1" applyFill="1" applyBorder="1" applyAlignment="1">
      <alignment vertical="center"/>
    </xf>
    <xf numFmtId="3" fontId="63" fillId="2" borderId="3" xfId="0" applyNumberFormat="1" applyFont="1" applyFill="1" applyBorder="1" applyAlignment="1">
      <alignment horizontal="center" vertical="center"/>
    </xf>
    <xf numFmtId="49" fontId="64" fillId="2" borderId="2" xfId="1" applyNumberFormat="1" applyFont="1" applyFill="1" applyBorder="1" applyAlignment="1">
      <alignment horizontal="center" vertical="center"/>
    </xf>
    <xf numFmtId="169" fontId="64" fillId="2" borderId="2" xfId="1" applyNumberFormat="1" applyFont="1" applyFill="1" applyBorder="1" applyAlignment="1">
      <alignment vertical="center"/>
    </xf>
    <xf numFmtId="0" fontId="64" fillId="2" borderId="2" xfId="0" applyFont="1" applyFill="1" applyBorder="1" applyAlignment="1">
      <alignment horizontal="center" vertical="center" wrapText="1"/>
    </xf>
    <xf numFmtId="171" fontId="64" fillId="2" borderId="2" xfId="1" applyNumberFormat="1" applyFont="1" applyFill="1" applyBorder="1" applyAlignment="1">
      <alignment horizontal="center" vertical="center" wrapText="1" shrinkToFit="1"/>
    </xf>
    <xf numFmtId="172" fontId="64" fillId="2" borderId="2" xfId="1" applyNumberFormat="1" applyFont="1" applyFill="1" applyBorder="1" applyAlignment="1">
      <alignment horizontal="right" vertical="center" wrapText="1" shrinkToFit="1"/>
    </xf>
    <xf numFmtId="9" fontId="64" fillId="2" borderId="2" xfId="18" quotePrefix="1" applyFont="1" applyFill="1" applyBorder="1" applyAlignment="1">
      <alignment horizontal="center" vertical="center" wrapText="1"/>
    </xf>
    <xf numFmtId="9" fontId="64" fillId="2" borderId="2" xfId="18" applyFont="1" applyFill="1" applyBorder="1" applyAlignment="1">
      <alignment horizontal="center" vertical="center"/>
    </xf>
    <xf numFmtId="169" fontId="64" fillId="2" borderId="2" xfId="1" applyNumberFormat="1" applyFont="1" applyFill="1" applyBorder="1" applyAlignment="1">
      <alignment horizontal="right" vertical="center" shrinkToFit="1"/>
    </xf>
    <xf numFmtId="1" fontId="64" fillId="2" borderId="3" xfId="17" applyNumberFormat="1" applyFont="1" applyFill="1" applyBorder="1" applyAlignment="1">
      <alignment vertical="center"/>
    </xf>
    <xf numFmtId="49" fontId="64" fillId="2" borderId="2" xfId="1" applyNumberFormat="1" applyFont="1" applyFill="1" applyBorder="1" applyAlignment="1">
      <alignment horizontal="center" vertical="center" wrapText="1"/>
    </xf>
    <xf numFmtId="169" fontId="64" fillId="2" borderId="2" xfId="1" applyNumberFormat="1" applyFont="1" applyFill="1" applyBorder="1" applyAlignment="1">
      <alignment vertical="center" wrapText="1"/>
    </xf>
    <xf numFmtId="171" fontId="64" fillId="2" borderId="2" xfId="1" applyNumberFormat="1" applyFont="1" applyFill="1" applyBorder="1" applyAlignment="1">
      <alignment horizontal="right" vertical="center" wrapText="1" shrinkToFit="1"/>
    </xf>
    <xf numFmtId="49" fontId="63" fillId="2" borderId="2" xfId="17" applyNumberFormat="1" applyFont="1" applyFill="1" applyBorder="1" applyAlignment="1">
      <alignment horizontal="center" vertical="center" wrapText="1"/>
    </xf>
    <xf numFmtId="0" fontId="63" fillId="2" borderId="2" xfId="8" quotePrefix="1" applyNumberFormat="1" applyFont="1" applyFill="1" applyBorder="1" applyAlignment="1">
      <alignment vertical="center" wrapText="1"/>
    </xf>
    <xf numFmtId="0" fontId="63" fillId="2" borderId="2" xfId="0" applyFont="1" applyFill="1" applyBorder="1" applyAlignment="1">
      <alignment horizontal="center" vertical="center" wrapText="1"/>
    </xf>
    <xf numFmtId="171" fontId="63" fillId="2" borderId="2" xfId="1" quotePrefix="1" applyNumberFormat="1" applyFont="1" applyFill="1" applyBorder="1" applyAlignment="1">
      <alignment horizontal="center" vertical="center" wrapText="1" shrinkToFit="1"/>
    </xf>
    <xf numFmtId="0" fontId="63" fillId="2" borderId="2" xfId="0" quotePrefix="1" applyFont="1" applyFill="1" applyBorder="1" applyAlignment="1">
      <alignment horizontal="center" vertical="center" wrapText="1"/>
    </xf>
    <xf numFmtId="172" fontId="63" fillId="2" borderId="2" xfId="1" applyNumberFormat="1" applyFont="1" applyFill="1" applyBorder="1" applyAlignment="1">
      <alignment horizontal="right" vertical="center" wrapText="1" shrinkToFit="1"/>
    </xf>
    <xf numFmtId="171" fontId="63" fillId="2" borderId="2" xfId="1" applyNumberFormat="1" applyFont="1" applyFill="1" applyBorder="1" applyAlignment="1">
      <alignment horizontal="right" vertical="center" wrapText="1" shrinkToFit="1"/>
    </xf>
    <xf numFmtId="9" fontId="63" fillId="2" borderId="2" xfId="18" quotePrefix="1" applyFont="1" applyFill="1" applyBorder="1" applyAlignment="1">
      <alignment horizontal="center" vertical="center" wrapText="1"/>
    </xf>
    <xf numFmtId="169" fontId="63" fillId="2" borderId="2" xfId="1" applyNumberFormat="1" applyFont="1" applyFill="1" applyBorder="1" applyAlignment="1">
      <alignment horizontal="right" vertical="center" shrinkToFit="1"/>
    </xf>
    <xf numFmtId="9" fontId="63" fillId="2" borderId="2" xfId="18" applyFont="1" applyFill="1" applyBorder="1" applyAlignment="1">
      <alignment horizontal="center" vertical="center"/>
    </xf>
    <xf numFmtId="10" fontId="63" fillId="2" borderId="2" xfId="18" applyNumberFormat="1" applyFont="1" applyFill="1" applyBorder="1" applyAlignment="1">
      <alignment horizontal="center" vertical="center"/>
    </xf>
    <xf numFmtId="170" fontId="64" fillId="2" borderId="2" xfId="18" quotePrefix="1" applyNumberFormat="1" applyFont="1" applyFill="1" applyBorder="1" applyAlignment="1">
      <alignment horizontal="center" vertical="center" wrapText="1"/>
    </xf>
    <xf numFmtId="171" fontId="63" fillId="2" borderId="2" xfId="1" applyNumberFormat="1" applyFont="1" applyFill="1" applyBorder="1" applyAlignment="1">
      <alignment horizontal="center" vertical="center" wrapText="1" shrinkToFit="1"/>
    </xf>
    <xf numFmtId="49" fontId="64" fillId="2" borderId="2" xfId="17" applyNumberFormat="1" applyFont="1" applyFill="1" applyBorder="1" applyAlignment="1">
      <alignment horizontal="center" vertical="center" wrapText="1"/>
    </xf>
    <xf numFmtId="169" fontId="64" fillId="2" borderId="29" xfId="1" applyNumberFormat="1" applyFont="1" applyFill="1" applyBorder="1" applyAlignment="1">
      <alignment vertical="center" wrapText="1"/>
    </xf>
    <xf numFmtId="171" fontId="64" fillId="2" borderId="2" xfId="1" quotePrefix="1" applyNumberFormat="1" applyFont="1" applyFill="1" applyBorder="1" applyAlignment="1">
      <alignment horizontal="center" vertical="center" wrapText="1" shrinkToFit="1"/>
    </xf>
    <xf numFmtId="0" fontId="64" fillId="2" borderId="2" xfId="0" quotePrefix="1" applyFont="1" applyFill="1" applyBorder="1" applyAlignment="1">
      <alignment horizontal="center" vertical="center" wrapText="1"/>
    </xf>
    <xf numFmtId="3" fontId="65" fillId="2" borderId="2" xfId="0" applyNumberFormat="1" applyFont="1" applyFill="1" applyBorder="1" applyAlignment="1">
      <alignment vertical="center"/>
    </xf>
    <xf numFmtId="3" fontId="65" fillId="2" borderId="0" xfId="0" applyNumberFormat="1" applyFont="1" applyFill="1" applyBorder="1" applyAlignment="1">
      <alignment vertical="center"/>
    </xf>
    <xf numFmtId="173" fontId="66" fillId="2" borderId="0" xfId="0" applyNumberFormat="1" applyFont="1" applyFill="1" applyBorder="1" applyAlignment="1">
      <alignment vertical="center"/>
    </xf>
    <xf numFmtId="174" fontId="66" fillId="2" borderId="0" xfId="0" applyNumberFormat="1" applyFont="1" applyFill="1" applyBorder="1" applyAlignment="1">
      <alignment vertical="center"/>
    </xf>
    <xf numFmtId="49" fontId="63" fillId="2" borderId="2" xfId="1" applyNumberFormat="1" applyFont="1" applyFill="1" applyBorder="1" applyAlignment="1">
      <alignment horizontal="center" vertical="center"/>
    </xf>
    <xf numFmtId="1" fontId="63" fillId="2" borderId="3" xfId="17" applyNumberFormat="1" applyFont="1" applyFill="1" applyBorder="1" applyAlignment="1">
      <alignment vertical="center"/>
    </xf>
    <xf numFmtId="0" fontId="64" fillId="2" borderId="2" xfId="8" quotePrefix="1" applyNumberFormat="1" applyFont="1" applyFill="1" applyBorder="1" applyAlignment="1">
      <alignment vertical="center" wrapText="1"/>
    </xf>
    <xf numFmtId="169" fontId="64" fillId="2" borderId="2" xfId="1" applyNumberFormat="1" applyFont="1" applyFill="1" applyBorder="1" applyAlignment="1">
      <alignment horizontal="center" vertical="center"/>
    </xf>
    <xf numFmtId="169" fontId="64" fillId="2" borderId="2" xfId="1" applyNumberFormat="1" applyFont="1" applyFill="1" applyBorder="1" applyAlignment="1">
      <alignment horizontal="left" vertical="center"/>
    </xf>
    <xf numFmtId="3" fontId="64" fillId="2" borderId="2" xfId="16" applyNumberFormat="1" applyFont="1" applyFill="1" applyBorder="1" applyAlignment="1">
      <alignment vertical="center" wrapText="1"/>
    </xf>
    <xf numFmtId="175" fontId="66" fillId="2" borderId="0" xfId="0" applyNumberFormat="1" applyFont="1" applyFill="1" applyBorder="1" applyAlignment="1">
      <alignment vertical="center"/>
    </xf>
    <xf numFmtId="0" fontId="63" fillId="2" borderId="2" xfId="8" quotePrefix="1" applyNumberFormat="1" applyFont="1" applyFill="1" applyBorder="1" applyAlignment="1">
      <alignment horizontal="left" vertical="center" wrapText="1"/>
    </xf>
    <xf numFmtId="169" fontId="63" fillId="2" borderId="2" xfId="1" applyNumberFormat="1" applyFont="1" applyFill="1" applyBorder="1" applyAlignment="1">
      <alignment horizontal="center" vertical="center" wrapText="1"/>
    </xf>
    <xf numFmtId="169" fontId="63" fillId="2" borderId="2" xfId="1" applyNumberFormat="1" applyFont="1" applyFill="1" applyBorder="1" applyAlignment="1">
      <alignment horizontal="left" vertical="center" wrapText="1"/>
    </xf>
    <xf numFmtId="169" fontId="64" fillId="2" borderId="2" xfId="1" applyNumberFormat="1" applyFont="1" applyFill="1" applyBorder="1" applyAlignment="1">
      <alignment horizontal="justify" vertical="center" wrapText="1"/>
    </xf>
    <xf numFmtId="1" fontId="64" fillId="2" borderId="2" xfId="17" applyNumberFormat="1" applyFont="1" applyFill="1" applyBorder="1" applyAlignment="1">
      <alignment vertical="center"/>
    </xf>
    <xf numFmtId="0" fontId="64" fillId="2" borderId="2" xfId="8" quotePrefix="1" applyNumberFormat="1" applyFont="1" applyFill="1" applyBorder="1" applyAlignment="1">
      <alignment horizontal="left" vertical="center" wrapText="1"/>
    </xf>
    <xf numFmtId="0" fontId="63" fillId="0" borderId="2" xfId="8" quotePrefix="1" applyNumberFormat="1" applyFont="1" applyFill="1" applyBorder="1" applyAlignment="1">
      <alignment horizontal="left" vertical="center" wrapText="1"/>
    </xf>
    <xf numFmtId="0" fontId="63" fillId="0" borderId="2" xfId="0" applyFont="1" applyFill="1" applyBorder="1" applyAlignment="1">
      <alignment horizontal="center" vertical="center" wrapText="1"/>
    </xf>
    <xf numFmtId="171" fontId="63" fillId="0" borderId="2" xfId="1" applyNumberFormat="1" applyFont="1" applyFill="1" applyBorder="1" applyAlignment="1">
      <alignment horizontal="center" vertical="center" wrapText="1" shrinkToFit="1"/>
    </xf>
    <xf numFmtId="171" fontId="63" fillId="0" borderId="2" xfId="1" quotePrefix="1" applyNumberFormat="1" applyFont="1" applyFill="1" applyBorder="1" applyAlignment="1">
      <alignment horizontal="center" vertical="center" wrapText="1" shrinkToFit="1"/>
    </xf>
    <xf numFmtId="172" fontId="63" fillId="0" borderId="2" xfId="1" applyNumberFormat="1" applyFont="1" applyFill="1" applyBorder="1" applyAlignment="1">
      <alignment horizontal="right" vertical="center" wrapText="1" shrinkToFit="1"/>
    </xf>
    <xf numFmtId="1" fontId="63" fillId="0" borderId="2" xfId="17" applyNumberFormat="1" applyFont="1" applyFill="1" applyBorder="1" applyAlignment="1">
      <alignment horizontal="center" vertical="center" wrapText="1"/>
    </xf>
    <xf numFmtId="172" fontId="63" fillId="0" borderId="2" xfId="4" applyNumberFormat="1" applyFont="1" applyFill="1" applyBorder="1" applyAlignment="1">
      <alignment horizontal="right" vertical="center" wrapText="1" shrinkToFit="1"/>
    </xf>
    <xf numFmtId="172" fontId="63" fillId="2" borderId="2" xfId="17" applyNumberFormat="1" applyFont="1" applyFill="1" applyBorder="1" applyAlignment="1">
      <alignment vertical="center"/>
    </xf>
    <xf numFmtId="165" fontId="63" fillId="2" borderId="2" xfId="1" applyNumberFormat="1" applyFont="1" applyFill="1" applyBorder="1" applyAlignment="1">
      <alignment horizontal="right" vertical="center" wrapText="1" shrinkToFit="1"/>
    </xf>
    <xf numFmtId="1" fontId="63" fillId="2" borderId="2" xfId="17" applyNumberFormat="1" applyFont="1" applyFill="1" applyBorder="1" applyAlignment="1">
      <alignment horizontal="center" vertical="center" wrapText="1"/>
    </xf>
    <xf numFmtId="172" fontId="63" fillId="2" borderId="2" xfId="4" applyNumberFormat="1" applyFont="1" applyFill="1" applyBorder="1" applyAlignment="1">
      <alignment horizontal="right" vertical="center" wrapText="1" shrinkToFit="1"/>
    </xf>
    <xf numFmtId="1" fontId="64" fillId="2" borderId="2" xfId="17" applyNumberFormat="1" applyFont="1" applyFill="1" applyBorder="1" applyAlignment="1">
      <alignment horizontal="center" vertical="center" wrapText="1"/>
    </xf>
    <xf numFmtId="169" fontId="64" fillId="2" borderId="2" xfId="1" applyNumberFormat="1" applyFont="1" applyFill="1" applyBorder="1" applyAlignment="1">
      <alignment horizontal="left" vertical="center" wrapText="1"/>
    </xf>
    <xf numFmtId="172" fontId="64" fillId="2" borderId="2" xfId="4" applyNumberFormat="1" applyFont="1" applyFill="1" applyBorder="1" applyAlignment="1">
      <alignment horizontal="right" vertical="center" wrapText="1" shrinkToFit="1"/>
    </xf>
    <xf numFmtId="172" fontId="64" fillId="2" borderId="2" xfId="17" applyNumberFormat="1" applyFont="1" applyFill="1" applyBorder="1" applyAlignment="1">
      <alignment vertical="center"/>
    </xf>
    <xf numFmtId="165" fontId="64" fillId="2" borderId="2" xfId="1" applyNumberFormat="1" applyFont="1" applyFill="1" applyBorder="1" applyAlignment="1">
      <alignment horizontal="right" vertical="center" wrapText="1" shrinkToFit="1"/>
    </xf>
    <xf numFmtId="172" fontId="63" fillId="2" borderId="2" xfId="1" applyNumberFormat="1" applyFont="1" applyFill="1" applyBorder="1" applyAlignment="1">
      <alignment horizontal="center" vertical="center" wrapText="1" shrinkToFit="1"/>
    </xf>
    <xf numFmtId="172" fontId="63" fillId="0" borderId="2" xfId="17" applyNumberFormat="1" applyFont="1" applyFill="1" applyBorder="1" applyAlignment="1">
      <alignment vertical="center"/>
    </xf>
    <xf numFmtId="165" fontId="63" fillId="0" borderId="2" xfId="1" applyNumberFormat="1" applyFont="1" applyFill="1" applyBorder="1" applyAlignment="1">
      <alignment horizontal="right" vertical="center" wrapText="1" shrinkToFit="1"/>
    </xf>
    <xf numFmtId="9" fontId="63" fillId="0" borderId="2" xfId="18" applyFont="1" applyFill="1" applyBorder="1" applyAlignment="1">
      <alignment horizontal="center" vertical="center"/>
    </xf>
    <xf numFmtId="169" fontId="63" fillId="0" borderId="2" xfId="1" applyNumberFormat="1" applyFont="1" applyFill="1" applyBorder="1" applyAlignment="1">
      <alignment horizontal="right" vertical="center" shrinkToFit="1"/>
    </xf>
    <xf numFmtId="3" fontId="66" fillId="0" borderId="2" xfId="0" applyNumberFormat="1" applyFont="1" applyFill="1" applyBorder="1" applyAlignment="1">
      <alignment vertical="center"/>
    </xf>
    <xf numFmtId="3" fontId="66" fillId="0" borderId="0" xfId="0" applyNumberFormat="1" applyFont="1" applyFill="1" applyBorder="1" applyAlignment="1">
      <alignment vertical="center"/>
    </xf>
    <xf numFmtId="1" fontId="63" fillId="0" borderId="3" xfId="17" applyNumberFormat="1" applyFont="1" applyFill="1" applyBorder="1" applyAlignment="1">
      <alignment vertical="center"/>
    </xf>
    <xf numFmtId="3" fontId="63" fillId="2" borderId="0" xfId="0" applyNumberFormat="1" applyFont="1" applyFill="1" applyAlignment="1">
      <alignment horizontal="left" vertical="center"/>
    </xf>
    <xf numFmtId="3" fontId="70" fillId="2" borderId="0" xfId="0" applyNumberFormat="1" applyFont="1" applyFill="1" applyAlignment="1">
      <alignment horizontal="center" vertical="center"/>
    </xf>
    <xf numFmtId="0" fontId="7" fillId="0" borderId="0" xfId="16" applyFont="1" applyAlignment="1">
      <alignment vertical="center"/>
    </xf>
    <xf numFmtId="0" fontId="2" fillId="0" borderId="0" xfId="16" applyFont="1" applyAlignment="1">
      <alignment horizontal="right" vertical="center"/>
    </xf>
    <xf numFmtId="169" fontId="7" fillId="0" borderId="0" xfId="16" applyNumberFormat="1" applyFont="1" applyAlignment="1">
      <alignment vertical="center"/>
    </xf>
    <xf numFmtId="0" fontId="18" fillId="0" borderId="18" xfId="16" applyFont="1" applyFill="1" applyBorder="1" applyAlignment="1">
      <alignment horizontal="center" vertical="center"/>
    </xf>
    <xf numFmtId="3" fontId="18" fillId="0" borderId="3" xfId="1" applyNumberFormat="1" applyFont="1" applyFill="1" applyBorder="1" applyAlignment="1">
      <alignment vertical="center"/>
    </xf>
    <xf numFmtId="0" fontId="21" fillId="0" borderId="3" xfId="16" applyFont="1" applyFill="1" applyBorder="1" applyAlignment="1">
      <alignment horizontal="center" vertical="center"/>
    </xf>
    <xf numFmtId="0" fontId="21" fillId="0" borderId="3" xfId="16" applyFont="1" applyFill="1" applyBorder="1" applyAlignment="1">
      <alignment vertical="center"/>
    </xf>
    <xf numFmtId="3" fontId="21" fillId="0" borderId="3" xfId="3" applyNumberFormat="1" applyFont="1" applyFill="1" applyBorder="1" applyAlignment="1">
      <alignment vertical="center"/>
    </xf>
    <xf numFmtId="0" fontId="21" fillId="0" borderId="25" xfId="16" applyFont="1" applyFill="1" applyBorder="1" applyAlignment="1">
      <alignment horizontal="center" vertical="center"/>
    </xf>
    <xf numFmtId="0" fontId="21" fillId="0" borderId="25" xfId="16" applyFont="1" applyFill="1" applyBorder="1" applyAlignment="1">
      <alignment vertical="center"/>
    </xf>
    <xf numFmtId="0" fontId="2" fillId="0" borderId="0" xfId="15" applyNumberFormat="1" applyFont="1" applyFill="1" applyAlignment="1">
      <alignment horizontal="right" vertical="center"/>
    </xf>
    <xf numFmtId="3" fontId="2" fillId="0" borderId="0" xfId="15" applyNumberFormat="1" applyFont="1" applyFill="1" applyAlignment="1">
      <alignment vertical="center"/>
    </xf>
    <xf numFmtId="3" fontId="10" fillId="0" borderId="0" xfId="15" applyNumberFormat="1" applyFont="1" applyFill="1" applyAlignment="1">
      <alignment vertical="center" wrapText="1"/>
    </xf>
    <xf numFmtId="167" fontId="2" fillId="0" borderId="26" xfId="15" applyNumberFormat="1" applyFont="1" applyFill="1" applyBorder="1" applyAlignment="1" applyProtection="1">
      <alignment horizontal="center" vertical="center"/>
    </xf>
    <xf numFmtId="167" fontId="2" fillId="0" borderId="26" xfId="15" applyNumberFormat="1" applyFont="1" applyFill="1" applyBorder="1" applyAlignment="1">
      <alignment horizontal="left" vertical="center"/>
    </xf>
    <xf numFmtId="3" fontId="2" fillId="0" borderId="26" xfId="1" applyNumberFormat="1" applyFont="1" applyFill="1" applyBorder="1" applyAlignment="1">
      <alignment vertical="center"/>
    </xf>
    <xf numFmtId="9" fontId="2" fillId="0" borderId="18" xfId="18" applyFont="1" applyFill="1" applyBorder="1" applyAlignment="1">
      <alignment horizontal="center" vertical="center"/>
    </xf>
    <xf numFmtId="167" fontId="3" fillId="0" borderId="3" xfId="15" applyNumberFormat="1" applyFont="1" applyFill="1" applyBorder="1" applyAlignment="1">
      <alignment horizontal="center" vertical="center"/>
    </xf>
    <xf numFmtId="167" fontId="3" fillId="0" borderId="3" xfId="15" applyNumberFormat="1" applyFont="1" applyFill="1" applyBorder="1" applyAlignment="1" applyProtection="1">
      <alignment horizontal="left" vertical="center"/>
    </xf>
    <xf numFmtId="3" fontId="2" fillId="0" borderId="3" xfId="15" applyNumberFormat="1" applyFont="1" applyFill="1" applyBorder="1" applyAlignment="1">
      <alignment horizontal="right" vertical="center"/>
    </xf>
    <xf numFmtId="9" fontId="3" fillId="0" borderId="26" xfId="18" applyFont="1" applyFill="1" applyBorder="1" applyAlignment="1">
      <alignment horizontal="center" vertical="center"/>
    </xf>
    <xf numFmtId="3" fontId="3" fillId="0" borderId="3" xfId="15" applyNumberFormat="1" applyFont="1" applyFill="1" applyBorder="1" applyAlignment="1">
      <alignment vertical="center"/>
    </xf>
    <xf numFmtId="3" fontId="3" fillId="0" borderId="3" xfId="1" applyNumberFormat="1" applyFont="1" applyFill="1" applyBorder="1" applyAlignment="1">
      <alignment vertical="center"/>
    </xf>
    <xf numFmtId="3" fontId="3" fillId="0" borderId="0" xfId="15" applyNumberFormat="1" applyFont="1" applyFill="1" applyAlignment="1">
      <alignment vertical="center" wrapText="1"/>
    </xf>
    <xf numFmtId="3" fontId="3" fillId="0" borderId="3" xfId="15" applyNumberFormat="1" applyFont="1" applyFill="1" applyBorder="1" applyAlignment="1">
      <alignment horizontal="right" vertical="center"/>
    </xf>
    <xf numFmtId="167" fontId="3" fillId="0" borderId="25" xfId="15" applyNumberFormat="1" applyFont="1" applyFill="1" applyBorder="1" applyAlignment="1">
      <alignment horizontal="center" vertical="center"/>
    </xf>
    <xf numFmtId="167" fontId="3" fillId="0" borderId="25" xfId="15" applyNumberFormat="1" applyFont="1" applyFill="1" applyBorder="1" applyAlignment="1" applyProtection="1">
      <alignment horizontal="left" vertical="center"/>
    </xf>
    <xf numFmtId="3" fontId="3" fillId="0" borderId="25" xfId="15" applyNumberFormat="1" applyFont="1" applyFill="1" applyBorder="1" applyAlignment="1">
      <alignment vertical="center"/>
    </xf>
    <xf numFmtId="3" fontId="3" fillId="0" borderId="25" xfId="1" applyNumberFormat="1" applyFont="1" applyFill="1" applyBorder="1" applyAlignment="1">
      <alignment vertical="center"/>
    </xf>
    <xf numFmtId="9" fontId="3" fillId="0" borderId="25" xfId="18" applyFont="1" applyFill="1" applyBorder="1" applyAlignment="1">
      <alignment horizontal="center" vertical="center"/>
    </xf>
    <xf numFmtId="170" fontId="31" fillId="0" borderId="3" xfId="18" applyNumberFormat="1" applyFont="1" applyFill="1" applyBorder="1" applyAlignment="1">
      <alignment horizontal="center" vertical="center" wrapText="1"/>
    </xf>
    <xf numFmtId="170" fontId="32" fillId="0" borderId="3" xfId="18" applyNumberFormat="1" applyFont="1" applyFill="1" applyBorder="1" applyAlignment="1">
      <alignment horizontal="center" vertical="center" wrapText="1"/>
    </xf>
    <xf numFmtId="0" fontId="12" fillId="0" borderId="27" xfId="0" applyFont="1" applyFill="1" applyBorder="1" applyAlignment="1">
      <alignment horizontal="right" vertical="center"/>
    </xf>
    <xf numFmtId="0" fontId="4" fillId="0" borderId="0" xfId="0" applyFont="1" applyFill="1" applyAlignment="1">
      <alignment horizontal="center" vertical="center"/>
    </xf>
    <xf numFmtId="0" fontId="12" fillId="0" borderId="0" xfId="12" applyFont="1" applyFill="1" applyAlignment="1">
      <alignment horizontal="center" vertical="center"/>
    </xf>
    <xf numFmtId="0" fontId="10" fillId="0" borderId="30"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0"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2" fillId="0" borderId="0" xfId="0" applyFont="1" applyAlignment="1">
      <alignment horizontal="right" vertical="center"/>
    </xf>
    <xf numFmtId="0" fontId="12" fillId="0" borderId="0" xfId="0" applyFont="1" applyBorder="1" applyAlignment="1">
      <alignment horizontal="right" vertical="center"/>
    </xf>
    <xf numFmtId="0" fontId="10" fillId="0" borderId="30" xfId="0" applyFont="1" applyBorder="1" applyAlignment="1">
      <alignment horizontal="center" vertical="center"/>
    </xf>
    <xf numFmtId="0" fontId="10" fillId="0" borderId="10" xfId="0" applyFont="1" applyBorder="1" applyAlignment="1">
      <alignment horizontal="center" vertical="center"/>
    </xf>
    <xf numFmtId="0" fontId="10" fillId="0" borderId="13" xfId="0" applyFont="1" applyBorder="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 fillId="0" borderId="0" xfId="12" applyFont="1" applyFill="1" applyAlignment="1">
      <alignment horizontal="center" vertical="center"/>
    </xf>
    <xf numFmtId="0" fontId="4" fillId="0" borderId="0" xfId="12" applyFont="1" applyFill="1" applyAlignment="1">
      <alignment horizontal="center" vertical="center"/>
    </xf>
    <xf numFmtId="0" fontId="10" fillId="0" borderId="2" xfId="12" applyFont="1" applyFill="1" applyBorder="1" applyAlignment="1">
      <alignment horizontal="center" vertical="center"/>
    </xf>
    <xf numFmtId="0" fontId="10" fillId="0" borderId="30" xfId="12" applyFont="1" applyFill="1" applyBorder="1" applyAlignment="1">
      <alignment horizontal="center" vertical="center"/>
    </xf>
    <xf numFmtId="0" fontId="10" fillId="0" borderId="10" xfId="12" applyFont="1" applyFill="1" applyBorder="1" applyAlignment="1">
      <alignment horizontal="center" vertical="center"/>
    </xf>
    <xf numFmtId="0" fontId="12" fillId="0" borderId="0" xfId="12" applyFont="1" applyFill="1" applyBorder="1" applyAlignment="1">
      <alignment horizontal="right" vertical="center"/>
    </xf>
    <xf numFmtId="0" fontId="2" fillId="0" borderId="1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3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pplyBorder="1" applyAlignment="1">
      <alignment horizontal="right" vertical="center"/>
    </xf>
    <xf numFmtId="0" fontId="10" fillId="0" borderId="18"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26"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8" fillId="0" borderId="0" xfId="0" applyFont="1" applyFill="1" applyAlignment="1">
      <alignment horizontal="right" vertical="center"/>
    </xf>
    <xf numFmtId="0" fontId="10" fillId="0" borderId="18"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5" fillId="0" borderId="27" xfId="0" applyFont="1" applyFill="1" applyBorder="1" applyAlignment="1">
      <alignment horizontal="center" vertical="center"/>
    </xf>
    <xf numFmtId="3" fontId="18" fillId="0" borderId="30" xfId="9" applyNumberFormat="1" applyFont="1" applyFill="1" applyBorder="1" applyAlignment="1">
      <alignment horizontal="center" vertical="center" wrapText="1"/>
    </xf>
    <xf numFmtId="3" fontId="18" fillId="0" borderId="10" xfId="9" applyNumberFormat="1" applyFont="1" applyFill="1" applyBorder="1" applyAlignment="1">
      <alignment horizontal="center" vertical="center" wrapText="1"/>
    </xf>
    <xf numFmtId="3" fontId="18" fillId="0" borderId="33" xfId="9" applyNumberFormat="1" applyFont="1" applyFill="1" applyBorder="1" applyAlignment="1">
      <alignment horizontal="center" vertical="center" wrapText="1"/>
    </xf>
    <xf numFmtId="3" fontId="18" fillId="0" borderId="35" xfId="9" applyNumberFormat="1" applyFont="1" applyFill="1" applyBorder="1" applyAlignment="1">
      <alignment horizontal="center" vertical="center" wrapText="1"/>
    </xf>
    <xf numFmtId="3" fontId="18" fillId="0" borderId="39" xfId="9" applyNumberFormat="1" applyFont="1" applyFill="1" applyBorder="1" applyAlignment="1">
      <alignment horizontal="center" vertical="center" wrapText="1"/>
    </xf>
    <xf numFmtId="3" fontId="18" fillId="0" borderId="13" xfId="9" applyNumberFormat="1" applyFont="1" applyFill="1" applyBorder="1" applyAlignment="1">
      <alignment horizontal="center" vertical="center" wrapText="1"/>
    </xf>
    <xf numFmtId="3" fontId="18" fillId="0" borderId="2" xfId="9" applyNumberFormat="1" applyFont="1" applyFill="1" applyBorder="1" applyAlignment="1">
      <alignment horizontal="center" vertical="center" wrapText="1"/>
    </xf>
    <xf numFmtId="9" fontId="18" fillId="0" borderId="30" xfId="9" applyNumberFormat="1" applyFont="1" applyFill="1" applyBorder="1" applyAlignment="1">
      <alignment horizontal="center" vertical="center" wrapText="1"/>
    </xf>
    <xf numFmtId="9" fontId="18" fillId="0" borderId="13" xfId="9" applyNumberFormat="1" applyFont="1" applyFill="1" applyBorder="1" applyAlignment="1">
      <alignment horizontal="center" vertical="center" wrapText="1"/>
    </xf>
    <xf numFmtId="0" fontId="18" fillId="0" borderId="2" xfId="9" applyFont="1" applyFill="1" applyBorder="1" applyAlignment="1">
      <alignment horizontal="center" vertical="center"/>
    </xf>
    <xf numFmtId="0" fontId="18" fillId="0" borderId="29" xfId="9" applyFont="1" applyFill="1" applyBorder="1" applyAlignment="1">
      <alignment horizontal="center" vertical="center"/>
    </xf>
    <xf numFmtId="0" fontId="18" fillId="0" borderId="30" xfId="9" applyFont="1" applyFill="1" applyBorder="1" applyAlignment="1">
      <alignment horizontal="center" vertical="center" wrapText="1"/>
    </xf>
    <xf numFmtId="0" fontId="18" fillId="0" borderId="10" xfId="9" applyFont="1" applyFill="1" applyBorder="1" applyAlignment="1">
      <alignment horizontal="center" vertical="center" wrapText="1"/>
    </xf>
    <xf numFmtId="0" fontId="18" fillId="0" borderId="13" xfId="9" applyFont="1" applyFill="1" applyBorder="1" applyAlignment="1">
      <alignment horizontal="center" vertical="center" wrapText="1"/>
    </xf>
    <xf numFmtId="3" fontId="19" fillId="0" borderId="30" xfId="9" applyNumberFormat="1" applyFont="1" applyFill="1" applyBorder="1" applyAlignment="1">
      <alignment horizontal="center" vertical="center" wrapText="1"/>
    </xf>
    <xf numFmtId="3" fontId="19" fillId="0" borderId="10" xfId="9" applyNumberFormat="1" applyFont="1" applyFill="1" applyBorder="1" applyAlignment="1">
      <alignment horizontal="center" vertical="center" wrapText="1"/>
    </xf>
    <xf numFmtId="3" fontId="19" fillId="0" borderId="13" xfId="9" applyNumberFormat="1" applyFont="1" applyFill="1" applyBorder="1" applyAlignment="1">
      <alignment horizontal="center" vertical="center" wrapText="1"/>
    </xf>
    <xf numFmtId="3" fontId="18" fillId="0" borderId="29" xfId="9" applyNumberFormat="1" applyFont="1" applyFill="1" applyBorder="1" applyAlignment="1">
      <alignment horizontal="center" vertical="center" wrapText="1"/>
    </xf>
    <xf numFmtId="3" fontId="18" fillId="0" borderId="38" xfId="9" applyNumberFormat="1" applyFont="1" applyFill="1" applyBorder="1" applyAlignment="1">
      <alignment horizontal="center" vertical="center" wrapText="1"/>
    </xf>
    <xf numFmtId="0" fontId="18" fillId="0" borderId="38" xfId="9" applyFont="1" applyFill="1" applyBorder="1" applyAlignment="1">
      <alignment horizontal="center" vertical="center"/>
    </xf>
    <xf numFmtId="0" fontId="18" fillId="0" borderId="1" xfId="9" applyFont="1" applyFill="1" applyBorder="1" applyAlignment="1">
      <alignment horizontal="center" vertical="center"/>
    </xf>
    <xf numFmtId="0" fontId="36" fillId="0" borderId="0" xfId="9" applyFont="1" applyFill="1" applyAlignment="1">
      <alignment horizontal="center" vertical="center" wrapText="1"/>
    </xf>
    <xf numFmtId="0" fontId="37" fillId="0" borderId="0" xfId="9" applyFont="1" applyFill="1" applyAlignment="1">
      <alignment horizontal="center" vertical="center" wrapText="1"/>
    </xf>
    <xf numFmtId="3" fontId="25" fillId="0" borderId="27" xfId="9" applyNumberFormat="1" applyFont="1" applyFill="1" applyBorder="1" applyAlignment="1">
      <alignment horizontal="center" vertical="center"/>
    </xf>
    <xf numFmtId="3" fontId="18" fillId="0" borderId="29" xfId="9" applyNumberFormat="1" applyFont="1" applyFill="1" applyBorder="1" applyAlignment="1">
      <alignment horizontal="center" vertical="center"/>
    </xf>
    <xf numFmtId="3" fontId="18" fillId="0" borderId="38" xfId="9" applyNumberFormat="1" applyFont="1" applyFill="1" applyBorder="1" applyAlignment="1">
      <alignment horizontal="center" vertical="center"/>
    </xf>
    <xf numFmtId="0" fontId="34" fillId="0" borderId="38" xfId="0" applyFont="1" applyFill="1" applyBorder="1" applyAlignment="1">
      <alignment vertical="center"/>
    </xf>
    <xf numFmtId="0" fontId="34" fillId="0" borderId="1" xfId="0" applyFont="1" applyFill="1" applyBorder="1" applyAlignment="1">
      <alignment vertical="center"/>
    </xf>
    <xf numFmtId="3" fontId="18" fillId="0" borderId="1" xfId="9" applyNumberFormat="1" applyFont="1" applyFill="1" applyBorder="1" applyAlignment="1">
      <alignment horizontal="center" vertical="center"/>
    </xf>
    <xf numFmtId="0" fontId="18" fillId="0" borderId="2" xfId="9" applyFont="1" applyFill="1" applyBorder="1" applyAlignment="1">
      <alignment horizontal="center" vertical="center" wrapText="1"/>
    </xf>
    <xf numFmtId="3" fontId="18" fillId="0" borderId="36" xfId="9" applyNumberFormat="1" applyFont="1" applyFill="1" applyBorder="1" applyAlignment="1">
      <alignment horizontal="center" vertical="center" wrapText="1"/>
    </xf>
    <xf numFmtId="3" fontId="18" fillId="0" borderId="34" xfId="9" applyNumberFormat="1" applyFont="1" applyFill="1" applyBorder="1" applyAlignment="1">
      <alignment horizontal="center" vertical="center" wrapText="1"/>
    </xf>
    <xf numFmtId="3" fontId="18" fillId="0" borderId="0" xfId="9" applyNumberFormat="1" applyFont="1" applyFill="1" applyBorder="1" applyAlignment="1">
      <alignment horizontal="center" vertical="center" wrapText="1"/>
    </xf>
    <xf numFmtId="3" fontId="18" fillId="0" borderId="40" xfId="9" applyNumberFormat="1" applyFont="1" applyFill="1" applyBorder="1" applyAlignment="1">
      <alignment horizontal="center" vertical="center" wrapText="1"/>
    </xf>
    <xf numFmtId="9" fontId="18" fillId="0" borderId="2" xfId="9" applyNumberFormat="1" applyFont="1" applyFill="1" applyBorder="1" applyAlignment="1">
      <alignment horizontal="center" vertical="center" wrapText="1"/>
    </xf>
    <xf numFmtId="0" fontId="18" fillId="0" borderId="10" xfId="9" applyFont="1" applyFill="1" applyBorder="1" applyAlignment="1">
      <alignment horizontal="center" vertical="center"/>
    </xf>
    <xf numFmtId="0" fontId="18" fillId="0" borderId="13" xfId="9" applyFont="1" applyFill="1" applyBorder="1" applyAlignment="1">
      <alignment horizontal="center" vertical="center"/>
    </xf>
    <xf numFmtId="3" fontId="18" fillId="0" borderId="1" xfId="9" applyNumberFormat="1" applyFont="1" applyFill="1" applyBorder="1" applyAlignment="1">
      <alignment horizontal="center" vertical="center" wrapText="1"/>
    </xf>
    <xf numFmtId="0" fontId="18" fillId="0" borderId="33" xfId="9" applyFont="1" applyFill="1" applyBorder="1" applyAlignment="1">
      <alignment horizontal="center" vertical="center"/>
    </xf>
    <xf numFmtId="0" fontId="18" fillId="0" borderId="36" xfId="9" applyFont="1" applyFill="1" applyBorder="1" applyAlignment="1">
      <alignment horizontal="center" vertical="center"/>
    </xf>
    <xf numFmtId="0" fontId="18" fillId="0" borderId="34" xfId="9" applyFont="1" applyFill="1" applyBorder="1" applyAlignment="1">
      <alignment horizontal="center" vertical="center"/>
    </xf>
    <xf numFmtId="0" fontId="18" fillId="0" borderId="35" xfId="9" applyFont="1" applyFill="1" applyBorder="1" applyAlignment="1">
      <alignment horizontal="center" vertical="center"/>
    </xf>
    <xf numFmtId="0" fontId="18" fillId="0" borderId="27" xfId="9" applyFont="1" applyFill="1" applyBorder="1" applyAlignment="1">
      <alignment horizontal="center" vertical="center"/>
    </xf>
    <xf numFmtId="0" fontId="18" fillId="0" borderId="37" xfId="9" applyFont="1" applyFill="1" applyBorder="1" applyAlignment="1">
      <alignment horizontal="center" vertical="center"/>
    </xf>
    <xf numFmtId="0" fontId="36" fillId="0" borderId="0" xfId="9" applyFont="1" applyFill="1" applyAlignment="1">
      <alignment horizontal="center" wrapText="1"/>
    </xf>
    <xf numFmtId="0" fontId="37" fillId="0" borderId="0" xfId="9" applyFont="1" applyFill="1" applyAlignment="1">
      <alignment horizontal="center" wrapText="1"/>
    </xf>
    <xf numFmtId="3" fontId="25" fillId="3" borderId="27" xfId="9" applyNumberFormat="1" applyFont="1" applyFill="1" applyBorder="1" applyAlignment="1">
      <alignment horizontal="center"/>
    </xf>
    <xf numFmtId="0" fontId="34" fillId="0" borderId="38" xfId="0" applyFont="1" applyFill="1" applyBorder="1"/>
    <xf numFmtId="0" fontId="34" fillId="0" borderId="1" xfId="0" applyFont="1" applyFill="1" applyBorder="1"/>
    <xf numFmtId="3" fontId="56" fillId="0" borderId="30" xfId="9" applyNumberFormat="1" applyFont="1" applyFill="1" applyBorder="1" applyAlignment="1">
      <alignment horizontal="center" vertical="center" wrapText="1"/>
    </xf>
    <xf numFmtId="3" fontId="56" fillId="0" borderId="10" xfId="9" applyNumberFormat="1" applyFont="1" applyFill="1" applyBorder="1" applyAlignment="1">
      <alignment horizontal="center" vertical="center" wrapText="1"/>
    </xf>
    <xf numFmtId="3" fontId="56" fillId="0" borderId="29" xfId="9" applyNumberFormat="1" applyFont="1" applyFill="1" applyBorder="1" applyAlignment="1">
      <alignment horizontal="center" vertical="center"/>
    </xf>
    <xf numFmtId="3" fontId="56" fillId="0" borderId="38" xfId="9" applyNumberFormat="1" applyFont="1" applyFill="1" applyBorder="1" applyAlignment="1">
      <alignment horizontal="center" vertical="center"/>
    </xf>
    <xf numFmtId="3" fontId="56" fillId="0" borderId="1" xfId="9" applyNumberFormat="1" applyFont="1" applyFill="1" applyBorder="1" applyAlignment="1">
      <alignment horizontal="center" vertical="center"/>
    </xf>
    <xf numFmtId="0" fontId="56" fillId="3" borderId="2" xfId="9" applyFont="1" applyFill="1" applyBorder="1" applyAlignment="1">
      <alignment horizontal="center" vertical="center" wrapText="1"/>
    </xf>
    <xf numFmtId="9" fontId="18" fillId="3" borderId="2" xfId="9" applyNumberFormat="1" applyFont="1" applyFill="1" applyBorder="1" applyAlignment="1">
      <alignment horizontal="center" vertical="center" wrapText="1"/>
    </xf>
    <xf numFmtId="3" fontId="18" fillId="3" borderId="30" xfId="9" applyNumberFormat="1" applyFont="1" applyFill="1" applyBorder="1" applyAlignment="1">
      <alignment horizontal="center" vertical="center" wrapText="1"/>
    </xf>
    <xf numFmtId="3" fontId="18" fillId="3" borderId="10" xfId="9" applyNumberFormat="1" applyFont="1" applyFill="1" applyBorder="1" applyAlignment="1">
      <alignment horizontal="center" vertical="center" wrapText="1"/>
    </xf>
    <xf numFmtId="3" fontId="18" fillId="3" borderId="33" xfId="9" applyNumberFormat="1" applyFont="1" applyFill="1" applyBorder="1" applyAlignment="1">
      <alignment horizontal="center" vertical="center" wrapText="1"/>
    </xf>
    <xf numFmtId="3" fontId="18" fillId="3" borderId="36" xfId="9" applyNumberFormat="1" applyFont="1" applyFill="1" applyBorder="1" applyAlignment="1">
      <alignment horizontal="center" vertical="center" wrapText="1"/>
    </xf>
    <xf numFmtId="3" fontId="18" fillId="3" borderId="34" xfId="9" applyNumberFormat="1" applyFont="1" applyFill="1" applyBorder="1" applyAlignment="1">
      <alignment horizontal="center" vertical="center" wrapText="1"/>
    </xf>
    <xf numFmtId="3" fontId="18" fillId="3" borderId="39" xfId="9" applyNumberFormat="1" applyFont="1" applyFill="1" applyBorder="1" applyAlignment="1">
      <alignment horizontal="center" vertical="center" wrapText="1"/>
    </xf>
    <xf numFmtId="3" fontId="18" fillId="3" borderId="0" xfId="9" applyNumberFormat="1" applyFont="1" applyFill="1" applyBorder="1" applyAlignment="1">
      <alignment horizontal="center" vertical="center" wrapText="1"/>
    </xf>
    <xf numFmtId="3" fontId="18" fillId="3" borderId="40" xfId="9" applyNumberFormat="1" applyFont="1" applyFill="1" applyBorder="1" applyAlignment="1">
      <alignment horizontal="center" vertical="center" wrapText="1"/>
    </xf>
    <xf numFmtId="0" fontId="56" fillId="0" borderId="2" xfId="9" applyFont="1" applyFill="1" applyBorder="1" applyAlignment="1">
      <alignment horizontal="center" vertical="center"/>
    </xf>
    <xf numFmtId="0" fontId="56" fillId="0" borderId="29" xfId="9" applyFont="1" applyFill="1" applyBorder="1" applyAlignment="1">
      <alignment horizontal="center" vertical="center"/>
    </xf>
    <xf numFmtId="3" fontId="56" fillId="0" borderId="13" xfId="9" applyNumberFormat="1" applyFont="1" applyFill="1" applyBorder="1" applyAlignment="1">
      <alignment horizontal="center" vertical="center" wrapText="1"/>
    </xf>
    <xf numFmtId="0" fontId="56" fillId="0" borderId="10" xfId="9" applyFont="1" applyFill="1" applyBorder="1" applyAlignment="1">
      <alignment horizontal="center" vertical="center"/>
    </xf>
    <xf numFmtId="0" fontId="56" fillId="0" borderId="13" xfId="9" applyFont="1" applyFill="1" applyBorder="1" applyAlignment="1">
      <alignment horizontal="center" vertical="center"/>
    </xf>
    <xf numFmtId="3" fontId="56" fillId="0" borderId="2" xfId="9" applyNumberFormat="1" applyFont="1" applyFill="1" applyBorder="1" applyAlignment="1">
      <alignment horizontal="center" vertical="center" wrapText="1"/>
    </xf>
    <xf numFmtId="3" fontId="56" fillId="0" borderId="29" xfId="9" applyNumberFormat="1" applyFont="1" applyFill="1" applyBorder="1" applyAlignment="1">
      <alignment horizontal="center" vertical="center" wrapText="1"/>
    </xf>
    <xf numFmtId="3" fontId="56" fillId="0" borderId="38" xfId="9" applyNumberFormat="1" applyFont="1" applyFill="1" applyBorder="1" applyAlignment="1">
      <alignment horizontal="center" vertical="center" wrapText="1"/>
    </xf>
    <xf numFmtId="3" fontId="56" fillId="3" borderId="2" xfId="9" applyNumberFormat="1" applyFont="1" applyFill="1" applyBorder="1" applyAlignment="1">
      <alignment horizontal="center" vertical="center" wrapText="1"/>
    </xf>
    <xf numFmtId="3" fontId="56" fillId="3" borderId="30" xfId="9" applyNumberFormat="1" applyFont="1" applyFill="1" applyBorder="1" applyAlignment="1">
      <alignment horizontal="center" vertical="center" wrapText="1"/>
    </xf>
    <xf numFmtId="3" fontId="56" fillId="3" borderId="10" xfId="9" applyNumberFormat="1" applyFont="1" applyFill="1" applyBorder="1" applyAlignment="1">
      <alignment horizontal="center" vertical="center" wrapText="1"/>
    </xf>
    <xf numFmtId="3" fontId="56" fillId="0" borderId="33" xfId="9" applyNumberFormat="1" applyFont="1" applyFill="1" applyBorder="1" applyAlignment="1">
      <alignment horizontal="center" vertical="center" wrapText="1"/>
    </xf>
    <xf numFmtId="3" fontId="56" fillId="0" borderId="35" xfId="9" applyNumberFormat="1" applyFont="1" applyFill="1" applyBorder="1" applyAlignment="1">
      <alignment horizontal="center" vertical="center" wrapText="1"/>
    </xf>
    <xf numFmtId="3" fontId="56" fillId="0" borderId="39" xfId="9" applyNumberFormat="1" applyFont="1" applyFill="1" applyBorder="1" applyAlignment="1">
      <alignment horizontal="center" vertical="center" wrapText="1"/>
    </xf>
    <xf numFmtId="3" fontId="56" fillId="0" borderId="1" xfId="9" applyNumberFormat="1" applyFont="1" applyFill="1" applyBorder="1" applyAlignment="1">
      <alignment horizontal="center" vertical="center" wrapText="1"/>
    </xf>
    <xf numFmtId="0" fontId="56" fillId="0" borderId="38" xfId="9" applyFont="1" applyFill="1" applyBorder="1" applyAlignment="1">
      <alignment horizontal="center" vertical="center"/>
    </xf>
    <xf numFmtId="0" fontId="56" fillId="0" borderId="1" xfId="9" applyFont="1" applyFill="1" applyBorder="1" applyAlignment="1">
      <alignment horizontal="center" vertical="center"/>
    </xf>
    <xf numFmtId="3" fontId="56" fillId="3" borderId="13" xfId="9" applyNumberFormat="1" applyFont="1" applyFill="1" applyBorder="1" applyAlignment="1">
      <alignment horizontal="center" vertical="center" wrapText="1"/>
    </xf>
    <xf numFmtId="3" fontId="59" fillId="3" borderId="30" xfId="9" applyNumberFormat="1" applyFont="1" applyFill="1" applyBorder="1" applyAlignment="1">
      <alignment horizontal="center" vertical="center" wrapText="1"/>
    </xf>
    <xf numFmtId="3" fontId="59" fillId="3" borderId="10" xfId="9" applyNumberFormat="1" applyFont="1" applyFill="1" applyBorder="1" applyAlignment="1">
      <alignment horizontal="center" vertical="center" wrapText="1"/>
    </xf>
    <xf numFmtId="3" fontId="59" fillId="3" borderId="13" xfId="9" applyNumberFormat="1" applyFont="1" applyFill="1" applyBorder="1" applyAlignment="1">
      <alignment horizontal="center" vertical="center" wrapText="1"/>
    </xf>
    <xf numFmtId="9" fontId="56" fillId="0" borderId="30" xfId="9" applyNumberFormat="1" applyFont="1" applyFill="1" applyBorder="1" applyAlignment="1">
      <alignment horizontal="center" vertical="center" wrapText="1"/>
    </xf>
    <xf numFmtId="9" fontId="56" fillId="0" borderId="13" xfId="9" applyNumberFormat="1" applyFont="1" applyFill="1" applyBorder="1" applyAlignment="1">
      <alignment horizontal="center" vertical="center" wrapText="1"/>
    </xf>
    <xf numFmtId="9" fontId="56" fillId="3" borderId="30" xfId="9" applyNumberFormat="1" applyFont="1" applyFill="1" applyBorder="1" applyAlignment="1">
      <alignment horizontal="center" vertical="center" wrapText="1"/>
    </xf>
    <xf numFmtId="9" fontId="56" fillId="3" borderId="13" xfId="9" applyNumberFormat="1" applyFont="1" applyFill="1" applyBorder="1" applyAlignment="1">
      <alignment horizontal="center" vertical="center" wrapText="1"/>
    </xf>
    <xf numFmtId="0" fontId="56" fillId="3" borderId="30" xfId="9" applyFont="1" applyFill="1" applyBorder="1" applyAlignment="1">
      <alignment horizontal="center" vertical="center" wrapText="1"/>
    </xf>
    <xf numFmtId="0" fontId="56" fillId="3" borderId="10" xfId="9" applyFont="1" applyFill="1" applyBorder="1" applyAlignment="1">
      <alignment horizontal="center" vertical="center" wrapText="1"/>
    </xf>
    <xf numFmtId="0" fontId="56" fillId="3" borderId="13" xfId="9" applyFont="1" applyFill="1" applyBorder="1" applyAlignment="1">
      <alignment horizontal="center" vertical="center" wrapText="1"/>
    </xf>
    <xf numFmtId="3" fontId="56" fillId="3" borderId="33" xfId="9" applyNumberFormat="1" applyFont="1" applyFill="1" applyBorder="1" applyAlignment="1">
      <alignment horizontal="center" vertical="center" wrapText="1"/>
    </xf>
    <xf numFmtId="3" fontId="56" fillId="3" borderId="36" xfId="9" applyNumberFormat="1" applyFont="1" applyFill="1" applyBorder="1" applyAlignment="1">
      <alignment horizontal="center" vertical="center" wrapText="1"/>
    </xf>
    <xf numFmtId="3" fontId="56" fillId="3" borderId="34" xfId="9" applyNumberFormat="1" applyFont="1" applyFill="1" applyBorder="1" applyAlignment="1">
      <alignment horizontal="center" vertical="center" wrapText="1"/>
    </xf>
    <xf numFmtId="3" fontId="56" fillId="3" borderId="39" xfId="9" applyNumberFormat="1" applyFont="1" applyFill="1" applyBorder="1" applyAlignment="1">
      <alignment horizontal="center" vertical="center" wrapText="1"/>
    </xf>
    <xf numFmtId="3" fontId="56" fillId="3" borderId="0" xfId="9" applyNumberFormat="1" applyFont="1" applyFill="1" applyBorder="1" applyAlignment="1">
      <alignment horizontal="center" vertical="center" wrapText="1"/>
    </xf>
    <xf numFmtId="3" fontId="56" fillId="3" borderId="40" xfId="9" applyNumberFormat="1" applyFont="1" applyFill="1" applyBorder="1" applyAlignment="1">
      <alignment horizontal="center" vertical="center" wrapText="1"/>
    </xf>
    <xf numFmtId="9" fontId="18" fillId="3" borderId="30" xfId="9" applyNumberFormat="1" applyFont="1" applyFill="1" applyBorder="1" applyAlignment="1">
      <alignment horizontal="center" vertical="center" wrapText="1"/>
    </xf>
    <xf numFmtId="9" fontId="18" fillId="3" borderId="13" xfId="9" applyNumberFormat="1" applyFont="1" applyFill="1" applyBorder="1" applyAlignment="1">
      <alignment horizontal="center" vertical="center" wrapText="1"/>
    </xf>
    <xf numFmtId="3" fontId="18" fillId="3" borderId="2" xfId="9" applyNumberFormat="1" applyFont="1" applyFill="1" applyBorder="1" applyAlignment="1">
      <alignment horizontal="center" vertical="center" wrapText="1"/>
    </xf>
    <xf numFmtId="0" fontId="56" fillId="0" borderId="33" xfId="9" applyFont="1" applyFill="1" applyBorder="1" applyAlignment="1">
      <alignment horizontal="center" vertical="center"/>
    </xf>
    <xf numFmtId="0" fontId="56" fillId="0" borderId="36" xfId="9" applyFont="1" applyFill="1" applyBorder="1" applyAlignment="1">
      <alignment horizontal="center" vertical="center"/>
    </xf>
    <xf numFmtId="0" fontId="56" fillId="0" borderId="34" xfId="9" applyFont="1" applyFill="1" applyBorder="1" applyAlignment="1">
      <alignment horizontal="center" vertical="center"/>
    </xf>
    <xf numFmtId="0" fontId="56" fillId="0" borderId="35" xfId="9" applyFont="1" applyFill="1" applyBorder="1" applyAlignment="1">
      <alignment horizontal="center" vertical="center"/>
    </xf>
    <xf numFmtId="0" fontId="56" fillId="0" borderId="27" xfId="9" applyFont="1" applyFill="1" applyBorder="1" applyAlignment="1">
      <alignment horizontal="center" vertical="center"/>
    </xf>
    <xf numFmtId="0" fontId="56" fillId="0" borderId="37" xfId="9" applyFont="1" applyFill="1" applyBorder="1" applyAlignment="1">
      <alignment horizontal="center" vertical="center"/>
    </xf>
    <xf numFmtId="9" fontId="56" fillId="3" borderId="2" xfId="9"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xf>
    <xf numFmtId="0" fontId="42" fillId="0" borderId="0" xfId="0" applyFont="1" applyFill="1" applyAlignment="1">
      <alignment horizontal="center" vertical="center"/>
    </xf>
    <xf numFmtId="0" fontId="6" fillId="0" borderId="0" xfId="0" applyFont="1" applyFill="1" applyAlignment="1">
      <alignment horizontal="center" vertical="center"/>
    </xf>
    <xf numFmtId="0" fontId="23" fillId="0" borderId="30"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18" fillId="0" borderId="0" xfId="0" applyFont="1" applyFill="1" applyAlignment="1">
      <alignment horizontal="center" vertical="center"/>
    </xf>
    <xf numFmtId="0" fontId="12" fillId="0" borderId="27" xfId="0" applyFont="1" applyFill="1" applyBorder="1" applyAlignment="1">
      <alignment horizontal="center" vertical="center"/>
    </xf>
    <xf numFmtId="0" fontId="18" fillId="0" borderId="30"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2" xfId="0" applyFont="1" applyFill="1" applyBorder="1" applyAlignment="1">
      <alignment horizontal="center" vertical="center"/>
    </xf>
    <xf numFmtId="0" fontId="18" fillId="0" borderId="2" xfId="0" applyFont="1" applyFill="1" applyBorder="1" applyAlignment="1">
      <alignment horizontal="center" vertical="center" wrapText="1"/>
    </xf>
    <xf numFmtId="0" fontId="36" fillId="0" borderId="0" xfId="0" applyFont="1" applyFill="1" applyAlignment="1">
      <alignment horizontal="center"/>
    </xf>
    <xf numFmtId="0" fontId="37" fillId="0" borderId="0" xfId="0" applyFont="1" applyFill="1" applyAlignment="1">
      <alignment horizontal="center"/>
    </xf>
    <xf numFmtId="0" fontId="18"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18" fillId="0" borderId="2" xfId="0" applyFont="1" applyBorder="1" applyAlignment="1">
      <alignment horizontal="center" vertical="center"/>
    </xf>
    <xf numFmtId="0" fontId="18" fillId="0" borderId="2" xfId="0" applyFont="1" applyBorder="1" applyAlignment="1">
      <alignment horizontal="center"/>
    </xf>
    <xf numFmtId="0" fontId="18" fillId="0" borderId="30"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 xfId="0" applyFont="1" applyFill="1" applyBorder="1" applyAlignment="1">
      <alignment horizontal="center"/>
    </xf>
    <xf numFmtId="0" fontId="36" fillId="0" borderId="0" xfId="0" applyFont="1" applyFill="1" applyAlignment="1">
      <alignment horizontal="center" vertical="center"/>
    </xf>
    <xf numFmtId="0" fontId="37" fillId="0" borderId="0" xfId="14" applyNumberFormat="1" applyFont="1" applyFill="1" applyBorder="1" applyAlignment="1">
      <alignment horizontal="center" vertical="center" wrapText="1"/>
    </xf>
    <xf numFmtId="0" fontId="4" fillId="0" borderId="0" xfId="12" applyFont="1" applyFill="1" applyAlignment="1">
      <alignment horizontal="center"/>
    </xf>
    <xf numFmtId="0" fontId="12" fillId="0" borderId="0" xfId="12" applyFont="1" applyFill="1" applyAlignment="1">
      <alignment horizontal="center"/>
    </xf>
    <xf numFmtId="0" fontId="2" fillId="2" borderId="2" xfId="12" applyFont="1" applyFill="1" applyBorder="1" applyAlignment="1">
      <alignment horizontal="center" vertical="center" wrapText="1"/>
    </xf>
    <xf numFmtId="0" fontId="2" fillId="2" borderId="2" xfId="12" applyFont="1" applyFill="1" applyBorder="1" applyAlignment="1">
      <alignment horizontal="center" vertical="center"/>
    </xf>
    <xf numFmtId="0" fontId="10" fillId="0" borderId="2" xfId="12" applyFont="1" applyFill="1" applyBorder="1" applyAlignment="1">
      <alignment horizontal="center" vertical="center" wrapText="1"/>
    </xf>
    <xf numFmtId="0" fontId="10" fillId="0" borderId="29" xfId="12" applyFont="1" applyFill="1" applyBorder="1" applyAlignment="1">
      <alignment horizontal="center" vertical="center" wrapText="1"/>
    </xf>
    <xf numFmtId="0" fontId="10" fillId="0" borderId="1" xfId="12" applyFont="1" applyFill="1" applyBorder="1" applyAlignment="1">
      <alignment horizontal="center" vertical="center" wrapText="1"/>
    </xf>
    <xf numFmtId="3" fontId="10" fillId="0" borderId="38" xfId="12" applyNumberFormat="1" applyFont="1" applyFill="1" applyBorder="1" applyAlignment="1">
      <alignment horizontal="center" vertical="center"/>
    </xf>
    <xf numFmtId="3" fontId="10" fillId="0" borderId="1" xfId="12" applyNumberFormat="1" applyFont="1" applyFill="1" applyBorder="1" applyAlignment="1">
      <alignment horizontal="center" vertical="center"/>
    </xf>
    <xf numFmtId="0" fontId="10" fillId="0" borderId="30" xfId="12" applyFont="1" applyFill="1" applyBorder="1" applyAlignment="1">
      <alignment horizontal="center" vertical="center" wrapText="1"/>
    </xf>
    <xf numFmtId="0" fontId="10" fillId="0" borderId="10" xfId="12" applyFont="1" applyFill="1" applyBorder="1" applyAlignment="1">
      <alignment horizontal="center" vertical="center" wrapText="1"/>
    </xf>
    <xf numFmtId="0" fontId="10" fillId="0" borderId="13" xfId="12" applyFont="1" applyFill="1" applyBorder="1" applyAlignment="1">
      <alignment horizontal="center" vertical="center" wrapText="1"/>
    </xf>
    <xf numFmtId="0" fontId="10" fillId="0" borderId="38" xfId="12" applyFont="1" applyFill="1" applyBorder="1" applyAlignment="1">
      <alignment horizontal="center" vertical="center" wrapText="1"/>
    </xf>
    <xf numFmtId="0" fontId="10" fillId="0" borderId="29" xfId="12" applyFont="1" applyFill="1" applyBorder="1" applyAlignment="1">
      <alignment horizontal="center" vertical="center"/>
    </xf>
    <xf numFmtId="0" fontId="10" fillId="0" borderId="38" xfId="12" applyFont="1" applyFill="1" applyBorder="1" applyAlignment="1">
      <alignment horizontal="center" vertical="center"/>
    </xf>
    <xf numFmtId="0" fontId="10" fillId="0" borderId="1" xfId="12" applyFont="1" applyFill="1" applyBorder="1" applyAlignment="1">
      <alignment horizontal="center" vertical="center"/>
    </xf>
    <xf numFmtId="0" fontId="36" fillId="0" borderId="0" xfId="12" applyFont="1" applyFill="1" applyAlignment="1">
      <alignment horizontal="center" vertical="center"/>
    </xf>
    <xf numFmtId="3" fontId="10" fillId="0" borderId="29" xfId="12" applyNumberFormat="1" applyFont="1" applyFill="1" applyBorder="1" applyAlignment="1">
      <alignment horizontal="center" vertical="center"/>
    </xf>
    <xf numFmtId="3" fontId="10" fillId="0" borderId="2" xfId="12" applyNumberFormat="1" applyFont="1" applyFill="1" applyBorder="1" applyAlignment="1">
      <alignment horizontal="center" vertical="center"/>
    </xf>
    <xf numFmtId="3" fontId="63" fillId="2" borderId="27" xfId="0" applyNumberFormat="1" applyFont="1" applyFill="1" applyBorder="1" applyAlignment="1">
      <alignment horizontal="right" vertical="center" wrapText="1"/>
    </xf>
    <xf numFmtId="3" fontId="64" fillId="2" borderId="2" xfId="0" applyNumberFormat="1" applyFont="1" applyFill="1" applyBorder="1" applyAlignment="1">
      <alignment horizontal="center" vertical="center" wrapText="1"/>
    </xf>
    <xf numFmtId="0" fontId="65" fillId="2" borderId="0" xfId="0" applyFont="1" applyFill="1" applyAlignment="1">
      <alignment horizontal="center" vertical="center" wrapText="1"/>
    </xf>
    <xf numFmtId="0" fontId="67" fillId="2" borderId="0" xfId="0" applyFont="1" applyFill="1" applyAlignment="1">
      <alignment horizontal="center" vertical="center" wrapText="1"/>
    </xf>
    <xf numFmtId="1" fontId="64" fillId="2" borderId="2" xfId="0" applyNumberFormat="1" applyFont="1" applyFill="1" applyBorder="1" applyAlignment="1">
      <alignment horizontal="center" vertical="center" wrapText="1"/>
    </xf>
    <xf numFmtId="4" fontId="64" fillId="2" borderId="2" xfId="0" applyNumberFormat="1" applyFont="1" applyFill="1" applyBorder="1" applyAlignment="1">
      <alignment horizontal="center" vertical="center" wrapText="1"/>
    </xf>
    <xf numFmtId="0" fontId="63" fillId="2" borderId="2" xfId="0" applyFont="1" applyFill="1" applyBorder="1" applyAlignment="1">
      <alignment horizontal="center" vertical="center"/>
    </xf>
    <xf numFmtId="0" fontId="4" fillId="0" borderId="0" xfId="16" applyNumberFormat="1" applyFont="1" applyAlignment="1">
      <alignment horizontal="center" vertical="center" wrapText="1"/>
    </xf>
    <xf numFmtId="0" fontId="12" fillId="0" borderId="0" xfId="0" applyNumberFormat="1" applyFont="1" applyAlignment="1">
      <alignment horizontal="center" vertical="center"/>
    </xf>
    <xf numFmtId="0" fontId="18" fillId="0" borderId="30" xfId="16" applyFont="1" applyBorder="1" applyAlignment="1">
      <alignment horizontal="center" vertical="center" wrapText="1"/>
    </xf>
    <xf numFmtId="0" fontId="18" fillId="0" borderId="10" xfId="16" applyFont="1" applyBorder="1" applyAlignment="1">
      <alignment horizontal="center" vertical="center" wrapText="1"/>
    </xf>
    <xf numFmtId="0" fontId="18" fillId="0" borderId="2" xfId="16" applyFont="1" applyBorder="1" applyAlignment="1">
      <alignment horizontal="center" vertical="center"/>
    </xf>
    <xf numFmtId="0" fontId="18" fillId="0" borderId="2" xfId="16" applyFont="1" applyBorder="1" applyAlignment="1">
      <alignment horizontal="center" vertical="center" wrapText="1"/>
    </xf>
    <xf numFmtId="0" fontId="12" fillId="0" borderId="27" xfId="12" applyFont="1" applyBorder="1" applyAlignment="1">
      <alignment horizontal="center" vertical="center"/>
    </xf>
    <xf numFmtId="0" fontId="4" fillId="0" borderId="0" xfId="15" applyNumberFormat="1" applyFont="1" applyFill="1" applyAlignment="1">
      <alignment horizontal="center" vertical="center" wrapText="1"/>
    </xf>
    <xf numFmtId="0" fontId="4" fillId="0" borderId="0" xfId="0" applyFont="1" applyAlignment="1">
      <alignment horizontal="center"/>
    </xf>
    <xf numFmtId="167" fontId="22" fillId="0" borderId="30" xfId="15" applyNumberFormat="1" applyFont="1" applyFill="1" applyBorder="1" applyAlignment="1" applyProtection="1">
      <alignment horizontal="center" vertical="center" wrapText="1"/>
    </xf>
    <xf numFmtId="167" fontId="22" fillId="0" borderId="13" xfId="15" applyNumberFormat="1" applyFont="1" applyFill="1" applyBorder="1" applyAlignment="1" applyProtection="1">
      <alignment horizontal="center" vertical="center" wrapText="1"/>
    </xf>
    <xf numFmtId="0" fontId="8" fillId="0" borderId="0" xfId="15" applyNumberFormat="1" applyFont="1" applyFill="1" applyAlignment="1">
      <alignment horizontal="center" vertical="center" wrapText="1"/>
    </xf>
    <xf numFmtId="167" fontId="12" fillId="0" borderId="27" xfId="15" applyNumberFormat="1" applyFont="1" applyFill="1" applyBorder="1" applyAlignment="1">
      <alignment horizontal="center" vertical="center"/>
    </xf>
  </cellXfs>
  <cellStyles count="19">
    <cellStyle name="Comma" xfId="1" builtinId="3"/>
    <cellStyle name="Comma [0]" xfId="2" builtinId="6"/>
    <cellStyle name="Comma 12" xfId="3" xr:uid="{00000000-0005-0000-0000-000002000000}"/>
    <cellStyle name="Comma 14" xfId="4" xr:uid="{00000000-0005-0000-0000-000003000000}"/>
    <cellStyle name="Comma 28" xfId="5" xr:uid="{00000000-0005-0000-0000-000004000000}"/>
    <cellStyle name="Comma 3 3" xfId="6" xr:uid="{00000000-0005-0000-0000-000005000000}"/>
    <cellStyle name="HAI" xfId="7" xr:uid="{00000000-0005-0000-0000-000006000000}"/>
    <cellStyle name="Normal" xfId="0" builtinId="0"/>
    <cellStyle name="Normal 10" xfId="8" xr:uid="{00000000-0005-0000-0000-000008000000}"/>
    <cellStyle name="Normal 11" xfId="9" xr:uid="{00000000-0005-0000-0000-000009000000}"/>
    <cellStyle name="Normal 11 3" xfId="10" xr:uid="{00000000-0005-0000-0000-00000A000000}"/>
    <cellStyle name="Normal 16" xfId="11" xr:uid="{00000000-0005-0000-0000-00000B000000}"/>
    <cellStyle name="Normal 2" xfId="12" xr:uid="{00000000-0005-0000-0000-00000C000000}"/>
    <cellStyle name="Normal 3" xfId="13" xr:uid="{00000000-0005-0000-0000-00000D000000}"/>
    <cellStyle name="Normal 3 4" xfId="14" xr:uid="{00000000-0005-0000-0000-00000E000000}"/>
    <cellStyle name="Normal 4" xfId="15" xr:uid="{00000000-0005-0000-0000-00000F000000}"/>
    <cellStyle name="Normal 5" xfId="16" xr:uid="{00000000-0005-0000-0000-000010000000}"/>
    <cellStyle name="Normal_Bieu mau (CV )" xfId="17" xr:uid="{00000000-0005-0000-0000-000011000000}"/>
    <cellStyle name="Percent" xfId="1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0</xdr:rowOff>
        </xdr:from>
        <xdr:to>
          <xdr:col>5</xdr:col>
          <xdr:colOff>361950</xdr:colOff>
          <xdr:row>0</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1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xdr:row>
          <xdr:rowOff>0</xdr:rowOff>
        </xdr:from>
        <xdr:to>
          <xdr:col>5</xdr:col>
          <xdr:colOff>361950</xdr:colOff>
          <xdr:row>12</xdr:row>
          <xdr:rowOff>0</xdr:rowOff>
        </xdr:to>
        <xdr:sp macro="" textlink="">
          <xdr:nvSpPr>
            <xdr:cNvPr id="37360" name="Button 16880" hidden="1">
              <a:extLst>
                <a:ext uri="{63B3BB69-23CF-44E3-9099-C40C66FF867C}">
                  <a14:compatExt spid="_x0000_s37360"/>
                </a:ext>
                <a:ext uri="{FF2B5EF4-FFF2-40B4-BE49-F238E27FC236}">
                  <a16:creationId xmlns:a16="http://schemas.microsoft.com/office/drawing/2014/main" id="{00000000-0008-0000-1000-0000F0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xdr:row>
          <xdr:rowOff>0</xdr:rowOff>
        </xdr:from>
        <xdr:to>
          <xdr:col>2</xdr:col>
          <xdr:colOff>0</xdr:colOff>
          <xdr:row>12</xdr:row>
          <xdr:rowOff>0</xdr:rowOff>
        </xdr:to>
        <xdr:sp macro="" textlink="">
          <xdr:nvSpPr>
            <xdr:cNvPr id="37368" name="Button 16888" hidden="1">
              <a:extLst>
                <a:ext uri="{63B3BB69-23CF-44E3-9099-C40C66FF867C}">
                  <a14:compatExt spid="_x0000_s37368"/>
                </a:ext>
                <a:ext uri="{FF2B5EF4-FFF2-40B4-BE49-F238E27FC236}">
                  <a16:creationId xmlns:a16="http://schemas.microsoft.com/office/drawing/2014/main" id="{00000000-0008-0000-1000-0000F8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xdr:row>
          <xdr:rowOff>0</xdr:rowOff>
        </xdr:from>
        <xdr:to>
          <xdr:col>5</xdr:col>
          <xdr:colOff>361950</xdr:colOff>
          <xdr:row>12</xdr:row>
          <xdr:rowOff>0</xdr:rowOff>
        </xdr:to>
        <xdr:sp macro="" textlink="">
          <xdr:nvSpPr>
            <xdr:cNvPr id="37369" name="Button 16889" hidden="1">
              <a:extLst>
                <a:ext uri="{63B3BB69-23CF-44E3-9099-C40C66FF867C}">
                  <a14:compatExt spid="_x0000_s37369"/>
                </a:ext>
                <a:ext uri="{FF2B5EF4-FFF2-40B4-BE49-F238E27FC236}">
                  <a16:creationId xmlns:a16="http://schemas.microsoft.com/office/drawing/2014/main" id="{00000000-0008-0000-1000-0000F9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xdr:row>
          <xdr:rowOff>0</xdr:rowOff>
        </xdr:from>
        <xdr:to>
          <xdr:col>2</xdr:col>
          <xdr:colOff>0</xdr:colOff>
          <xdr:row>12</xdr:row>
          <xdr:rowOff>0</xdr:rowOff>
        </xdr:to>
        <xdr:sp macro="" textlink="">
          <xdr:nvSpPr>
            <xdr:cNvPr id="37370" name="Button 16890" hidden="1">
              <a:extLst>
                <a:ext uri="{63B3BB69-23CF-44E3-9099-C40C66FF867C}">
                  <a14:compatExt spid="_x0000_s37370"/>
                </a:ext>
                <a:ext uri="{FF2B5EF4-FFF2-40B4-BE49-F238E27FC236}">
                  <a16:creationId xmlns:a16="http://schemas.microsoft.com/office/drawing/2014/main" id="{00000000-0008-0000-1000-0000FA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TC15\SHARE_QLNSDPNSNN$\Hang\Bieu%20mau%20thu%202003%20vong%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neDrive%20-%20VIP\GIU%20LIEU%20DANG%20LAM\QUYET%20TOAN%20+%20GHI%20THU,%20GHI%20CHI\QTNS-%202023\QUYET%20TOAN%20ND%2031-GUI%20HDND\QTNS-ND%2031-2023_c&#225;o%20c&#225;o%20H&#272;ND%20(Bich+Ma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OneDrive%20-%20VIP\GIU%20LIEU%20DANG%20LAM\QUYET%20TOAN%20+%20GHI%20THU,%20GHI%20CHI\QTNS-%202023\QTNS%20-%20TT%20342%20-%202020%20-%20Tuan%20Gia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Y%20TINH%20DAT%20HONG/Downloads/QTNS-ND%2031-2023-Th&#7843;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hp/Desktop/TH%20thu%202023%20(X&#227;,%20T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Desktop/T&#7892;NG%20H&#7906;P%20QT%20NSX%202023/TH%20thu%202023%20(X&#227;,%20T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Users\TAN%20THAI%20HA\Downloads\SNKTK%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TAN%20THAI%20HA/Downloads/SNKTK%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B48-bich"/>
      <sheetName val="B49-bich"/>
      <sheetName val="B50-bich"/>
      <sheetName val="B51-mai"/>
      <sheetName val="B52-bich"/>
      <sheetName val="Biểu 53-H+X-mai"/>
      <sheetName val="B54"/>
      <sheetName val="B54-chi tiết"/>
      <sheetName val="B55"/>
      <sheetName val="B56"/>
      <sheetName val="B57"/>
      <sheetName val="Biểu 58-xã"/>
      <sheetName val="Biểu 59-xã"/>
      <sheetName val="Biểu 60-xã"/>
      <sheetName val="Biểu 61- H+X"/>
      <sheetName val="Bieu 62-KH"/>
      <sheetName val="Biểu 63-quỹ"/>
      <sheetName val="B64-thu DV"/>
    </sheetNames>
    <sheetDataSet>
      <sheetData sheetId="0" refreshError="1"/>
      <sheetData sheetId="1">
        <row r="3">
          <cell r="A3" t="str">
            <v>(Kèm theo Báo cáo số         /BC-UBND ngày        /    /2024 của UBND huyện Tuần Giáo)</v>
          </cell>
        </row>
      </sheetData>
      <sheetData sheetId="2">
        <row r="12">
          <cell r="C12">
            <v>46620000000</v>
          </cell>
          <cell r="D12">
            <v>52028725773</v>
          </cell>
        </row>
        <row r="14">
          <cell r="C14">
            <v>684106000000</v>
          </cell>
          <cell r="D14">
            <v>681988065750</v>
          </cell>
        </row>
        <row r="15">
          <cell r="C15">
            <v>214108000000</v>
          </cell>
          <cell r="D15">
            <v>277274611400</v>
          </cell>
        </row>
        <row r="16">
          <cell r="D16">
            <v>6703707642</v>
          </cell>
        </row>
        <row r="17">
          <cell r="D17">
            <v>80734059688</v>
          </cell>
        </row>
        <row r="18">
          <cell r="D18">
            <v>115400000</v>
          </cell>
        </row>
        <row r="29">
          <cell r="C29">
            <v>3980000000</v>
          </cell>
          <cell r="D29">
            <v>5495029063</v>
          </cell>
        </row>
        <row r="33">
          <cell r="D33">
            <v>11157700550</v>
          </cell>
        </row>
      </sheetData>
      <sheetData sheetId="3" refreshError="1"/>
      <sheetData sheetId="4">
        <row r="11">
          <cell r="C11">
            <v>36868000000</v>
          </cell>
          <cell r="D11">
            <v>47520465894</v>
          </cell>
        </row>
        <row r="25">
          <cell r="C25">
            <v>683144000000</v>
          </cell>
          <cell r="D25">
            <v>741672264739</v>
          </cell>
        </row>
        <row r="39">
          <cell r="C39">
            <v>14694000000</v>
          </cell>
        </row>
        <row r="41">
          <cell r="C41">
            <v>210875000000</v>
          </cell>
          <cell r="D41">
            <v>158991000563</v>
          </cell>
        </row>
        <row r="170">
          <cell r="C170">
            <v>3233000000</v>
          </cell>
          <cell r="D170">
            <v>3286662400</v>
          </cell>
        </row>
        <row r="181">
          <cell r="D181">
            <v>9504193948</v>
          </cell>
        </row>
        <row r="182">
          <cell r="D182">
            <v>144366784604</v>
          </cell>
        </row>
      </sheetData>
      <sheetData sheetId="5" refreshError="1"/>
      <sheetData sheetId="6" refreshError="1"/>
      <sheetData sheetId="7" refreshError="1"/>
      <sheetData sheetId="8" refreshError="1"/>
      <sheetData sheetId="9">
        <row r="11">
          <cell r="E11">
            <v>43159958000</v>
          </cell>
          <cell r="F11">
            <v>469803000</v>
          </cell>
          <cell r="G11">
            <v>1724571000</v>
          </cell>
          <cell r="H11">
            <v>77671463409</v>
          </cell>
          <cell r="L11">
            <v>6194081000</v>
          </cell>
          <cell r="M11">
            <v>640898000</v>
          </cell>
        </row>
      </sheetData>
      <sheetData sheetId="10">
        <row r="10">
          <cell r="E10">
            <v>463905913003</v>
          </cell>
          <cell r="F10">
            <v>315080670</v>
          </cell>
          <cell r="G10">
            <v>6991600000</v>
          </cell>
          <cell r="H10">
            <v>3344020000</v>
          </cell>
          <cell r="I10">
            <v>1980721400</v>
          </cell>
          <cell r="J10">
            <v>6136964020</v>
          </cell>
          <cell r="K10">
            <v>3658549728</v>
          </cell>
          <cell r="L10">
            <v>616506600</v>
          </cell>
          <cell r="M10">
            <v>4420850000</v>
          </cell>
          <cell r="N10">
            <v>108000102423</v>
          </cell>
          <cell r="R10">
            <v>44460431779</v>
          </cell>
          <cell r="S10">
            <v>55635717266</v>
          </cell>
          <cell r="T10">
            <v>170000000</v>
          </cell>
          <cell r="U10">
            <v>2159588306</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op QT"/>
      <sheetName val="60"/>
      <sheetName val="61"/>
      <sheetName val="62(H+X)"/>
      <sheetName val="63"/>
      <sheetName val="64"/>
      <sheetName val="65(H+X)"/>
      <sheetName val="66(H+X)"/>
      <sheetName val="67(H+X)"/>
      <sheetName val="68(H+X)"/>
      <sheetName val="69"/>
      <sheetName val="70(H+X)"/>
      <sheetName val="64-NĐ31"/>
    </sheetNames>
    <sheetDataSet>
      <sheetData sheetId="0" refreshError="1"/>
      <sheetData sheetId="1" refreshError="1"/>
      <sheetData sheetId="2" refreshError="1">
        <row r="7">
          <cell r="D7">
            <v>844326000000</v>
          </cell>
          <cell r="E7">
            <v>1200402033541</v>
          </cell>
          <cell r="H7">
            <v>1043433877918</v>
          </cell>
          <cell r="I7">
            <v>151083201935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48"/>
      <sheetName val="B49"/>
      <sheetName val="B50"/>
      <sheetName val="B51"/>
      <sheetName val="B52"/>
      <sheetName val="Biểu 53-H+X"/>
      <sheetName val="B54"/>
      <sheetName val="B54-chi tiết"/>
      <sheetName val="B55"/>
      <sheetName val="B56"/>
      <sheetName val="B57"/>
      <sheetName val="Biểu 58-xã"/>
      <sheetName val="Biểu 59-xã"/>
      <sheetName val="Biểu 60-xã"/>
      <sheetName val="Biểu 61- H+X"/>
      <sheetName val="Bieu 62-KH"/>
      <sheetName val="Biểu 63-quỹ"/>
      <sheetName val="B64-thu DV"/>
    </sheetNames>
    <sheetDataSet>
      <sheetData sheetId="0" refreshError="1"/>
      <sheetData sheetId="1" refreshError="1"/>
      <sheetData sheetId="2" refreshError="1"/>
      <sheetData sheetId="3" refreshError="1"/>
      <sheetData sheetId="4" refreshError="1"/>
      <sheetData sheetId="5" refreshError="1"/>
      <sheetData sheetId="6">
        <row r="25">
          <cell r="GH25">
            <v>200000000</v>
          </cell>
          <cell r="GI25">
            <v>36950000</v>
          </cell>
        </row>
      </sheetData>
      <sheetData sheetId="7" refreshError="1"/>
      <sheetData sheetId="8" refreshError="1"/>
      <sheetData sheetId="9">
        <row r="50">
          <cell r="D50">
            <v>237010376</v>
          </cell>
          <cell r="V50">
            <v>60376</v>
          </cell>
        </row>
        <row r="54">
          <cell r="D54">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 Thu 2023"/>
      <sheetName val="ĐT"/>
    </sheetNames>
    <sheetDataSet>
      <sheetData sheetId="0">
        <row r="38">
          <cell r="D38">
            <v>522738661</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 Thu 2023"/>
      <sheetName val="ĐT"/>
    </sheetNames>
    <sheetDataSet>
      <sheetData sheetId="0">
        <row r="7">
          <cell r="E7">
            <v>22383504</v>
          </cell>
          <cell r="F7">
            <v>85243613</v>
          </cell>
          <cell r="G7">
            <v>130757878</v>
          </cell>
          <cell r="H7">
            <v>35326984</v>
          </cell>
          <cell r="I7">
            <v>3838446768</v>
          </cell>
          <cell r="J7">
            <v>55449030</v>
          </cell>
          <cell r="K7">
            <v>152829500</v>
          </cell>
          <cell r="L7">
            <v>178665088</v>
          </cell>
          <cell r="M7">
            <v>4138000</v>
          </cell>
          <cell r="N7">
            <v>28099000</v>
          </cell>
          <cell r="O7">
            <v>21777000</v>
          </cell>
          <cell r="P7">
            <v>16148000</v>
          </cell>
          <cell r="Q7">
            <v>190867000</v>
          </cell>
          <cell r="R7">
            <v>21436000</v>
          </cell>
          <cell r="S7">
            <v>10181000</v>
          </cell>
          <cell r="T7">
            <v>31902380</v>
          </cell>
          <cell r="U7">
            <v>132403657</v>
          </cell>
          <cell r="V7">
            <v>16236000</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Up"/>
      <sheetName val="giao MTLP"/>
      <sheetName val="SNKT"/>
      <sheetName val="Sheet2"/>
      <sheetName val="Sheet1"/>
      <sheetName val="Mien TLP"/>
      <sheetName val="SN thuy loi"/>
      <sheetName val="SNGT 2016"/>
      <sheetName val="SNKT 2016"/>
      <sheetName val="~         "/>
      <sheetName val="SNKTK (1)"/>
    </sheetNames>
    <definedNames>
      <definedName name="Dutoan2001"/>
    </defined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Up"/>
      <sheetName val="giao MTLP"/>
      <sheetName val="SNKT"/>
      <sheetName val="Sheet2"/>
      <sheetName val="Sheet1"/>
      <sheetName val="Mien TLP"/>
      <sheetName val="SN thuy loi"/>
      <sheetName val="SNGT 2016"/>
      <sheetName val="SNKT 2016"/>
      <sheetName val="~         "/>
      <sheetName val="SNKTK (1)"/>
    </sheetNames>
    <definedNames>
      <definedName name="Dutoan2001"/>
    </defined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FFFF00"/>
    <pageSetUpPr fitToPage="1"/>
  </sheetPr>
  <dimension ref="A1:R60"/>
  <sheetViews>
    <sheetView view="pageBreakPreview" zoomScale="85" zoomScaleNormal="100" zoomScaleSheetLayoutView="85" workbookViewId="0">
      <pane xSplit="4" ySplit="11" topLeftCell="E12" activePane="bottomRight" state="frozen"/>
      <selection pane="topRight" activeCell="E1" sqref="E1"/>
      <selection pane="bottomLeft" activeCell="A12" sqref="A12"/>
      <selection pane="bottomRight" activeCell="S15" sqref="S15"/>
    </sheetView>
  </sheetViews>
  <sheetFormatPr defaultColWidth="9" defaultRowHeight="15.75"/>
  <cols>
    <col min="1" max="1" width="4.75" style="48" customWidth="1"/>
    <col min="2" max="2" width="23.125" style="48" customWidth="1"/>
    <col min="3" max="3" width="16.5" style="48" customWidth="1"/>
    <col min="4" max="4" width="15.75" style="48" customWidth="1"/>
    <col min="5" max="5" width="14" style="48" customWidth="1"/>
    <col min="6" max="6" width="12.625" style="48" customWidth="1"/>
    <col min="7" max="7" width="14.25" style="48" customWidth="1"/>
    <col min="8" max="8" width="15.75" style="48" customWidth="1"/>
    <col min="9" max="9" width="15.875" style="48" customWidth="1"/>
    <col min="10" max="10" width="12.75" style="48" customWidth="1"/>
    <col min="11" max="11" width="15" style="48" customWidth="1"/>
    <col min="12" max="12" width="12.875" style="48" customWidth="1"/>
    <col min="13" max="13" width="12.5" style="48" customWidth="1"/>
    <col min="14" max="14" width="14.375" style="48" customWidth="1"/>
    <col min="15" max="15" width="7.625" style="48" customWidth="1"/>
    <col min="16" max="17" width="16.5" style="48" hidden="1" customWidth="1"/>
    <col min="18" max="18" width="10" style="48" hidden="1" customWidth="1"/>
    <col min="19" max="19" width="9" style="48" customWidth="1"/>
    <col min="20" max="16384" width="9" style="48"/>
  </cols>
  <sheetData>
    <row r="1" spans="1:18" ht="21.75" customHeight="1">
      <c r="A1" s="428"/>
      <c r="B1" s="428"/>
      <c r="C1" s="429"/>
      <c r="D1" s="429"/>
      <c r="E1" s="429"/>
      <c r="F1" s="430"/>
      <c r="G1" s="430"/>
      <c r="H1" s="429"/>
      <c r="I1" s="429"/>
      <c r="J1" s="429"/>
      <c r="K1" s="429"/>
      <c r="L1" s="429"/>
      <c r="M1" s="603"/>
      <c r="N1" s="544" t="s">
        <v>203</v>
      </c>
      <c r="O1" s="604"/>
      <c r="P1" s="604"/>
      <c r="Q1" s="604"/>
      <c r="R1" s="604"/>
    </row>
    <row r="2" spans="1:18" ht="21" customHeight="1">
      <c r="A2" s="605" t="s">
        <v>239</v>
      </c>
      <c r="B2" s="430"/>
      <c r="C2" s="606"/>
      <c r="D2" s="606"/>
      <c r="E2" s="606"/>
      <c r="F2" s="606"/>
      <c r="G2" s="606"/>
      <c r="H2" s="606"/>
      <c r="I2" s="606"/>
      <c r="J2" s="606"/>
      <c r="K2" s="606"/>
      <c r="L2" s="606"/>
      <c r="M2" s="606"/>
      <c r="N2" s="606"/>
      <c r="O2" s="606"/>
      <c r="P2" s="606"/>
      <c r="Q2" s="604"/>
      <c r="R2" s="604"/>
    </row>
    <row r="3" spans="1:18" ht="21" customHeight="1">
      <c r="A3" s="605" t="s">
        <v>748</v>
      </c>
      <c r="B3" s="430"/>
      <c r="C3" s="429"/>
      <c r="D3" s="429"/>
      <c r="E3" s="429"/>
      <c r="F3" s="429"/>
      <c r="G3" s="429"/>
      <c r="H3" s="429"/>
      <c r="I3" s="429"/>
      <c r="J3" s="429"/>
      <c r="K3" s="429"/>
      <c r="L3" s="429"/>
      <c r="M3" s="429"/>
      <c r="N3" s="429"/>
      <c r="O3" s="429"/>
      <c r="P3" s="429"/>
      <c r="Q3" s="604"/>
      <c r="R3" s="604"/>
    </row>
    <row r="4" spans="1:18" ht="20.25" customHeight="1">
      <c r="A4" s="556" t="str">
        <f>'B48'!A3</f>
        <v>(Kèm theo Báo cáo số  289/BC-UBND ngày  17 /6 /2024 của UBND huyện Tuần Giáo)</v>
      </c>
      <c r="B4" s="607"/>
      <c r="C4" s="429"/>
      <c r="D4" s="429"/>
      <c r="E4" s="429"/>
      <c r="F4" s="429"/>
      <c r="G4" s="429"/>
      <c r="H4" s="429"/>
      <c r="I4" s="429"/>
      <c r="J4" s="429"/>
      <c r="K4" s="429"/>
      <c r="L4" s="429"/>
      <c r="M4" s="429"/>
      <c r="N4" s="429"/>
      <c r="O4" s="429"/>
      <c r="P4" s="429"/>
      <c r="Q4" s="604"/>
      <c r="R4" s="604"/>
    </row>
    <row r="5" spans="1:18" s="47" customFormat="1" ht="19.5" customHeight="1">
      <c r="A5" s="608"/>
      <c r="B5" s="324"/>
      <c r="C5" s="324"/>
      <c r="D5" s="324"/>
      <c r="E5" s="324"/>
      <c r="F5" s="609"/>
      <c r="G5" s="609"/>
      <c r="H5" s="609"/>
      <c r="I5" s="609"/>
      <c r="J5" s="609"/>
      <c r="K5" s="359"/>
      <c r="L5" s="359"/>
      <c r="M5" s="558"/>
      <c r="N5" s="610" t="s">
        <v>201</v>
      </c>
      <c r="O5" s="610"/>
      <c r="P5" s="609"/>
      <c r="Q5" s="359"/>
      <c r="R5" s="359"/>
    </row>
    <row r="6" spans="1:18" s="72" customFormat="1" ht="18.75" customHeight="1">
      <c r="A6" s="876" t="s">
        <v>51</v>
      </c>
      <c r="B6" s="1018" t="s">
        <v>22</v>
      </c>
      <c r="C6" s="1018" t="s">
        <v>2</v>
      </c>
      <c r="D6" s="1018" t="s">
        <v>50</v>
      </c>
      <c r="E6" s="1018" t="s">
        <v>55</v>
      </c>
      <c r="F6" s="1018" t="s">
        <v>98</v>
      </c>
      <c r="G6" s="1018" t="s">
        <v>101</v>
      </c>
      <c r="H6" s="1018" t="s">
        <v>102</v>
      </c>
      <c r="I6" s="1019" t="s">
        <v>23</v>
      </c>
      <c r="J6" s="1020"/>
      <c r="K6" s="1021"/>
      <c r="L6" s="876" t="s">
        <v>499</v>
      </c>
      <c r="M6" s="1018" t="s">
        <v>510</v>
      </c>
      <c r="N6" s="1018" t="s">
        <v>273</v>
      </c>
      <c r="O6" s="1018" t="s">
        <v>75</v>
      </c>
      <c r="P6" s="172"/>
      <c r="Q6" s="158"/>
      <c r="R6" s="124"/>
    </row>
    <row r="7" spans="1:18" s="72" customFormat="1" ht="26.25" customHeight="1">
      <c r="A7" s="878"/>
      <c r="B7" s="1018"/>
      <c r="C7" s="1018"/>
      <c r="D7" s="1018"/>
      <c r="E7" s="1018"/>
      <c r="F7" s="1018"/>
      <c r="G7" s="1018"/>
      <c r="H7" s="1018"/>
      <c r="I7" s="1018" t="s">
        <v>204</v>
      </c>
      <c r="J7" s="1018" t="s">
        <v>205</v>
      </c>
      <c r="K7" s="1018" t="s">
        <v>160</v>
      </c>
      <c r="L7" s="878"/>
      <c r="M7" s="1018"/>
      <c r="N7" s="1018"/>
      <c r="O7" s="1018"/>
      <c r="P7" s="172"/>
      <c r="Q7" s="124"/>
      <c r="R7" s="124"/>
    </row>
    <row r="8" spans="1:18" s="72" customFormat="1" ht="18" customHeight="1">
      <c r="A8" s="878"/>
      <c r="B8" s="1018"/>
      <c r="C8" s="1018"/>
      <c r="D8" s="1018"/>
      <c r="E8" s="1018"/>
      <c r="F8" s="1018"/>
      <c r="G8" s="1018"/>
      <c r="H8" s="1018"/>
      <c r="I8" s="1018"/>
      <c r="J8" s="1018"/>
      <c r="K8" s="1018"/>
      <c r="L8" s="878"/>
      <c r="M8" s="1018"/>
      <c r="N8" s="1018"/>
      <c r="O8" s="1018"/>
      <c r="P8" s="172"/>
      <c r="Q8" s="124"/>
      <c r="R8" s="124"/>
    </row>
    <row r="9" spans="1:18" s="72" customFormat="1" ht="24" customHeight="1">
      <c r="A9" s="877"/>
      <c r="B9" s="1018"/>
      <c r="C9" s="1018"/>
      <c r="D9" s="1018"/>
      <c r="E9" s="1018"/>
      <c r="F9" s="1018"/>
      <c r="G9" s="1018"/>
      <c r="H9" s="1018"/>
      <c r="I9" s="1018"/>
      <c r="J9" s="1018"/>
      <c r="K9" s="1018"/>
      <c r="L9" s="877"/>
      <c r="M9" s="1018"/>
      <c r="N9" s="1018"/>
      <c r="O9" s="1018"/>
      <c r="P9" s="172"/>
      <c r="Q9" s="124"/>
      <c r="R9" s="124"/>
    </row>
    <row r="10" spans="1:18" s="124" customFormat="1" ht="19.5" customHeight="1">
      <c r="A10" s="80" t="s">
        <v>3</v>
      </c>
      <c r="B10" s="80" t="s">
        <v>4</v>
      </c>
      <c r="C10" s="80">
        <v>1</v>
      </c>
      <c r="D10" s="220" t="s">
        <v>553</v>
      </c>
      <c r="E10" s="80">
        <v>3</v>
      </c>
      <c r="F10" s="123">
        <v>4</v>
      </c>
      <c r="G10" s="80">
        <v>5</v>
      </c>
      <c r="H10" s="123" t="s">
        <v>550</v>
      </c>
      <c r="I10" s="80">
        <v>7</v>
      </c>
      <c r="J10" s="123">
        <v>8</v>
      </c>
      <c r="K10" s="80">
        <v>9</v>
      </c>
      <c r="L10" s="123">
        <v>10</v>
      </c>
      <c r="M10" s="80">
        <v>11</v>
      </c>
      <c r="N10" s="80">
        <v>12</v>
      </c>
      <c r="O10" s="80" t="s">
        <v>500</v>
      </c>
      <c r="P10" s="173"/>
      <c r="Q10" s="158"/>
    </row>
    <row r="11" spans="1:18" s="125" customFormat="1" ht="25.5" customHeight="1">
      <c r="A11" s="416"/>
      <c r="B11" s="546" t="s">
        <v>21</v>
      </c>
      <c r="C11" s="611">
        <f t="shared" ref="C11:N11" si="0">+C12+C27+C43</f>
        <v>117668000000</v>
      </c>
      <c r="D11" s="611">
        <f t="shared" si="0"/>
        <v>160006812674</v>
      </c>
      <c r="E11" s="611">
        <f t="shared" si="0"/>
        <v>43159958000</v>
      </c>
      <c r="F11" s="611">
        <f t="shared" si="0"/>
        <v>469803000</v>
      </c>
      <c r="G11" s="611">
        <f t="shared" si="0"/>
        <v>1724571000</v>
      </c>
      <c r="H11" s="611">
        <f t="shared" si="0"/>
        <v>77671463409</v>
      </c>
      <c r="I11" s="611">
        <f t="shared" si="0"/>
        <v>58753056000</v>
      </c>
      <c r="J11" s="611">
        <f t="shared" si="0"/>
        <v>2634673000</v>
      </c>
      <c r="K11" s="611">
        <f t="shared" si="0"/>
        <v>16283734409</v>
      </c>
      <c r="L11" s="611">
        <f t="shared" si="0"/>
        <v>6194081000</v>
      </c>
      <c r="M11" s="611">
        <f t="shared" si="0"/>
        <v>640898000</v>
      </c>
      <c r="N11" s="611">
        <f t="shared" si="0"/>
        <v>30146038265</v>
      </c>
      <c r="O11" s="612">
        <f>D11/C11</f>
        <v>1.3598158605058299</v>
      </c>
      <c r="P11" s="613">
        <f>D11-N11-M11</f>
        <v>129219876409</v>
      </c>
      <c r="Q11" s="614">
        <v>129219876409</v>
      </c>
      <c r="R11" s="614">
        <f>P11-Q11</f>
        <v>0</v>
      </c>
    </row>
    <row r="12" spans="1:18" s="125" customFormat="1" ht="25.5" customHeight="1">
      <c r="A12" s="417" t="s">
        <v>11</v>
      </c>
      <c r="B12" s="439" t="s">
        <v>502</v>
      </c>
      <c r="C12" s="615">
        <f t="shared" ref="C12:N12" si="1">+C13+C17+C20+C24</f>
        <v>34168000000</v>
      </c>
      <c r="D12" s="615">
        <f t="shared" si="1"/>
        <v>52896139674</v>
      </c>
      <c r="E12" s="615">
        <f t="shared" si="1"/>
        <v>10564334000</v>
      </c>
      <c r="F12" s="615">
        <f t="shared" si="1"/>
        <v>469803000</v>
      </c>
      <c r="G12" s="615">
        <f t="shared" si="1"/>
        <v>1724571000</v>
      </c>
      <c r="H12" s="615">
        <f t="shared" si="1"/>
        <v>34040756409</v>
      </c>
      <c r="I12" s="615">
        <f t="shared" si="1"/>
        <v>20444827000</v>
      </c>
      <c r="J12" s="615">
        <f t="shared" si="1"/>
        <v>0</v>
      </c>
      <c r="K12" s="615">
        <f t="shared" si="1"/>
        <v>13595929409</v>
      </c>
      <c r="L12" s="615">
        <f t="shared" si="1"/>
        <v>0</v>
      </c>
      <c r="M12" s="615">
        <f t="shared" si="1"/>
        <v>611999000</v>
      </c>
      <c r="N12" s="615">
        <f t="shared" si="1"/>
        <v>5484676265</v>
      </c>
      <c r="O12" s="616">
        <f>D12/C12</f>
        <v>1.5481192833645516</v>
      </c>
      <c r="P12" s="613"/>
      <c r="Q12" s="614"/>
      <c r="R12" s="158"/>
    </row>
    <row r="13" spans="1:18" s="125" customFormat="1" ht="25.5" customHeight="1">
      <c r="A13" s="417">
        <v>1</v>
      </c>
      <c r="B13" s="439" t="s">
        <v>503</v>
      </c>
      <c r="C13" s="615">
        <f t="shared" ref="C13:N13" si="2">SUM(C14:C16)</f>
        <v>23368000000</v>
      </c>
      <c r="D13" s="615">
        <f t="shared" si="2"/>
        <v>32885614000</v>
      </c>
      <c r="E13" s="615">
        <f t="shared" si="2"/>
        <v>8730962000</v>
      </c>
      <c r="F13" s="615">
        <f t="shared" si="2"/>
        <v>0</v>
      </c>
      <c r="G13" s="615">
        <f t="shared" si="2"/>
        <v>1724571000</v>
      </c>
      <c r="H13" s="615">
        <f t="shared" si="2"/>
        <v>20286000000</v>
      </c>
      <c r="I13" s="615">
        <f t="shared" si="2"/>
        <v>10125555000</v>
      </c>
      <c r="J13" s="615">
        <f t="shared" si="2"/>
        <v>0</v>
      </c>
      <c r="K13" s="615">
        <f t="shared" si="2"/>
        <v>10160445000</v>
      </c>
      <c r="L13" s="615">
        <f t="shared" si="2"/>
        <v>0</v>
      </c>
      <c r="M13" s="615">
        <f t="shared" si="2"/>
        <v>611999000</v>
      </c>
      <c r="N13" s="615">
        <f t="shared" si="2"/>
        <v>1532082000</v>
      </c>
      <c r="O13" s="616">
        <f>D13/C13</f>
        <v>1.4072926223895925</v>
      </c>
      <c r="P13" s="613"/>
      <c r="Q13" s="614"/>
      <c r="R13" s="158"/>
    </row>
    <row r="14" spans="1:18" s="72" customFormat="1" ht="24" customHeight="1">
      <c r="A14" s="447"/>
      <c r="B14" s="446" t="s">
        <v>401</v>
      </c>
      <c r="C14" s="617">
        <v>23368000000</v>
      </c>
      <c r="D14" s="617">
        <f>SUM(E14:H14,L14:N14)</f>
        <v>32166221000</v>
      </c>
      <c r="E14" s="617">
        <v>8730962000</v>
      </c>
      <c r="F14" s="617"/>
      <c r="G14" s="617">
        <v>1724571000</v>
      </c>
      <c r="H14" s="617">
        <f>SUM(I14,J14,K14)</f>
        <v>20178606000</v>
      </c>
      <c r="I14" s="617">
        <v>10125555000</v>
      </c>
      <c r="J14" s="617"/>
      <c r="K14" s="617">
        <v>10053051000</v>
      </c>
      <c r="L14" s="617"/>
      <c r="M14" s="617"/>
      <c r="N14" s="617">
        <v>1532082000</v>
      </c>
      <c r="O14" s="550">
        <f>D14/C14</f>
        <v>1.3765072321122902</v>
      </c>
      <c r="P14" s="613">
        <f>+N14+N18+N30+N38+N41</f>
        <v>28109662000</v>
      </c>
      <c r="Q14" s="618"/>
      <c r="R14" s="618"/>
    </row>
    <row r="15" spans="1:18" s="72" customFormat="1" ht="24" customHeight="1">
      <c r="A15" s="447"/>
      <c r="B15" s="442" t="s">
        <v>345</v>
      </c>
      <c r="C15" s="617"/>
      <c r="D15" s="617">
        <f>SUM(E15:H15,L15:N15)</f>
        <v>107394000</v>
      </c>
      <c r="E15" s="617"/>
      <c r="F15" s="617"/>
      <c r="G15" s="617"/>
      <c r="H15" s="617">
        <f>SUM(I15,J15,K15)</f>
        <v>107394000</v>
      </c>
      <c r="I15" s="617"/>
      <c r="J15" s="617"/>
      <c r="K15" s="617">
        <v>107394000</v>
      </c>
      <c r="L15" s="617"/>
      <c r="M15" s="617"/>
      <c r="N15" s="617"/>
      <c r="O15" s="550"/>
      <c r="P15" s="613"/>
      <c r="Q15" s="124"/>
      <c r="R15" s="124"/>
    </row>
    <row r="16" spans="1:18" s="72" customFormat="1" ht="24" customHeight="1">
      <c r="A16" s="447"/>
      <c r="B16" s="442" t="s">
        <v>332</v>
      </c>
      <c r="C16" s="617"/>
      <c r="D16" s="617">
        <f>SUM(E16:H16,L16:N16)</f>
        <v>611999000</v>
      </c>
      <c r="E16" s="617"/>
      <c r="F16" s="617"/>
      <c r="G16" s="617"/>
      <c r="H16" s="617">
        <f>SUM(I16,J16,K16)</f>
        <v>0</v>
      </c>
      <c r="I16" s="617"/>
      <c r="J16" s="617"/>
      <c r="K16" s="617"/>
      <c r="L16" s="617"/>
      <c r="M16" s="617">
        <f>611999000</f>
        <v>611999000</v>
      </c>
      <c r="N16" s="617"/>
      <c r="O16" s="550"/>
      <c r="P16" s="613">
        <f>+N19+N23</f>
        <v>2036376265</v>
      </c>
      <c r="Q16" s="124"/>
      <c r="R16" s="124"/>
    </row>
    <row r="17" spans="1:18" s="125" customFormat="1" ht="36.75" customHeight="1">
      <c r="A17" s="417">
        <v>2</v>
      </c>
      <c r="B17" s="619" t="s">
        <v>424</v>
      </c>
      <c r="C17" s="615">
        <f t="shared" ref="C17:M17" si="3">SUM(C18:C19)</f>
        <v>10800000000</v>
      </c>
      <c r="D17" s="615">
        <f t="shared" si="3"/>
        <v>15074975444</v>
      </c>
      <c r="E17" s="615">
        <f t="shared" si="3"/>
        <v>0</v>
      </c>
      <c r="F17" s="615">
        <f t="shared" si="3"/>
        <v>315487000</v>
      </c>
      <c r="G17" s="615">
        <f>SUM(G18:G19)</f>
        <v>0</v>
      </c>
      <c r="H17" s="615">
        <f t="shared" si="3"/>
        <v>11988490000</v>
      </c>
      <c r="I17" s="615">
        <f t="shared" si="3"/>
        <v>10139987000</v>
      </c>
      <c r="J17" s="615">
        <f t="shared" si="3"/>
        <v>0</v>
      </c>
      <c r="K17" s="615">
        <f t="shared" si="3"/>
        <v>1848503000</v>
      </c>
      <c r="L17" s="615">
        <f>SUM(L18:L19)</f>
        <v>0</v>
      </c>
      <c r="M17" s="615">
        <f t="shared" si="3"/>
        <v>0</v>
      </c>
      <c r="N17" s="615">
        <f>SUM(N18:N19)</f>
        <v>2770998444</v>
      </c>
      <c r="O17" s="616">
        <f>D17/C17</f>
        <v>1.3958310596296297</v>
      </c>
      <c r="P17" s="613"/>
      <c r="Q17" s="614"/>
      <c r="R17" s="620"/>
    </row>
    <row r="18" spans="1:18" s="72" customFormat="1" ht="24" customHeight="1">
      <c r="A18" s="447"/>
      <c r="B18" s="446" t="s">
        <v>401</v>
      </c>
      <c r="C18" s="617">
        <v>10800000000</v>
      </c>
      <c r="D18" s="617">
        <f>SUM(E18:H18,L18:N18)</f>
        <v>14220195000</v>
      </c>
      <c r="E18" s="617"/>
      <c r="F18" s="617">
        <v>315487000</v>
      </c>
      <c r="G18" s="617"/>
      <c r="H18" s="617">
        <f>SUM(I18,J18,K18)</f>
        <v>11988490000</v>
      </c>
      <c r="I18" s="617">
        <v>10139987000</v>
      </c>
      <c r="J18" s="617"/>
      <c r="K18" s="617">
        <v>1848503000</v>
      </c>
      <c r="L18" s="617"/>
      <c r="M18" s="617"/>
      <c r="N18" s="617">
        <v>1916218000</v>
      </c>
      <c r="O18" s="550">
        <f>D18/C18</f>
        <v>1.3166847222222222</v>
      </c>
      <c r="P18" s="613"/>
      <c r="Q18" s="124"/>
      <c r="R18" s="124"/>
    </row>
    <row r="19" spans="1:18" s="72" customFormat="1" ht="24" customHeight="1">
      <c r="A19" s="447"/>
      <c r="B19" s="442" t="s">
        <v>332</v>
      </c>
      <c r="C19" s="617"/>
      <c r="D19" s="617">
        <f>SUM(E19:H19,L19:N19)</f>
        <v>854780444</v>
      </c>
      <c r="E19" s="617"/>
      <c r="F19" s="617"/>
      <c r="G19" s="617"/>
      <c r="H19" s="617">
        <f>SUM(I19,J19,K19)</f>
        <v>0</v>
      </c>
      <c r="I19" s="617"/>
      <c r="J19" s="617"/>
      <c r="K19" s="617"/>
      <c r="L19" s="617"/>
      <c r="M19" s="617"/>
      <c r="N19" s="617">
        <v>854780444</v>
      </c>
      <c r="O19" s="548"/>
      <c r="P19" s="613"/>
      <c r="Q19" s="124"/>
      <c r="R19" s="124"/>
    </row>
    <row r="20" spans="1:18" s="125" customFormat="1" ht="24.75" customHeight="1">
      <c r="A20" s="417">
        <v>3</v>
      </c>
      <c r="B20" s="619" t="s">
        <v>749</v>
      </c>
      <c r="C20" s="615">
        <f t="shared" ref="C20:N20" si="4">SUM(C21:C23)</f>
        <v>0</v>
      </c>
      <c r="D20" s="615">
        <f t="shared" si="4"/>
        <v>3770952821</v>
      </c>
      <c r="E20" s="615">
        <f t="shared" si="4"/>
        <v>1833372000</v>
      </c>
      <c r="F20" s="615">
        <f t="shared" si="4"/>
        <v>154316000</v>
      </c>
      <c r="G20" s="615">
        <f t="shared" si="4"/>
        <v>0</v>
      </c>
      <c r="H20" s="615">
        <f t="shared" si="4"/>
        <v>601669000</v>
      </c>
      <c r="I20" s="615">
        <f t="shared" si="4"/>
        <v>179285000</v>
      </c>
      <c r="J20" s="615">
        <f t="shared" si="4"/>
        <v>0</v>
      </c>
      <c r="K20" s="615">
        <f t="shared" si="4"/>
        <v>422384000</v>
      </c>
      <c r="L20" s="615">
        <f t="shared" si="4"/>
        <v>0</v>
      </c>
      <c r="M20" s="615">
        <f t="shared" si="4"/>
        <v>0</v>
      </c>
      <c r="N20" s="615">
        <f t="shared" si="4"/>
        <v>1181595821</v>
      </c>
      <c r="O20" s="548"/>
      <c r="P20" s="613"/>
      <c r="Q20" s="614"/>
      <c r="R20" s="620"/>
    </row>
    <row r="21" spans="1:18" s="72" customFormat="1" ht="24" customHeight="1">
      <c r="A21" s="447"/>
      <c r="B21" s="446" t="s">
        <v>401</v>
      </c>
      <c r="C21" s="617"/>
      <c r="D21" s="617">
        <f>SUM(E21:H21,L21:N21)</f>
        <v>755985000</v>
      </c>
      <c r="E21" s="617"/>
      <c r="F21" s="617">
        <v>154316000</v>
      </c>
      <c r="G21" s="617"/>
      <c r="H21" s="617">
        <f>SUM(I21,J21,K21)</f>
        <v>601669000</v>
      </c>
      <c r="I21" s="617">
        <v>179285000</v>
      </c>
      <c r="J21" s="617"/>
      <c r="K21" s="617">
        <v>422384000</v>
      </c>
      <c r="L21" s="617"/>
      <c r="M21" s="617"/>
      <c r="N21" s="617"/>
      <c r="O21" s="548"/>
      <c r="P21" s="613"/>
      <c r="Q21" s="124"/>
      <c r="R21" s="124"/>
    </row>
    <row r="22" spans="1:18" s="72" customFormat="1" ht="24" customHeight="1">
      <c r="A22" s="447"/>
      <c r="B22" s="442" t="s">
        <v>398</v>
      </c>
      <c r="C22" s="617"/>
      <c r="D22" s="617">
        <f>SUM(E22:H22,M22:N22)</f>
        <v>1833372000</v>
      </c>
      <c r="E22" s="617">
        <v>1833372000</v>
      </c>
      <c r="F22" s="617"/>
      <c r="G22" s="617"/>
      <c r="H22" s="617">
        <f>SUM(I22,J22,K22)</f>
        <v>0</v>
      </c>
      <c r="I22" s="617"/>
      <c r="J22" s="617"/>
      <c r="K22" s="617"/>
      <c r="L22" s="617"/>
      <c r="M22" s="617"/>
      <c r="N22" s="617"/>
      <c r="O22" s="548"/>
      <c r="P22" s="613"/>
      <c r="Q22" s="124"/>
      <c r="R22" s="124"/>
    </row>
    <row r="23" spans="1:18" s="72" customFormat="1" ht="24" customHeight="1">
      <c r="A23" s="447"/>
      <c r="B23" s="442" t="s">
        <v>332</v>
      </c>
      <c r="C23" s="617"/>
      <c r="D23" s="617">
        <f>SUM(E23:H23,M23:N23)</f>
        <v>1181595821</v>
      </c>
      <c r="E23" s="617"/>
      <c r="F23" s="617"/>
      <c r="G23" s="617"/>
      <c r="H23" s="617">
        <f>SUM(I23,J23,K23)</f>
        <v>0</v>
      </c>
      <c r="I23" s="617"/>
      <c r="J23" s="617"/>
      <c r="K23" s="617"/>
      <c r="L23" s="617"/>
      <c r="M23" s="617"/>
      <c r="N23" s="617">
        <v>1181595821</v>
      </c>
      <c r="O23" s="548"/>
      <c r="P23" s="613"/>
      <c r="Q23" s="124"/>
      <c r="R23" s="124"/>
    </row>
    <row r="24" spans="1:18" s="125" customFormat="1" ht="36.75" customHeight="1">
      <c r="A24" s="417">
        <v>4</v>
      </c>
      <c r="B24" s="619" t="s">
        <v>496</v>
      </c>
      <c r="C24" s="615">
        <f>SUM(C25:C26)</f>
        <v>0</v>
      </c>
      <c r="D24" s="615">
        <f>SUM(D25:D26)</f>
        <v>1164597409</v>
      </c>
      <c r="E24" s="615">
        <f>SUM(E25:E26)</f>
        <v>0</v>
      </c>
      <c r="F24" s="615">
        <f>SUM(F25:F26)</f>
        <v>0</v>
      </c>
      <c r="G24" s="615">
        <f>SUM(G25:G26)</f>
        <v>0</v>
      </c>
      <c r="H24" s="615">
        <f t="shared" ref="H24:M24" si="5">SUM(H25:H26)</f>
        <v>1164597409</v>
      </c>
      <c r="I24" s="615">
        <f t="shared" si="5"/>
        <v>0</v>
      </c>
      <c r="J24" s="615">
        <f t="shared" si="5"/>
        <v>0</v>
      </c>
      <c r="K24" s="615">
        <f t="shared" si="5"/>
        <v>1164597409</v>
      </c>
      <c r="L24" s="615">
        <f>SUM(L25:L26)</f>
        <v>0</v>
      </c>
      <c r="M24" s="615">
        <f t="shared" si="5"/>
        <v>0</v>
      </c>
      <c r="N24" s="615">
        <f>SUM(N25:N26)</f>
        <v>0</v>
      </c>
      <c r="O24" s="548"/>
      <c r="P24" s="613"/>
      <c r="Q24" s="614"/>
      <c r="R24" s="620"/>
    </row>
    <row r="25" spans="1:18" s="72" customFormat="1" ht="24" hidden="1" customHeight="1">
      <c r="A25" s="447"/>
      <c r="B25" s="446" t="s">
        <v>497</v>
      </c>
      <c r="C25" s="617"/>
      <c r="D25" s="617">
        <f>SUM(E25:H25,M25:N25)</f>
        <v>0</v>
      </c>
      <c r="E25" s="617"/>
      <c r="F25" s="617"/>
      <c r="G25" s="617"/>
      <c r="H25" s="617">
        <f>SUM(I25,J25,K25)</f>
        <v>0</v>
      </c>
      <c r="I25" s="617"/>
      <c r="J25" s="617"/>
      <c r="K25" s="617"/>
      <c r="L25" s="617"/>
      <c r="M25" s="617"/>
      <c r="N25" s="617"/>
      <c r="O25" s="548"/>
      <c r="P25" s="613"/>
      <c r="Q25" s="124"/>
      <c r="R25" s="124"/>
    </row>
    <row r="26" spans="1:18" s="72" customFormat="1" ht="24" customHeight="1">
      <c r="A26" s="447"/>
      <c r="B26" s="442" t="s">
        <v>332</v>
      </c>
      <c r="C26" s="617"/>
      <c r="D26" s="617">
        <f>SUM(E26:H26,L26:N26)</f>
        <v>1164597409</v>
      </c>
      <c r="E26" s="617"/>
      <c r="F26" s="617"/>
      <c r="G26" s="617"/>
      <c r="H26" s="617">
        <f>SUM(I26,J26,K26)</f>
        <v>1164597409</v>
      </c>
      <c r="I26" s="617"/>
      <c r="J26" s="617"/>
      <c r="K26" s="617">
        <v>1164597409</v>
      </c>
      <c r="L26" s="617"/>
      <c r="M26" s="617"/>
      <c r="N26" s="617"/>
      <c r="O26" s="548"/>
      <c r="P26" s="613"/>
      <c r="Q26" s="124"/>
      <c r="R26" s="124"/>
    </row>
    <row r="27" spans="1:18" s="125" customFormat="1" ht="25.5" customHeight="1">
      <c r="A27" s="417" t="s">
        <v>12</v>
      </c>
      <c r="B27" s="439" t="s">
        <v>323</v>
      </c>
      <c r="C27" s="615">
        <f t="shared" ref="C27:N27" si="6">+C28+C34</f>
        <v>83500000000</v>
      </c>
      <c r="D27" s="615">
        <f t="shared" si="6"/>
        <v>107110673000</v>
      </c>
      <c r="E27" s="615">
        <f t="shared" si="6"/>
        <v>32595624000</v>
      </c>
      <c r="F27" s="615">
        <f t="shared" si="6"/>
        <v>0</v>
      </c>
      <c r="G27" s="615">
        <f t="shared" si="6"/>
        <v>0</v>
      </c>
      <c r="H27" s="615">
        <f t="shared" si="6"/>
        <v>43630707000</v>
      </c>
      <c r="I27" s="615">
        <f t="shared" si="6"/>
        <v>38308229000</v>
      </c>
      <c r="J27" s="615">
        <f t="shared" si="6"/>
        <v>2634673000</v>
      </c>
      <c r="K27" s="615">
        <f t="shared" si="6"/>
        <v>2687805000</v>
      </c>
      <c r="L27" s="615">
        <f t="shared" si="6"/>
        <v>6194081000</v>
      </c>
      <c r="M27" s="615">
        <f t="shared" si="6"/>
        <v>28899000</v>
      </c>
      <c r="N27" s="615">
        <f t="shared" si="6"/>
        <v>24661362000</v>
      </c>
      <c r="O27" s="548">
        <f>D27/C27</f>
        <v>1.2827625508982037</v>
      </c>
      <c r="P27" s="613"/>
      <c r="Q27" s="614"/>
      <c r="R27" s="158"/>
    </row>
    <row r="28" spans="1:18" s="125" customFormat="1" ht="25.5" customHeight="1">
      <c r="A28" s="417">
        <v>1</v>
      </c>
      <c r="B28" s="439" t="s">
        <v>494</v>
      </c>
      <c r="C28" s="615">
        <f>+C29+C31</f>
        <v>0</v>
      </c>
      <c r="D28" s="615">
        <f>+D29+D31</f>
        <v>152615000</v>
      </c>
      <c r="E28" s="615">
        <f t="shared" ref="E28:N28" si="7">+E29+E31</f>
        <v>0</v>
      </c>
      <c r="F28" s="615">
        <f t="shared" si="7"/>
        <v>0</v>
      </c>
      <c r="G28" s="615">
        <f t="shared" si="7"/>
        <v>0</v>
      </c>
      <c r="H28" s="615">
        <f t="shared" si="7"/>
        <v>0</v>
      </c>
      <c r="I28" s="615">
        <f t="shared" si="7"/>
        <v>0</v>
      </c>
      <c r="J28" s="615">
        <f t="shared" si="7"/>
        <v>0</v>
      </c>
      <c r="K28" s="615">
        <f t="shared" si="7"/>
        <v>0</v>
      </c>
      <c r="L28" s="615">
        <f t="shared" si="7"/>
        <v>0</v>
      </c>
      <c r="M28" s="615">
        <f t="shared" si="7"/>
        <v>12663000</v>
      </c>
      <c r="N28" s="615">
        <f t="shared" si="7"/>
        <v>139952000</v>
      </c>
      <c r="O28" s="548"/>
      <c r="P28" s="613"/>
      <c r="Q28" s="614"/>
      <c r="R28" s="158"/>
    </row>
    <row r="29" spans="1:18" s="72" customFormat="1" ht="24" customHeight="1">
      <c r="A29" s="441" t="s">
        <v>440</v>
      </c>
      <c r="B29" s="621" t="s">
        <v>506</v>
      </c>
      <c r="C29" s="617">
        <f>C30</f>
        <v>0</v>
      </c>
      <c r="D29" s="617">
        <f t="shared" ref="D29:N29" si="8">D30</f>
        <v>139952000</v>
      </c>
      <c r="E29" s="617">
        <f t="shared" si="8"/>
        <v>0</v>
      </c>
      <c r="F29" s="617">
        <f t="shared" si="8"/>
        <v>0</v>
      </c>
      <c r="G29" s="617">
        <f t="shared" si="8"/>
        <v>0</v>
      </c>
      <c r="H29" s="617">
        <f t="shared" si="8"/>
        <v>0</v>
      </c>
      <c r="I29" s="617">
        <f t="shared" si="8"/>
        <v>0</v>
      </c>
      <c r="J29" s="617">
        <f t="shared" si="8"/>
        <v>0</v>
      </c>
      <c r="K29" s="617">
        <f t="shared" si="8"/>
        <v>0</v>
      </c>
      <c r="L29" s="617">
        <f t="shared" si="8"/>
        <v>0</v>
      </c>
      <c r="M29" s="617">
        <f t="shared" si="8"/>
        <v>0</v>
      </c>
      <c r="N29" s="617">
        <f t="shared" si="8"/>
        <v>139952000</v>
      </c>
      <c r="O29" s="548"/>
      <c r="P29" s="613"/>
      <c r="Q29" s="124"/>
      <c r="R29" s="124"/>
    </row>
    <row r="30" spans="1:18" s="72" customFormat="1" ht="24" customHeight="1">
      <c r="A30" s="447"/>
      <c r="B30" s="446" t="s">
        <v>401</v>
      </c>
      <c r="C30" s="617"/>
      <c r="D30" s="617">
        <f>SUM(E30:H30,L30:N30)</f>
        <v>139952000</v>
      </c>
      <c r="E30" s="617"/>
      <c r="F30" s="617"/>
      <c r="G30" s="617"/>
      <c r="H30" s="617">
        <f>SUM(I30,J30,K30)</f>
        <v>0</v>
      </c>
      <c r="I30" s="617"/>
      <c r="J30" s="617"/>
      <c r="K30" s="617"/>
      <c r="L30" s="617"/>
      <c r="M30" s="617"/>
      <c r="N30" s="617">
        <v>139952000</v>
      </c>
      <c r="O30" s="548"/>
      <c r="P30" s="613"/>
      <c r="Q30" s="124"/>
      <c r="R30" s="124"/>
    </row>
    <row r="31" spans="1:18" s="72" customFormat="1" ht="24" customHeight="1">
      <c r="A31" s="447" t="s">
        <v>446</v>
      </c>
      <c r="B31" s="621" t="s">
        <v>507</v>
      </c>
      <c r="C31" s="617">
        <f>+C32+C33</f>
        <v>0</v>
      </c>
      <c r="D31" s="617">
        <f t="shared" ref="D31:N31" si="9">+D32+D33</f>
        <v>12663000</v>
      </c>
      <c r="E31" s="617">
        <f t="shared" si="9"/>
        <v>0</v>
      </c>
      <c r="F31" s="617">
        <f t="shared" si="9"/>
        <v>0</v>
      </c>
      <c r="G31" s="617">
        <f t="shared" si="9"/>
        <v>0</v>
      </c>
      <c r="H31" s="617">
        <f t="shared" si="9"/>
        <v>0</v>
      </c>
      <c r="I31" s="617">
        <f t="shared" si="9"/>
        <v>0</v>
      </c>
      <c r="J31" s="617">
        <f t="shared" si="9"/>
        <v>0</v>
      </c>
      <c r="K31" s="617">
        <f t="shared" si="9"/>
        <v>0</v>
      </c>
      <c r="L31" s="617">
        <f t="shared" si="9"/>
        <v>0</v>
      </c>
      <c r="M31" s="617">
        <f t="shared" si="9"/>
        <v>12663000</v>
      </c>
      <c r="N31" s="617">
        <f t="shared" si="9"/>
        <v>0</v>
      </c>
      <c r="O31" s="548"/>
      <c r="P31" s="613"/>
      <c r="Q31" s="124"/>
      <c r="R31" s="124"/>
    </row>
    <row r="32" spans="1:18" s="72" customFormat="1" ht="24" customHeight="1">
      <c r="A32" s="447"/>
      <c r="B32" s="446" t="s">
        <v>401</v>
      </c>
      <c r="C32" s="617"/>
      <c r="D32" s="617">
        <f>SUM(E32:H32,L32:N32)</f>
        <v>0</v>
      </c>
      <c r="E32" s="617"/>
      <c r="F32" s="617"/>
      <c r="G32" s="617"/>
      <c r="H32" s="617">
        <f>SUM(I32,J32,K32)</f>
        <v>0</v>
      </c>
      <c r="I32" s="617"/>
      <c r="J32" s="617"/>
      <c r="K32" s="617"/>
      <c r="L32" s="617"/>
      <c r="M32" s="617"/>
      <c r="N32" s="617"/>
      <c r="O32" s="548"/>
      <c r="P32" s="613"/>
      <c r="Q32" s="124"/>
      <c r="R32" s="124"/>
    </row>
    <row r="33" spans="1:18" s="72" customFormat="1" ht="24" customHeight="1">
      <c r="A33" s="447"/>
      <c r="B33" s="442" t="s">
        <v>332</v>
      </c>
      <c r="C33" s="617"/>
      <c r="D33" s="617">
        <f>SUM(E33:H33,L33:N33)</f>
        <v>12663000</v>
      </c>
      <c r="E33" s="617"/>
      <c r="F33" s="617"/>
      <c r="G33" s="617"/>
      <c r="H33" s="617"/>
      <c r="I33" s="617"/>
      <c r="J33" s="617"/>
      <c r="K33" s="617"/>
      <c r="L33" s="617"/>
      <c r="M33" s="617">
        <v>12663000</v>
      </c>
      <c r="N33" s="617"/>
      <c r="O33" s="548"/>
      <c r="P33" s="613"/>
      <c r="Q33" s="124"/>
      <c r="R33" s="124"/>
    </row>
    <row r="34" spans="1:18" s="125" customFormat="1" ht="25.5" customHeight="1">
      <c r="A34" s="417">
        <v>2</v>
      </c>
      <c r="B34" s="439" t="s">
        <v>495</v>
      </c>
      <c r="C34" s="615">
        <f t="shared" ref="C34:N34" si="10">+C40+C35+C37</f>
        <v>83500000000</v>
      </c>
      <c r="D34" s="615">
        <f t="shared" si="10"/>
        <v>106958058000</v>
      </c>
      <c r="E34" s="615">
        <f t="shared" si="10"/>
        <v>32595624000</v>
      </c>
      <c r="F34" s="615">
        <f t="shared" si="10"/>
        <v>0</v>
      </c>
      <c r="G34" s="615">
        <f t="shared" si="10"/>
        <v>0</v>
      </c>
      <c r="H34" s="615">
        <f t="shared" si="10"/>
        <v>43630707000</v>
      </c>
      <c r="I34" s="615">
        <f t="shared" si="10"/>
        <v>38308229000</v>
      </c>
      <c r="J34" s="615">
        <f t="shared" si="10"/>
        <v>2634673000</v>
      </c>
      <c r="K34" s="615">
        <f t="shared" si="10"/>
        <v>2687805000</v>
      </c>
      <c r="L34" s="615">
        <f t="shared" si="10"/>
        <v>6194081000</v>
      </c>
      <c r="M34" s="615">
        <f>+M40+M35+M37</f>
        <v>16236000</v>
      </c>
      <c r="N34" s="615">
        <f t="shared" si="10"/>
        <v>24521410000</v>
      </c>
      <c r="O34" s="548">
        <f>D34/C34</f>
        <v>1.2809348263473055</v>
      </c>
      <c r="P34" s="613"/>
      <c r="Q34" s="614"/>
      <c r="R34" s="158"/>
    </row>
    <row r="35" spans="1:18" s="72" customFormat="1" ht="25.5" hidden="1" customHeight="1">
      <c r="A35" s="447" t="s">
        <v>263</v>
      </c>
      <c r="B35" s="621" t="s">
        <v>506</v>
      </c>
      <c r="C35" s="617">
        <f>C36</f>
        <v>0</v>
      </c>
      <c r="D35" s="617">
        <f t="shared" ref="D35:N35" si="11">D36</f>
        <v>0</v>
      </c>
      <c r="E35" s="617">
        <f t="shared" si="11"/>
        <v>0</v>
      </c>
      <c r="F35" s="617">
        <f t="shared" si="11"/>
        <v>0</v>
      </c>
      <c r="G35" s="617">
        <f t="shared" si="11"/>
        <v>0</v>
      </c>
      <c r="H35" s="617">
        <f t="shared" si="11"/>
        <v>0</v>
      </c>
      <c r="I35" s="617">
        <f t="shared" si="11"/>
        <v>0</v>
      </c>
      <c r="J35" s="617">
        <f t="shared" si="11"/>
        <v>0</v>
      </c>
      <c r="K35" s="617">
        <f t="shared" si="11"/>
        <v>0</v>
      </c>
      <c r="L35" s="617">
        <f t="shared" si="11"/>
        <v>0</v>
      </c>
      <c r="M35" s="617">
        <f t="shared" si="11"/>
        <v>0</v>
      </c>
      <c r="N35" s="617">
        <f t="shared" si="11"/>
        <v>0</v>
      </c>
      <c r="O35" s="550" t="e">
        <f t="shared" ref="O35:O41" si="12">D35/C35</f>
        <v>#DIV/0!</v>
      </c>
      <c r="P35" s="613"/>
      <c r="Q35" s="158"/>
      <c r="R35" s="158"/>
    </row>
    <row r="36" spans="1:18" s="72" customFormat="1" ht="25.5" hidden="1" customHeight="1">
      <c r="A36" s="447"/>
      <c r="B36" s="446" t="s">
        <v>401</v>
      </c>
      <c r="C36" s="617"/>
      <c r="D36" s="617">
        <f>SUM(E36:H36,M36:N36)</f>
        <v>0</v>
      </c>
      <c r="E36" s="617"/>
      <c r="F36" s="617"/>
      <c r="G36" s="617"/>
      <c r="H36" s="617">
        <f>SUM(I36,J36,K36)</f>
        <v>0</v>
      </c>
      <c r="I36" s="617"/>
      <c r="J36" s="617"/>
      <c r="K36" s="617"/>
      <c r="L36" s="617"/>
      <c r="M36" s="617"/>
      <c r="N36" s="617"/>
      <c r="O36" s="550" t="e">
        <f t="shared" si="12"/>
        <v>#DIV/0!</v>
      </c>
      <c r="P36" s="613"/>
      <c r="Q36" s="158"/>
      <c r="R36" s="158"/>
    </row>
    <row r="37" spans="1:18" s="72" customFormat="1" ht="24" customHeight="1">
      <c r="A37" s="447" t="s">
        <v>261</v>
      </c>
      <c r="B37" s="621" t="s">
        <v>507</v>
      </c>
      <c r="C37" s="617">
        <f t="shared" ref="C37:L37" si="13">C38+C39</f>
        <v>0</v>
      </c>
      <c r="D37" s="617">
        <f>D38+D39</f>
        <v>9957762000</v>
      </c>
      <c r="E37" s="617">
        <f t="shared" si="13"/>
        <v>0</v>
      </c>
      <c r="F37" s="617">
        <f t="shared" si="13"/>
        <v>0</v>
      </c>
      <c r="G37" s="617">
        <f t="shared" si="13"/>
        <v>0</v>
      </c>
      <c r="H37" s="617">
        <f t="shared" si="13"/>
        <v>1773017000</v>
      </c>
      <c r="I37" s="617">
        <f t="shared" si="13"/>
        <v>1773017000</v>
      </c>
      <c r="J37" s="617">
        <f t="shared" si="13"/>
        <v>0</v>
      </c>
      <c r="K37" s="617">
        <f t="shared" si="13"/>
        <v>0</v>
      </c>
      <c r="L37" s="617">
        <f t="shared" si="13"/>
        <v>6194081000</v>
      </c>
      <c r="M37" s="617">
        <f>M38+M39</f>
        <v>15940000</v>
      </c>
      <c r="N37" s="617">
        <f>N38+N39</f>
        <v>1974724000</v>
      </c>
      <c r="O37" s="550"/>
      <c r="P37" s="613"/>
      <c r="Q37" s="124"/>
      <c r="R37" s="124"/>
    </row>
    <row r="38" spans="1:18" s="72" customFormat="1" ht="24" customHeight="1">
      <c r="A38" s="447"/>
      <c r="B38" s="446" t="s">
        <v>401</v>
      </c>
      <c r="C38" s="617"/>
      <c r="D38" s="617">
        <f>SUM(E38:H38,L38:N38)</f>
        <v>9941822000</v>
      </c>
      <c r="E38" s="617"/>
      <c r="F38" s="617"/>
      <c r="G38" s="617"/>
      <c r="H38" s="617">
        <f>SUM(I38,J38,K38)</f>
        <v>1773017000</v>
      </c>
      <c r="I38" s="617">
        <v>1773017000</v>
      </c>
      <c r="J38" s="617"/>
      <c r="K38" s="617"/>
      <c r="L38" s="617">
        <v>6194081000</v>
      </c>
      <c r="M38" s="617"/>
      <c r="N38" s="617">
        <v>1974724000</v>
      </c>
      <c r="O38" s="550"/>
      <c r="P38" s="613"/>
      <c r="Q38" s="124"/>
      <c r="R38" s="124"/>
    </row>
    <row r="39" spans="1:18" s="72" customFormat="1" ht="25.5" customHeight="1">
      <c r="A39" s="447"/>
      <c r="B39" s="446" t="s">
        <v>332</v>
      </c>
      <c r="C39" s="617"/>
      <c r="D39" s="617">
        <f>SUM(E39:H39,L39:N39)</f>
        <v>15940000</v>
      </c>
      <c r="E39" s="617"/>
      <c r="F39" s="617"/>
      <c r="G39" s="617"/>
      <c r="H39" s="617">
        <f>SUM(I39,J39,K39)</f>
        <v>0</v>
      </c>
      <c r="I39" s="617"/>
      <c r="J39" s="617"/>
      <c r="K39" s="617"/>
      <c r="L39" s="617"/>
      <c r="M39" s="617">
        <v>15940000</v>
      </c>
      <c r="N39" s="617"/>
      <c r="O39" s="550"/>
      <c r="P39" s="613"/>
      <c r="Q39" s="158"/>
      <c r="R39" s="124"/>
    </row>
    <row r="40" spans="1:18" s="72" customFormat="1" ht="39" customHeight="1">
      <c r="A40" s="447" t="s">
        <v>263</v>
      </c>
      <c r="B40" s="622" t="s">
        <v>509</v>
      </c>
      <c r="C40" s="617">
        <f t="shared" ref="C40:L40" si="14">SUM(C41:C42)</f>
        <v>83500000000</v>
      </c>
      <c r="D40" s="617">
        <f t="shared" si="14"/>
        <v>97000296000</v>
      </c>
      <c r="E40" s="617">
        <f t="shared" si="14"/>
        <v>32595624000</v>
      </c>
      <c r="F40" s="617">
        <f t="shared" si="14"/>
        <v>0</v>
      </c>
      <c r="G40" s="617">
        <f t="shared" si="14"/>
        <v>0</v>
      </c>
      <c r="H40" s="617">
        <f t="shared" si="14"/>
        <v>41857690000</v>
      </c>
      <c r="I40" s="617">
        <f t="shared" si="14"/>
        <v>36535212000</v>
      </c>
      <c r="J40" s="617">
        <f t="shared" si="14"/>
        <v>2634673000</v>
      </c>
      <c r="K40" s="617">
        <f t="shared" si="14"/>
        <v>2687805000</v>
      </c>
      <c r="L40" s="617">
        <f t="shared" si="14"/>
        <v>0</v>
      </c>
      <c r="M40" s="617">
        <f>SUM(M41:M42)</f>
        <v>296000</v>
      </c>
      <c r="N40" s="617">
        <f>SUM(N41:N42)</f>
        <v>22546686000</v>
      </c>
      <c r="O40" s="550">
        <f t="shared" si="12"/>
        <v>1.1616801916167665</v>
      </c>
      <c r="P40" s="613"/>
      <c r="Q40" s="158"/>
      <c r="R40" s="158"/>
    </row>
    <row r="41" spans="1:18" s="72" customFormat="1" ht="25.5" customHeight="1">
      <c r="A41" s="447"/>
      <c r="B41" s="446" t="s">
        <v>401</v>
      </c>
      <c r="C41" s="617">
        <v>83500000000</v>
      </c>
      <c r="D41" s="617">
        <f>SUM(E41:H41,L41:N41)</f>
        <v>97000000000</v>
      </c>
      <c r="E41" s="617">
        <v>32595624000</v>
      </c>
      <c r="F41" s="617"/>
      <c r="G41" s="617"/>
      <c r="H41" s="617">
        <f>SUM(I41,J41,K41)</f>
        <v>41857690000</v>
      </c>
      <c r="I41" s="617">
        <v>36535212000</v>
      </c>
      <c r="J41" s="617">
        <v>2634673000</v>
      </c>
      <c r="K41" s="617">
        <v>2687805000</v>
      </c>
      <c r="L41" s="617"/>
      <c r="M41" s="617"/>
      <c r="N41" s="617">
        <v>22546686000</v>
      </c>
      <c r="O41" s="550">
        <f t="shared" si="12"/>
        <v>1.1616766467065869</v>
      </c>
      <c r="P41" s="613"/>
      <c r="Q41" s="158"/>
      <c r="R41" s="158"/>
    </row>
    <row r="42" spans="1:18" s="72" customFormat="1" ht="25.5" customHeight="1">
      <c r="A42" s="447"/>
      <c r="B42" s="446" t="s">
        <v>332</v>
      </c>
      <c r="C42" s="617"/>
      <c r="D42" s="617">
        <f>SUM(E42:H42,L42:N42)</f>
        <v>296000</v>
      </c>
      <c r="E42" s="617"/>
      <c r="F42" s="617"/>
      <c r="G42" s="617"/>
      <c r="H42" s="617">
        <f>SUM(I42,J42,K42)</f>
        <v>0</v>
      </c>
      <c r="I42" s="617"/>
      <c r="J42" s="617"/>
      <c r="K42" s="617"/>
      <c r="L42" s="617"/>
      <c r="M42" s="617">
        <f>+'B54-chi tiết'!EZ93</f>
        <v>296000</v>
      </c>
      <c r="N42" s="617"/>
      <c r="O42" s="550"/>
      <c r="P42" s="613"/>
      <c r="Q42" s="158"/>
      <c r="R42" s="124"/>
    </row>
    <row r="43" spans="1:18" s="125" customFormat="1" ht="35.25" customHeight="1">
      <c r="A43" s="417" t="s">
        <v>13</v>
      </c>
      <c r="B43" s="619" t="s">
        <v>481</v>
      </c>
      <c r="C43" s="615">
        <f>SUM(C45:C46)</f>
        <v>0</v>
      </c>
      <c r="D43" s="615">
        <f>D44</f>
        <v>0</v>
      </c>
      <c r="E43" s="615">
        <f t="shared" ref="E43:N44" si="15">E44</f>
        <v>0</v>
      </c>
      <c r="F43" s="615">
        <f t="shared" si="15"/>
        <v>0</v>
      </c>
      <c r="G43" s="615">
        <f t="shared" si="15"/>
        <v>0</v>
      </c>
      <c r="H43" s="615">
        <f t="shared" si="15"/>
        <v>0</v>
      </c>
      <c r="I43" s="615">
        <f t="shared" si="15"/>
        <v>0</v>
      </c>
      <c r="J43" s="615">
        <f t="shared" si="15"/>
        <v>0</v>
      </c>
      <c r="K43" s="615">
        <f t="shared" si="15"/>
        <v>0</v>
      </c>
      <c r="L43" s="615">
        <f t="shared" si="15"/>
        <v>0</v>
      </c>
      <c r="M43" s="615">
        <f t="shared" si="15"/>
        <v>0</v>
      </c>
      <c r="N43" s="615">
        <f t="shared" si="15"/>
        <v>0</v>
      </c>
      <c r="O43" s="550"/>
      <c r="P43" s="613"/>
      <c r="Q43" s="614"/>
      <c r="R43" s="158"/>
    </row>
    <row r="44" spans="1:18" s="125" customFormat="1" ht="25.5" customHeight="1">
      <c r="A44" s="417">
        <v>1</v>
      </c>
      <c r="B44" s="439" t="s">
        <v>501</v>
      </c>
      <c r="C44" s="615"/>
      <c r="D44" s="615">
        <f>D45</f>
        <v>0</v>
      </c>
      <c r="E44" s="615">
        <f t="shared" si="15"/>
        <v>0</v>
      </c>
      <c r="F44" s="615">
        <f t="shared" si="15"/>
        <v>0</v>
      </c>
      <c r="G44" s="615">
        <f t="shared" si="15"/>
        <v>0</v>
      </c>
      <c r="H44" s="615">
        <f t="shared" si="15"/>
        <v>0</v>
      </c>
      <c r="I44" s="615">
        <f t="shared" si="15"/>
        <v>0</v>
      </c>
      <c r="J44" s="615">
        <f t="shared" si="15"/>
        <v>0</v>
      </c>
      <c r="K44" s="615">
        <f t="shared" si="15"/>
        <v>0</v>
      </c>
      <c r="L44" s="615">
        <f t="shared" si="15"/>
        <v>0</v>
      </c>
      <c r="M44" s="615">
        <f t="shared" si="15"/>
        <v>0</v>
      </c>
      <c r="N44" s="615">
        <f t="shared" si="15"/>
        <v>0</v>
      </c>
      <c r="O44" s="550"/>
      <c r="P44" s="613"/>
      <c r="Q44" s="614"/>
      <c r="R44" s="158"/>
    </row>
    <row r="45" spans="1:18" s="72" customFormat="1" ht="25.5" customHeight="1">
      <c r="A45" s="623"/>
      <c r="B45" s="624" t="s">
        <v>401</v>
      </c>
      <c r="C45" s="625"/>
      <c r="D45" s="625">
        <f>SUM(E45:H45,L45:N45)</f>
        <v>0</v>
      </c>
      <c r="E45" s="625"/>
      <c r="F45" s="625"/>
      <c r="G45" s="625"/>
      <c r="H45" s="625">
        <f>SUM(I45,J45,K45)</f>
        <v>0</v>
      </c>
      <c r="I45" s="625"/>
      <c r="J45" s="625"/>
      <c r="K45" s="625"/>
      <c r="L45" s="625"/>
      <c r="M45" s="625"/>
      <c r="N45" s="625"/>
      <c r="O45" s="555"/>
      <c r="P45" s="613"/>
      <c r="Q45" s="158"/>
      <c r="R45" s="124"/>
    </row>
    <row r="46" spans="1:18" s="72" customFormat="1" ht="25.5" hidden="1" customHeight="1">
      <c r="A46" s="80"/>
      <c r="B46" s="626" t="s">
        <v>498</v>
      </c>
      <c r="C46" s="627"/>
      <c r="D46" s="627">
        <f>SUM(E46:H46,M46:N46)</f>
        <v>0</v>
      </c>
      <c r="E46" s="627"/>
      <c r="F46" s="627"/>
      <c r="G46" s="627"/>
      <c r="H46" s="627">
        <f>SUM(I46,J46,K46)</f>
        <v>0</v>
      </c>
      <c r="I46" s="627"/>
      <c r="J46" s="627"/>
      <c r="K46" s="627"/>
      <c r="L46" s="627"/>
      <c r="M46" s="627"/>
      <c r="N46" s="627"/>
      <c r="O46" s="628"/>
      <c r="P46" s="629"/>
      <c r="Q46" s="124"/>
      <c r="R46" s="124"/>
    </row>
    <row r="47" spans="1:18" s="72" customFormat="1" ht="15">
      <c r="D47" s="73"/>
    </row>
    <row r="48" spans="1:18" s="72" customFormat="1" ht="15">
      <c r="D48" s="73"/>
    </row>
    <row r="49" spans="1:16" s="47" customFormat="1" ht="12.75"/>
    <row r="50" spans="1:16" s="47" customFormat="1" ht="12.75"/>
    <row r="51" spans="1:16" s="47" customFormat="1" ht="12.75"/>
    <row r="52" spans="1:16" s="47" customFormat="1" ht="22.5" customHeight="1"/>
    <row r="53" spans="1:16" s="47" customFormat="1" ht="12.75"/>
    <row r="54" spans="1:16" s="47" customFormat="1" ht="12.75"/>
    <row r="55" spans="1:16" ht="18.75">
      <c r="A55" s="5"/>
      <c r="B55" s="5"/>
      <c r="C55" s="5"/>
      <c r="D55" s="5"/>
      <c r="E55" s="5"/>
      <c r="F55" s="5"/>
      <c r="G55" s="5"/>
      <c r="H55" s="5"/>
      <c r="I55" s="5"/>
      <c r="J55" s="5"/>
      <c r="K55" s="5"/>
      <c r="L55" s="5"/>
      <c r="M55" s="5"/>
      <c r="N55" s="5"/>
      <c r="O55" s="5"/>
      <c r="P55" s="5"/>
    </row>
    <row r="56" spans="1:16" ht="18.75">
      <c r="A56" s="5"/>
      <c r="B56" s="5"/>
      <c r="C56" s="5"/>
      <c r="D56" s="5"/>
      <c r="E56" s="5"/>
      <c r="F56" s="5"/>
      <c r="G56" s="5"/>
      <c r="H56" s="5"/>
      <c r="I56" s="5"/>
      <c r="J56" s="5"/>
      <c r="K56" s="5"/>
      <c r="L56" s="5"/>
      <c r="M56" s="5"/>
      <c r="N56" s="5"/>
      <c r="O56" s="5"/>
      <c r="P56" s="5"/>
    </row>
    <row r="57" spans="1:16" ht="18.75">
      <c r="A57" s="5"/>
      <c r="B57" s="5"/>
      <c r="C57" s="5"/>
      <c r="D57" s="5"/>
      <c r="E57" s="5"/>
      <c r="F57" s="5"/>
      <c r="G57" s="5"/>
      <c r="H57" s="5"/>
      <c r="I57" s="5"/>
      <c r="J57" s="5"/>
      <c r="K57" s="5"/>
      <c r="L57" s="5"/>
      <c r="M57" s="5"/>
      <c r="N57" s="5"/>
      <c r="O57" s="5"/>
      <c r="P57" s="5"/>
    </row>
    <row r="58" spans="1:16" ht="18.75">
      <c r="C58" s="5"/>
    </row>
    <row r="59" spans="1:16" ht="18.75">
      <c r="C59" s="5"/>
    </row>
    <row r="60" spans="1:16">
      <c r="C60" s="219"/>
    </row>
  </sheetData>
  <mergeCells count="16">
    <mergeCell ref="O6:O9"/>
    <mergeCell ref="G6:G9"/>
    <mergeCell ref="N6:N9"/>
    <mergeCell ref="M6:M9"/>
    <mergeCell ref="I7:I9"/>
    <mergeCell ref="J7:J9"/>
    <mergeCell ref="K7:K9"/>
    <mergeCell ref="I6:K6"/>
    <mergeCell ref="H6:H9"/>
    <mergeCell ref="L6:L9"/>
    <mergeCell ref="F6:F9"/>
    <mergeCell ref="A6:A9"/>
    <mergeCell ref="C6:C9"/>
    <mergeCell ref="D6:D9"/>
    <mergeCell ref="E6:E9"/>
    <mergeCell ref="B6:B9"/>
  </mergeCells>
  <phoneticPr fontId="16" type="noConversion"/>
  <pageMargins left="0.27559055118110198" right="0" top="0.511811023622047" bottom="0.44488189" header="0" footer="0.23622047244094499"/>
  <pageSetup paperSize="9" scale="64"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FFFF00"/>
    <pageSetUpPr fitToPage="1"/>
  </sheetPr>
  <dimension ref="A1:AA69"/>
  <sheetViews>
    <sheetView view="pageBreakPreview" zoomScaleNormal="100" zoomScaleSheetLayoutView="100" workbookViewId="0">
      <pane xSplit="4" ySplit="10" topLeftCell="E11" activePane="bottomRight" state="frozen"/>
      <selection pane="topRight" activeCell="E1" sqref="E1"/>
      <selection pane="bottomLeft" activeCell="A11" sqref="A11"/>
      <selection pane="bottomRight" activeCell="A5" sqref="A1:AA67"/>
    </sheetView>
  </sheetViews>
  <sheetFormatPr defaultColWidth="9" defaultRowHeight="15.75"/>
  <cols>
    <col min="1" max="1" width="4.375" style="48" customWidth="1"/>
    <col min="2" max="2" width="19.375" style="48" customWidth="1"/>
    <col min="3" max="4" width="11.125" style="48" customWidth="1"/>
    <col min="5" max="5" width="10.75" style="48" customWidth="1"/>
    <col min="6" max="6" width="8.375" style="48" customWidth="1"/>
    <col min="7" max="7" width="9.5" style="48" customWidth="1"/>
    <col min="8" max="9" width="9.375" style="48" customWidth="1"/>
    <col min="10" max="11" width="9.5" style="48" customWidth="1"/>
    <col min="12" max="12" width="8.5" style="48" customWidth="1"/>
    <col min="13" max="13" width="9.5" style="48" customWidth="1"/>
    <col min="14" max="14" width="10.75" style="48" customWidth="1"/>
    <col min="15" max="15" width="10.125" style="48" customWidth="1"/>
    <col min="16" max="16" width="10.25" style="48" customWidth="1"/>
    <col min="17" max="17" width="10.375" style="48" customWidth="1"/>
    <col min="18" max="18" width="10.25" style="48" customWidth="1"/>
    <col min="19" max="19" width="10.5" style="48" customWidth="1"/>
    <col min="20" max="20" width="8.375" style="48" customWidth="1"/>
    <col min="21" max="21" width="9.5" style="48" customWidth="1"/>
    <col min="22" max="22" width="10.875" style="48" customWidth="1"/>
    <col min="23" max="23" width="6.5" style="48" customWidth="1"/>
    <col min="24" max="24" width="8.875" style="48" hidden="1" customWidth="1"/>
    <col min="25" max="25" width="12.375" style="76" hidden="1" customWidth="1"/>
    <col min="26" max="26" width="12.5" style="76" hidden="1" customWidth="1"/>
    <col min="27" max="27" width="9.875" style="48" hidden="1" customWidth="1"/>
    <col min="28" max="16384" width="9" style="48"/>
  </cols>
  <sheetData>
    <row r="1" spans="1:27" ht="18.75" customHeight="1">
      <c r="A1" s="428"/>
      <c r="B1" s="428"/>
      <c r="C1" s="429"/>
      <c r="D1" s="429"/>
      <c r="E1" s="429"/>
      <c r="F1" s="429"/>
      <c r="G1" s="429"/>
      <c r="H1" s="430"/>
      <c r="I1" s="430"/>
      <c r="J1" s="430"/>
      <c r="K1" s="604"/>
      <c r="L1" s="88"/>
      <c r="M1" s="604"/>
      <c r="N1" s="604"/>
      <c r="O1" s="429"/>
      <c r="P1" s="429"/>
      <c r="Q1" s="429"/>
      <c r="R1" s="603"/>
      <c r="S1" s="603"/>
      <c r="T1" s="604"/>
      <c r="U1" s="603"/>
      <c r="V1" s="630" t="s">
        <v>206</v>
      </c>
      <c r="W1" s="604"/>
      <c r="X1" s="604"/>
      <c r="Y1" s="631"/>
      <c r="Z1" s="631"/>
      <c r="AA1" s="604"/>
    </row>
    <row r="2" spans="1:27" ht="24" customHeight="1">
      <c r="A2" s="1028" t="s">
        <v>741</v>
      </c>
      <c r="B2" s="1028"/>
      <c r="C2" s="1028"/>
      <c r="D2" s="1028"/>
      <c r="E2" s="1028"/>
      <c r="F2" s="1028"/>
      <c r="G2" s="1028"/>
      <c r="H2" s="1028"/>
      <c r="I2" s="1028"/>
      <c r="J2" s="1028"/>
      <c r="K2" s="1028"/>
      <c r="L2" s="1028"/>
      <c r="M2" s="1028"/>
      <c r="N2" s="1028"/>
      <c r="O2" s="1028"/>
      <c r="P2" s="1028"/>
      <c r="Q2" s="1028"/>
      <c r="R2" s="1028"/>
      <c r="S2" s="1028"/>
      <c r="T2" s="1028"/>
      <c r="U2" s="1028"/>
      <c r="V2" s="1028"/>
      <c r="W2" s="1028"/>
      <c r="X2" s="632"/>
      <c r="Y2" s="631"/>
      <c r="Z2" s="631"/>
      <c r="AA2" s="604"/>
    </row>
    <row r="3" spans="1:27" ht="21" customHeight="1">
      <c r="A3" s="1029" t="str">
        <f>'B48'!A3</f>
        <v>(Kèm theo Báo cáo số  289/BC-UBND ngày  17 /6 /2024 của UBND huyện Tuần Giáo)</v>
      </c>
      <c r="B3" s="1029"/>
      <c r="C3" s="1029"/>
      <c r="D3" s="1029"/>
      <c r="E3" s="1029"/>
      <c r="F3" s="1029"/>
      <c r="G3" s="1029"/>
      <c r="H3" s="1029"/>
      <c r="I3" s="1029"/>
      <c r="J3" s="1029"/>
      <c r="K3" s="1029"/>
      <c r="L3" s="1029"/>
      <c r="M3" s="1029"/>
      <c r="N3" s="1029"/>
      <c r="O3" s="1029"/>
      <c r="P3" s="1029"/>
      <c r="Q3" s="1029"/>
      <c r="R3" s="1029"/>
      <c r="S3" s="1029"/>
      <c r="T3" s="1029"/>
      <c r="U3" s="1029"/>
      <c r="V3" s="1029"/>
      <c r="W3" s="1029"/>
      <c r="X3" s="633"/>
      <c r="Y3" s="631"/>
      <c r="Z3" s="631"/>
      <c r="AA3" s="604"/>
    </row>
    <row r="4" spans="1:27" ht="22.5" customHeight="1">
      <c r="A4" s="433"/>
      <c r="B4" s="634"/>
      <c r="C4" s="631"/>
      <c r="D4" s="631"/>
      <c r="E4" s="545"/>
      <c r="F4" s="545"/>
      <c r="G4" s="545"/>
      <c r="H4" s="635"/>
      <c r="I4" s="635"/>
      <c r="J4" s="635"/>
      <c r="K4" s="604"/>
      <c r="L4" s="636"/>
      <c r="M4" s="637"/>
      <c r="N4" s="635"/>
      <c r="O4" s="635"/>
      <c r="P4" s="635"/>
      <c r="Q4" s="635"/>
      <c r="R4" s="635"/>
      <c r="S4" s="604"/>
      <c r="T4" s="604"/>
      <c r="U4" s="638"/>
      <c r="V4" s="639" t="s">
        <v>201</v>
      </c>
      <c r="W4" s="604"/>
      <c r="X4" s="604"/>
      <c r="Y4" s="631"/>
      <c r="Z4" s="631"/>
      <c r="AA4" s="604"/>
    </row>
    <row r="5" spans="1:27" s="47" customFormat="1" ht="18.75" customHeight="1">
      <c r="A5" s="1023" t="s">
        <v>51</v>
      </c>
      <c r="B5" s="1027" t="s">
        <v>22</v>
      </c>
      <c r="C5" s="1023" t="s">
        <v>2</v>
      </c>
      <c r="D5" s="1023" t="s">
        <v>50</v>
      </c>
      <c r="E5" s="1023" t="s">
        <v>55</v>
      </c>
      <c r="F5" s="1023" t="s">
        <v>33</v>
      </c>
      <c r="G5" s="1023" t="s">
        <v>95</v>
      </c>
      <c r="H5" s="1023" t="s">
        <v>96</v>
      </c>
      <c r="I5" s="1023" t="s">
        <v>97</v>
      </c>
      <c r="J5" s="1023" t="s">
        <v>98</v>
      </c>
      <c r="K5" s="1023" t="s">
        <v>99</v>
      </c>
      <c r="L5" s="1023" t="s">
        <v>100</v>
      </c>
      <c r="M5" s="1023" t="s">
        <v>101</v>
      </c>
      <c r="N5" s="1024" t="s">
        <v>102</v>
      </c>
      <c r="O5" s="1025"/>
      <c r="P5" s="1025"/>
      <c r="Q5" s="1026"/>
      <c r="R5" s="1023" t="s">
        <v>103</v>
      </c>
      <c r="S5" s="1023" t="s">
        <v>104</v>
      </c>
      <c r="T5" s="1023" t="s">
        <v>158</v>
      </c>
      <c r="U5" s="1023" t="s">
        <v>510</v>
      </c>
      <c r="V5" s="1023" t="s">
        <v>273</v>
      </c>
      <c r="W5" s="1023" t="s">
        <v>75</v>
      </c>
      <c r="X5" s="170"/>
      <c r="Y5" s="631"/>
      <c r="Z5" s="631"/>
      <c r="AA5" s="359"/>
    </row>
    <row r="6" spans="1:27" s="47" customFormat="1" ht="13.5" customHeight="1">
      <c r="A6" s="1027"/>
      <c r="B6" s="1027"/>
      <c r="C6" s="1023"/>
      <c r="D6" s="1023"/>
      <c r="E6" s="1023"/>
      <c r="F6" s="1023"/>
      <c r="G6" s="1023"/>
      <c r="H6" s="1023"/>
      <c r="I6" s="1023"/>
      <c r="J6" s="1023"/>
      <c r="K6" s="1023"/>
      <c r="L6" s="1023"/>
      <c r="M6" s="1023"/>
      <c r="N6" s="1030" t="s">
        <v>298</v>
      </c>
      <c r="O6" s="1022" t="s">
        <v>204</v>
      </c>
      <c r="P6" s="1022" t="s">
        <v>205</v>
      </c>
      <c r="Q6" s="1022" t="s">
        <v>160</v>
      </c>
      <c r="R6" s="1023"/>
      <c r="S6" s="1023"/>
      <c r="T6" s="1023"/>
      <c r="U6" s="1023"/>
      <c r="V6" s="1023"/>
      <c r="W6" s="1023"/>
      <c r="X6" s="170"/>
      <c r="Y6" s="631"/>
      <c r="Z6" s="631"/>
      <c r="AA6" s="359"/>
    </row>
    <row r="7" spans="1:27" s="47" customFormat="1" ht="13.5" customHeight="1">
      <c r="A7" s="1027"/>
      <c r="B7" s="1027"/>
      <c r="C7" s="1023"/>
      <c r="D7" s="1023"/>
      <c r="E7" s="1023"/>
      <c r="F7" s="1023"/>
      <c r="G7" s="1023"/>
      <c r="H7" s="1023"/>
      <c r="I7" s="1023"/>
      <c r="J7" s="1023"/>
      <c r="K7" s="1023"/>
      <c r="L7" s="1023"/>
      <c r="M7" s="1023"/>
      <c r="N7" s="1031"/>
      <c r="O7" s="1023"/>
      <c r="P7" s="1023"/>
      <c r="Q7" s="1023"/>
      <c r="R7" s="1023"/>
      <c r="S7" s="1023"/>
      <c r="T7" s="1023"/>
      <c r="U7" s="1023"/>
      <c r="V7" s="1023"/>
      <c r="W7" s="1023"/>
      <c r="X7" s="170"/>
      <c r="Y7" s="631"/>
      <c r="Z7" s="631"/>
      <c r="AA7" s="359"/>
    </row>
    <row r="8" spans="1:27" s="47" customFormat="1" ht="20.25" customHeight="1">
      <c r="A8" s="1027"/>
      <c r="B8" s="1027"/>
      <c r="C8" s="1023"/>
      <c r="D8" s="1023"/>
      <c r="E8" s="1023"/>
      <c r="F8" s="1023"/>
      <c r="G8" s="1023"/>
      <c r="H8" s="1023"/>
      <c r="I8" s="1023"/>
      <c r="J8" s="1023"/>
      <c r="K8" s="1023"/>
      <c r="L8" s="1023"/>
      <c r="M8" s="1023"/>
      <c r="N8" s="1022"/>
      <c r="O8" s="1023"/>
      <c r="P8" s="1023"/>
      <c r="Q8" s="1023"/>
      <c r="R8" s="1023"/>
      <c r="S8" s="1023"/>
      <c r="T8" s="1023"/>
      <c r="U8" s="1023"/>
      <c r="V8" s="1023"/>
      <c r="W8" s="1023"/>
      <c r="X8" s="323" t="s">
        <v>2</v>
      </c>
      <c r="Y8" s="631">
        <v>801093000000</v>
      </c>
      <c r="Z8" s="631">
        <f>+C10+'B55'!C11</f>
        <v>801093000000</v>
      </c>
      <c r="AA8" s="631">
        <f>Y8-Z8</f>
        <v>0</v>
      </c>
    </row>
    <row r="9" spans="1:27" s="77" customFormat="1" ht="12.75" customHeight="1">
      <c r="A9" s="52" t="s">
        <v>3</v>
      </c>
      <c r="B9" s="52" t="s">
        <v>4</v>
      </c>
      <c r="C9" s="52">
        <v>1</v>
      </c>
      <c r="D9" s="218" t="s">
        <v>552</v>
      </c>
      <c r="E9" s="75">
        <v>3</v>
      </c>
      <c r="F9" s="75">
        <f>E9+1</f>
        <v>4</v>
      </c>
      <c r="G9" s="75">
        <f t="shared" ref="G9:M9" si="0">F9+1</f>
        <v>5</v>
      </c>
      <c r="H9" s="75">
        <f t="shared" si="0"/>
        <v>6</v>
      </c>
      <c r="I9" s="75">
        <f t="shared" si="0"/>
        <v>7</v>
      </c>
      <c r="J9" s="75">
        <f t="shared" si="0"/>
        <v>8</v>
      </c>
      <c r="K9" s="75">
        <f t="shared" si="0"/>
        <v>9</v>
      </c>
      <c r="L9" s="75">
        <f t="shared" si="0"/>
        <v>10</v>
      </c>
      <c r="M9" s="75">
        <f t="shared" si="0"/>
        <v>11</v>
      </c>
      <c r="N9" s="75" t="s">
        <v>551</v>
      </c>
      <c r="O9" s="75">
        <v>13</v>
      </c>
      <c r="P9" s="75">
        <f t="shared" ref="P9:V9" si="1">O9+1</f>
        <v>14</v>
      </c>
      <c r="Q9" s="75">
        <f t="shared" si="1"/>
        <v>15</v>
      </c>
      <c r="R9" s="75">
        <f t="shared" si="1"/>
        <v>16</v>
      </c>
      <c r="S9" s="75">
        <f t="shared" si="1"/>
        <v>17</v>
      </c>
      <c r="T9" s="75">
        <f t="shared" si="1"/>
        <v>18</v>
      </c>
      <c r="U9" s="75">
        <f t="shared" si="1"/>
        <v>19</v>
      </c>
      <c r="V9" s="75">
        <f t="shared" si="1"/>
        <v>20</v>
      </c>
      <c r="W9" s="52" t="s">
        <v>554</v>
      </c>
      <c r="X9" s="322" t="s">
        <v>750</v>
      </c>
      <c r="Y9" s="631">
        <v>828856333298</v>
      </c>
      <c r="Z9" s="321">
        <f>+D10+'B55'!D11-Z10-Z11</f>
        <v>828856333298</v>
      </c>
      <c r="AA9" s="631">
        <f>Y9-Z9</f>
        <v>0</v>
      </c>
    </row>
    <row r="10" spans="1:27" s="78" customFormat="1" ht="19.5" customHeight="1">
      <c r="A10" s="640"/>
      <c r="B10" s="641" t="s">
        <v>21</v>
      </c>
      <c r="C10" s="642">
        <f t="shared" ref="C10:V10" si="2">C11+C37+C63</f>
        <v>683425000000</v>
      </c>
      <c r="D10" s="642">
        <f t="shared" si="2"/>
        <v>804765691856</v>
      </c>
      <c r="E10" s="642">
        <f t="shared" si="2"/>
        <v>463905913003</v>
      </c>
      <c r="F10" s="642">
        <f t="shared" si="2"/>
        <v>315080670</v>
      </c>
      <c r="G10" s="642">
        <f t="shared" si="2"/>
        <v>6991600000</v>
      </c>
      <c r="H10" s="642">
        <f t="shared" si="2"/>
        <v>3344020000</v>
      </c>
      <c r="I10" s="642">
        <f t="shared" si="2"/>
        <v>1980721400</v>
      </c>
      <c r="J10" s="642">
        <f t="shared" si="2"/>
        <v>6136964020</v>
      </c>
      <c r="K10" s="642">
        <f t="shared" si="2"/>
        <v>3658549728</v>
      </c>
      <c r="L10" s="642">
        <f t="shared" si="2"/>
        <v>616506600</v>
      </c>
      <c r="M10" s="642">
        <f t="shared" si="2"/>
        <v>4420850000</v>
      </c>
      <c r="N10" s="642">
        <f t="shared" si="2"/>
        <v>108000102423</v>
      </c>
      <c r="O10" s="642">
        <f t="shared" si="2"/>
        <v>36666092000</v>
      </c>
      <c r="P10" s="642">
        <f t="shared" si="2"/>
        <v>56608836824</v>
      </c>
      <c r="Q10" s="642">
        <f t="shared" si="2"/>
        <v>14725173599</v>
      </c>
      <c r="R10" s="642">
        <f t="shared" si="2"/>
        <v>44460431779</v>
      </c>
      <c r="S10" s="642">
        <f t="shared" si="2"/>
        <v>55635717266</v>
      </c>
      <c r="T10" s="642">
        <f t="shared" si="2"/>
        <v>170000000</v>
      </c>
      <c r="U10" s="642">
        <f t="shared" si="2"/>
        <v>2159588306</v>
      </c>
      <c r="V10" s="642">
        <f t="shared" si="2"/>
        <v>102969646661</v>
      </c>
      <c r="W10" s="643">
        <f t="shared" ref="W10:W65" si="3">D10/C10</f>
        <v>1.1775479267747009</v>
      </c>
      <c r="X10" s="644" t="s">
        <v>751</v>
      </c>
      <c r="Y10" s="631">
        <v>2800486306</v>
      </c>
      <c r="Z10" s="631">
        <f>+'B55'!M11+'B56'!U10</f>
        <v>2800486306</v>
      </c>
      <c r="AA10" s="631">
        <f>Y10-Z10</f>
        <v>0</v>
      </c>
    </row>
    <row r="11" spans="1:27" s="78" customFormat="1" ht="18" customHeight="1">
      <c r="A11" s="645" t="s">
        <v>11</v>
      </c>
      <c r="B11" s="646" t="s">
        <v>504</v>
      </c>
      <c r="C11" s="647">
        <f t="shared" ref="C11:V11" si="4">SUM(C12:C36)</f>
        <v>607667000000</v>
      </c>
      <c r="D11" s="647">
        <f>SUM(D12:D36)</f>
        <v>662263311604</v>
      </c>
      <c r="E11" s="647">
        <f t="shared" si="4"/>
        <v>460090236627</v>
      </c>
      <c r="F11" s="647">
        <f t="shared" si="4"/>
        <v>315080670</v>
      </c>
      <c r="G11" s="647">
        <f t="shared" si="4"/>
        <v>6991600000</v>
      </c>
      <c r="H11" s="647">
        <f t="shared" si="4"/>
        <v>3249020000</v>
      </c>
      <c r="I11" s="647">
        <f t="shared" si="4"/>
        <v>184571400</v>
      </c>
      <c r="J11" s="647">
        <f t="shared" si="4"/>
        <v>1652350420</v>
      </c>
      <c r="K11" s="647">
        <f t="shared" si="4"/>
        <v>3658549728</v>
      </c>
      <c r="L11" s="647">
        <f t="shared" si="4"/>
        <v>616506600</v>
      </c>
      <c r="M11" s="647">
        <f t="shared" si="4"/>
        <v>4420850000</v>
      </c>
      <c r="N11" s="647">
        <f t="shared" si="4"/>
        <v>58938599076</v>
      </c>
      <c r="O11" s="647">
        <f t="shared" si="4"/>
        <v>28335963000</v>
      </c>
      <c r="P11" s="647">
        <f t="shared" si="4"/>
        <v>21724337277</v>
      </c>
      <c r="Q11" s="647">
        <f t="shared" si="4"/>
        <v>8878298799</v>
      </c>
      <c r="R11" s="647">
        <f t="shared" si="4"/>
        <v>44460431779</v>
      </c>
      <c r="S11" s="647">
        <f t="shared" si="4"/>
        <v>55040331576</v>
      </c>
      <c r="T11" s="647">
        <f t="shared" si="4"/>
        <v>170000000</v>
      </c>
      <c r="U11" s="647">
        <f t="shared" si="4"/>
        <v>2152921806</v>
      </c>
      <c r="V11" s="647">
        <f t="shared" si="4"/>
        <v>20322261922</v>
      </c>
      <c r="W11" s="648">
        <f t="shared" si="3"/>
        <v>1.0898457734318303</v>
      </c>
      <c r="X11" s="644" t="s">
        <v>752</v>
      </c>
      <c r="Y11" s="631">
        <v>133115684926</v>
      </c>
      <c r="Z11" s="631">
        <f>+'B55'!N11+'B56'!V10</f>
        <v>133115684926</v>
      </c>
      <c r="AA11" s="631">
        <f>Y11-Z11</f>
        <v>0</v>
      </c>
    </row>
    <row r="12" spans="1:27" s="78" customFormat="1" ht="18" customHeight="1">
      <c r="A12" s="649">
        <v>1</v>
      </c>
      <c r="B12" s="650" t="s">
        <v>185</v>
      </c>
      <c r="C12" s="651">
        <v>8107000000</v>
      </c>
      <c r="D12" s="651">
        <f>SUM(E12:N12,R12:V12)</f>
        <v>9684375287</v>
      </c>
      <c r="E12" s="651">
        <v>45005000</v>
      </c>
      <c r="F12" s="651"/>
      <c r="G12" s="651"/>
      <c r="H12" s="651"/>
      <c r="I12" s="651">
        <v>184571400</v>
      </c>
      <c r="J12" s="651"/>
      <c r="K12" s="651"/>
      <c r="L12" s="651"/>
      <c r="M12" s="651"/>
      <c r="N12" s="651">
        <f t="shared" ref="N12:N36" si="5">O12+P12+Q12</f>
        <v>0</v>
      </c>
      <c r="O12" s="651"/>
      <c r="P12" s="651"/>
      <c r="Q12" s="651"/>
      <c r="R12" s="652">
        <v>9454798887</v>
      </c>
      <c r="S12" s="651"/>
      <c r="T12" s="651"/>
      <c r="U12" s="651"/>
      <c r="V12" s="651"/>
      <c r="W12" s="653">
        <f t="shared" si="3"/>
        <v>1.194569543234242</v>
      </c>
      <c r="X12" s="654"/>
      <c r="Y12" s="631">
        <f>'B54-chi tiết'!CW14</f>
        <v>9684375287</v>
      </c>
      <c r="Z12" s="631">
        <f>D12-U12-V12-Y12</f>
        <v>0</v>
      </c>
      <c r="AA12" s="655"/>
    </row>
    <row r="13" spans="1:27" s="78" customFormat="1" ht="18" customHeight="1">
      <c r="A13" s="649">
        <v>2</v>
      </c>
      <c r="B13" s="650" t="s">
        <v>182</v>
      </c>
      <c r="C13" s="651">
        <v>9429000000</v>
      </c>
      <c r="D13" s="651">
        <f t="shared" ref="D13:D24" si="6">SUM(E13:N13,R13:V13)</f>
        <v>11699483586</v>
      </c>
      <c r="E13" s="651">
        <v>30930000</v>
      </c>
      <c r="F13" s="651"/>
      <c r="G13" s="651"/>
      <c r="H13" s="651"/>
      <c r="I13" s="651"/>
      <c r="J13" s="651"/>
      <c r="K13" s="651"/>
      <c r="L13" s="651"/>
      <c r="M13" s="651"/>
      <c r="N13" s="651">
        <f t="shared" si="5"/>
        <v>0</v>
      </c>
      <c r="O13" s="651"/>
      <c r="P13" s="651"/>
      <c r="Q13" s="651"/>
      <c r="R13" s="652">
        <v>11668553586</v>
      </c>
      <c r="S13" s="651"/>
      <c r="T13" s="651"/>
      <c r="U13" s="651"/>
      <c r="V13" s="651"/>
      <c r="W13" s="653">
        <f t="shared" si="3"/>
        <v>1.2407979198218262</v>
      </c>
      <c r="X13" s="654"/>
      <c r="Y13" s="631">
        <f>'B54-chi tiết'!CW17</f>
        <v>11699483586</v>
      </c>
      <c r="Z13" s="631">
        <f t="shared" ref="Z13:Z36" si="7">D13-U13-V13-Y13</f>
        <v>0</v>
      </c>
      <c r="AA13" s="655"/>
    </row>
    <row r="14" spans="1:27" s="78" customFormat="1" ht="18" customHeight="1">
      <c r="A14" s="649">
        <v>3</v>
      </c>
      <c r="B14" s="650" t="s">
        <v>195</v>
      </c>
      <c r="C14" s="651">
        <v>149000000</v>
      </c>
      <c r="D14" s="651">
        <f t="shared" si="6"/>
        <v>126023000</v>
      </c>
      <c r="E14" s="651"/>
      <c r="F14" s="651"/>
      <c r="G14" s="651"/>
      <c r="H14" s="651"/>
      <c r="I14" s="651"/>
      <c r="J14" s="651"/>
      <c r="K14" s="651"/>
      <c r="L14" s="651"/>
      <c r="M14" s="651"/>
      <c r="N14" s="651">
        <f t="shared" si="5"/>
        <v>126023000</v>
      </c>
      <c r="O14" s="651"/>
      <c r="P14" s="651"/>
      <c r="Q14" s="651">
        <v>126023000</v>
      </c>
      <c r="R14" s="651"/>
      <c r="S14" s="651"/>
      <c r="T14" s="651"/>
      <c r="U14" s="651"/>
      <c r="V14" s="651"/>
      <c r="W14" s="653">
        <f t="shared" si="3"/>
        <v>0.84579194630872478</v>
      </c>
      <c r="X14" s="654"/>
      <c r="Y14" s="631">
        <f>'B54-chi tiết'!CW20</f>
        <v>126023000</v>
      </c>
      <c r="Z14" s="631">
        <f t="shared" si="7"/>
        <v>0</v>
      </c>
      <c r="AA14" s="656"/>
    </row>
    <row r="15" spans="1:27" s="78" customFormat="1" ht="18" customHeight="1">
      <c r="A15" s="649">
        <v>4</v>
      </c>
      <c r="B15" s="650" t="s">
        <v>345</v>
      </c>
      <c r="C15" s="651">
        <v>11907000000</v>
      </c>
      <c r="D15" s="651">
        <f>SUM(E15:N15,R15:V15)</f>
        <v>6332563335</v>
      </c>
      <c r="E15" s="657"/>
      <c r="F15" s="657"/>
      <c r="G15" s="657"/>
      <c r="H15" s="657"/>
      <c r="I15" s="657"/>
      <c r="J15" s="657"/>
      <c r="K15" s="657"/>
      <c r="L15" s="657"/>
      <c r="M15" s="657"/>
      <c r="N15" s="651">
        <f>O15+P15+Q15</f>
        <v>5334359997</v>
      </c>
      <c r="O15" s="657"/>
      <c r="P15" s="651">
        <v>5334359997</v>
      </c>
      <c r="Q15" s="651"/>
      <c r="R15" s="651">
        <v>996685698</v>
      </c>
      <c r="S15" s="651"/>
      <c r="T15" s="651"/>
      <c r="U15" s="651"/>
      <c r="V15" s="651">
        <f>1500000+17640</f>
        <v>1517640</v>
      </c>
      <c r="W15" s="653">
        <f>D15/C15</f>
        <v>0.53183533509700176</v>
      </c>
      <c r="X15" s="654"/>
      <c r="Y15" s="631">
        <f>'B54-chi tiết'!CW23</f>
        <v>6331045695</v>
      </c>
      <c r="Z15" s="631">
        <f t="shared" si="7"/>
        <v>0</v>
      </c>
      <c r="AA15" s="655"/>
    </row>
    <row r="16" spans="1:27" s="78" customFormat="1" ht="18" customHeight="1">
      <c r="A16" s="649">
        <v>5</v>
      </c>
      <c r="B16" s="650" t="s">
        <v>189</v>
      </c>
      <c r="C16" s="651">
        <v>639000000</v>
      </c>
      <c r="D16" s="651">
        <f t="shared" si="6"/>
        <v>1004081720</v>
      </c>
      <c r="E16" s="651"/>
      <c r="F16" s="651"/>
      <c r="G16" s="651"/>
      <c r="H16" s="651"/>
      <c r="I16" s="651"/>
      <c r="J16" s="651"/>
      <c r="K16" s="651"/>
      <c r="L16" s="651"/>
      <c r="M16" s="651"/>
      <c r="N16" s="651">
        <f t="shared" si="5"/>
        <v>0</v>
      </c>
      <c r="O16" s="651"/>
      <c r="P16" s="651"/>
      <c r="Q16" s="651"/>
      <c r="R16" s="651">
        <v>1004081720</v>
      </c>
      <c r="S16" s="651"/>
      <c r="T16" s="651"/>
      <c r="U16" s="651"/>
      <c r="V16" s="651"/>
      <c r="W16" s="653">
        <f t="shared" si="3"/>
        <v>1.5713328951486698</v>
      </c>
      <c r="X16" s="654"/>
      <c r="Y16" s="631">
        <f>'B54-chi tiết'!CW26</f>
        <v>1004081720</v>
      </c>
      <c r="Z16" s="631">
        <f t="shared" si="7"/>
        <v>0</v>
      </c>
      <c r="AA16" s="655"/>
    </row>
    <row r="17" spans="1:27" s="78" customFormat="1" ht="18" customHeight="1">
      <c r="A17" s="649">
        <v>6</v>
      </c>
      <c r="B17" s="650" t="s">
        <v>324</v>
      </c>
      <c r="C17" s="651">
        <v>1277000000</v>
      </c>
      <c r="D17" s="651">
        <f t="shared" si="6"/>
        <v>1546272213</v>
      </c>
      <c r="E17" s="651"/>
      <c r="F17" s="651"/>
      <c r="G17" s="651"/>
      <c r="H17" s="651"/>
      <c r="I17" s="651"/>
      <c r="J17" s="651"/>
      <c r="K17" s="651"/>
      <c r="L17" s="651"/>
      <c r="M17" s="651"/>
      <c r="N17" s="651">
        <f t="shared" si="5"/>
        <v>0</v>
      </c>
      <c r="O17" s="651"/>
      <c r="P17" s="651"/>
      <c r="Q17" s="651"/>
      <c r="R17" s="651">
        <v>1546272213</v>
      </c>
      <c r="S17" s="651"/>
      <c r="T17" s="651"/>
      <c r="U17" s="651"/>
      <c r="V17" s="651"/>
      <c r="W17" s="653">
        <f t="shared" si="3"/>
        <v>1.2108631268598278</v>
      </c>
      <c r="X17" s="654"/>
      <c r="Y17" s="631">
        <f>'B54-chi tiết'!CW29</f>
        <v>1546272213</v>
      </c>
      <c r="Z17" s="631">
        <f t="shared" si="7"/>
        <v>0</v>
      </c>
      <c r="AA17" s="655"/>
    </row>
    <row r="18" spans="1:27" s="78" customFormat="1" ht="18" customHeight="1">
      <c r="A18" s="649">
        <v>7</v>
      </c>
      <c r="B18" s="650" t="s">
        <v>325</v>
      </c>
      <c r="C18" s="651">
        <v>15989000000</v>
      </c>
      <c r="D18" s="651">
        <f t="shared" si="6"/>
        <v>14925676084</v>
      </c>
      <c r="E18" s="651"/>
      <c r="F18" s="651">
        <v>315080670</v>
      </c>
      <c r="G18" s="651"/>
      <c r="H18" s="651"/>
      <c r="I18" s="651"/>
      <c r="J18" s="651"/>
      <c r="K18" s="651"/>
      <c r="L18" s="651"/>
      <c r="M18" s="651"/>
      <c r="N18" s="651">
        <f t="shared" si="5"/>
        <v>9269170823</v>
      </c>
      <c r="O18" s="651">
        <v>7921741000</v>
      </c>
      <c r="P18" s="651"/>
      <c r="Q18" s="651">
        <f>1314429823+33000000</f>
        <v>1347429823</v>
      </c>
      <c r="R18" s="651">
        <f>769762000+4571662591</f>
        <v>5341424591</v>
      </c>
      <c r="S18" s="651"/>
      <c r="T18" s="651"/>
      <c r="U18" s="651"/>
      <c r="V18" s="651"/>
      <c r="W18" s="653">
        <f>D18/C18</f>
        <v>0.93349653411720557</v>
      </c>
      <c r="X18" s="654"/>
      <c r="Y18" s="631">
        <f>'B54-chi tiết'!CW32</f>
        <v>14925676084</v>
      </c>
      <c r="Z18" s="631">
        <f t="shared" si="7"/>
        <v>0</v>
      </c>
      <c r="AA18" s="655"/>
    </row>
    <row r="19" spans="1:27" s="78" customFormat="1" ht="18" customHeight="1">
      <c r="A19" s="649">
        <v>8</v>
      </c>
      <c r="B19" s="650" t="s">
        <v>344</v>
      </c>
      <c r="C19" s="651">
        <v>424980000000</v>
      </c>
      <c r="D19" s="651">
        <f t="shared" si="6"/>
        <v>458595404509</v>
      </c>
      <c r="E19" s="651">
        <v>455854167509</v>
      </c>
      <c r="F19" s="651"/>
      <c r="G19" s="651"/>
      <c r="H19" s="651"/>
      <c r="I19" s="651"/>
      <c r="J19" s="651"/>
      <c r="K19" s="651"/>
      <c r="L19" s="651"/>
      <c r="M19" s="651"/>
      <c r="N19" s="651">
        <f t="shared" si="5"/>
        <v>0</v>
      </c>
      <c r="O19" s="651"/>
      <c r="P19" s="651"/>
      <c r="Q19" s="651"/>
      <c r="R19" s="651">
        <v>1476741000</v>
      </c>
      <c r="S19" s="651"/>
      <c r="T19" s="651"/>
      <c r="U19" s="651"/>
      <c r="V19" s="651">
        <v>1264496000</v>
      </c>
      <c r="W19" s="653">
        <f t="shared" si="3"/>
        <v>1.0790987917290225</v>
      </c>
      <c r="X19" s="654"/>
      <c r="Y19" s="631">
        <f>'B54-chi tiết'!CW35</f>
        <v>457330908509</v>
      </c>
      <c r="Z19" s="631">
        <f t="shared" si="7"/>
        <v>0</v>
      </c>
      <c r="AA19" s="655"/>
    </row>
    <row r="20" spans="1:27" s="78" customFormat="1" ht="18" customHeight="1">
      <c r="A20" s="649">
        <v>9</v>
      </c>
      <c r="B20" s="650" t="s">
        <v>190</v>
      </c>
      <c r="C20" s="651">
        <v>382000000</v>
      </c>
      <c r="D20" s="651">
        <f t="shared" si="6"/>
        <v>310457600</v>
      </c>
      <c r="E20" s="651"/>
      <c r="F20" s="651"/>
      <c r="G20" s="651"/>
      <c r="H20" s="651"/>
      <c r="I20" s="651"/>
      <c r="J20" s="651"/>
      <c r="K20" s="651"/>
      <c r="L20" s="651"/>
      <c r="M20" s="651"/>
      <c r="N20" s="651">
        <f t="shared" si="5"/>
        <v>0</v>
      </c>
      <c r="O20" s="651"/>
      <c r="P20" s="651"/>
      <c r="Q20" s="651"/>
      <c r="R20" s="651">
        <v>310457600</v>
      </c>
      <c r="S20" s="651"/>
      <c r="T20" s="651"/>
      <c r="U20" s="651"/>
      <c r="V20" s="651"/>
      <c r="W20" s="653">
        <f t="shared" si="3"/>
        <v>0.8127162303664921</v>
      </c>
      <c r="X20" s="654"/>
      <c r="Y20" s="631">
        <f>'B54-chi tiết'!CW38</f>
        <v>310457600</v>
      </c>
      <c r="Z20" s="631">
        <f t="shared" si="7"/>
        <v>0</v>
      </c>
      <c r="AA20" s="655"/>
    </row>
    <row r="21" spans="1:27" s="78" customFormat="1" ht="18" customHeight="1">
      <c r="A21" s="649">
        <v>10</v>
      </c>
      <c r="B21" s="650" t="s">
        <v>343</v>
      </c>
      <c r="C21" s="651">
        <v>46458000000</v>
      </c>
      <c r="D21" s="651">
        <f>SUM(E21:N21,R21:V21)</f>
        <v>56760673576</v>
      </c>
      <c r="E21" s="651"/>
      <c r="F21" s="651"/>
      <c r="G21" s="651"/>
      <c r="H21" s="651"/>
      <c r="I21" s="651"/>
      <c r="J21" s="651"/>
      <c r="K21" s="651"/>
      <c r="L21" s="651"/>
      <c r="M21" s="651"/>
      <c r="N21" s="651">
        <f t="shared" si="5"/>
        <v>0</v>
      </c>
      <c r="O21" s="651"/>
      <c r="P21" s="651"/>
      <c r="Q21" s="651"/>
      <c r="R21" s="651">
        <v>982202000</v>
      </c>
      <c r="S21" s="651">
        <f>54987859576-51128000</f>
        <v>54936731576</v>
      </c>
      <c r="T21" s="651"/>
      <c r="U21" s="651"/>
      <c r="V21" s="651">
        <v>841740000</v>
      </c>
      <c r="W21" s="653">
        <f t="shared" si="3"/>
        <v>1.2217631748245728</v>
      </c>
      <c r="X21" s="654"/>
      <c r="Y21" s="631">
        <f>'B54-chi tiết'!CW41</f>
        <v>55918933576</v>
      </c>
      <c r="Z21" s="631">
        <f>D21-U21-V21-Y21</f>
        <v>0</v>
      </c>
      <c r="AA21" s="655"/>
    </row>
    <row r="22" spans="1:27" s="78" customFormat="1" ht="18" customHeight="1">
      <c r="A22" s="649">
        <v>11</v>
      </c>
      <c r="B22" s="650" t="s">
        <v>196</v>
      </c>
      <c r="C22" s="651">
        <v>930000000</v>
      </c>
      <c r="D22" s="651">
        <f t="shared" si="6"/>
        <v>850773646</v>
      </c>
      <c r="E22" s="651"/>
      <c r="F22" s="651"/>
      <c r="G22" s="651"/>
      <c r="H22" s="651"/>
      <c r="I22" s="651"/>
      <c r="J22" s="651">
        <v>17020000</v>
      </c>
      <c r="K22" s="651"/>
      <c r="L22" s="651"/>
      <c r="M22" s="651"/>
      <c r="N22" s="651">
        <f t="shared" si="5"/>
        <v>0</v>
      </c>
      <c r="O22" s="651"/>
      <c r="P22" s="651"/>
      <c r="Q22" s="651"/>
      <c r="R22" s="651">
        <v>833753646</v>
      </c>
      <c r="S22" s="651"/>
      <c r="T22" s="651"/>
      <c r="U22" s="651"/>
      <c r="V22" s="651"/>
      <c r="W22" s="653">
        <f t="shared" si="3"/>
        <v>0.91481037204301074</v>
      </c>
      <c r="X22" s="654"/>
      <c r="Y22" s="631">
        <f>'B54-chi tiết'!CW44</f>
        <v>850773646</v>
      </c>
      <c r="Z22" s="631">
        <f t="shared" si="7"/>
        <v>0</v>
      </c>
      <c r="AA22" s="655"/>
    </row>
    <row r="23" spans="1:27" s="78" customFormat="1" ht="18" customHeight="1">
      <c r="A23" s="649">
        <v>12</v>
      </c>
      <c r="B23" s="650" t="s">
        <v>188</v>
      </c>
      <c r="C23" s="651">
        <v>8875000000</v>
      </c>
      <c r="D23" s="651">
        <f t="shared" si="6"/>
        <v>7643120777</v>
      </c>
      <c r="E23" s="651">
        <v>18400000</v>
      </c>
      <c r="F23" s="651"/>
      <c r="G23" s="651"/>
      <c r="H23" s="651"/>
      <c r="I23" s="651"/>
      <c r="J23" s="651"/>
      <c r="K23" s="651"/>
      <c r="L23" s="651"/>
      <c r="M23" s="651">
        <v>4420850000</v>
      </c>
      <c r="N23" s="651">
        <f t="shared" si="5"/>
        <v>2238962824</v>
      </c>
      <c r="O23" s="651"/>
      <c r="P23" s="651"/>
      <c r="Q23" s="651">
        <v>2238962824</v>
      </c>
      <c r="R23" s="651">
        <v>964907953</v>
      </c>
      <c r="S23" s="651"/>
      <c r="T23" s="651"/>
      <c r="U23" s="651"/>
      <c r="V23" s="651"/>
      <c r="W23" s="653">
        <f t="shared" si="3"/>
        <v>0.86119670726760567</v>
      </c>
      <c r="X23" s="654"/>
      <c r="Y23" s="631">
        <f>'B54-chi tiết'!CW47</f>
        <v>7643120777</v>
      </c>
      <c r="Z23" s="631">
        <f t="shared" si="7"/>
        <v>0</v>
      </c>
      <c r="AA23" s="655"/>
    </row>
    <row r="24" spans="1:27" s="78" customFormat="1" ht="18" customHeight="1">
      <c r="A24" s="649">
        <v>13</v>
      </c>
      <c r="B24" s="650" t="s">
        <v>191</v>
      </c>
      <c r="C24" s="651">
        <v>1920000000</v>
      </c>
      <c r="D24" s="651">
        <f t="shared" si="6"/>
        <v>1931085000</v>
      </c>
      <c r="E24" s="651"/>
      <c r="F24" s="651"/>
      <c r="G24" s="651"/>
      <c r="H24" s="651"/>
      <c r="I24" s="651"/>
      <c r="J24" s="651"/>
      <c r="K24" s="651"/>
      <c r="L24" s="651"/>
      <c r="M24" s="651"/>
      <c r="N24" s="651">
        <f t="shared" si="5"/>
        <v>0</v>
      </c>
      <c r="O24" s="651"/>
      <c r="P24" s="651"/>
      <c r="Q24" s="651"/>
      <c r="R24" s="651">
        <v>1931085000</v>
      </c>
      <c r="S24" s="651"/>
      <c r="T24" s="651"/>
      <c r="U24" s="651"/>
      <c r="V24" s="651"/>
      <c r="W24" s="653">
        <f t="shared" si="3"/>
        <v>1.0057734375</v>
      </c>
      <c r="X24" s="654"/>
      <c r="Y24" s="631">
        <f>'B54-chi tiết'!CW50</f>
        <v>1931085000</v>
      </c>
      <c r="Z24" s="631">
        <f t="shared" si="7"/>
        <v>0</v>
      </c>
      <c r="AA24" s="655"/>
    </row>
    <row r="25" spans="1:27" s="78" customFormat="1" ht="18" customHeight="1">
      <c r="A25" s="649">
        <v>14</v>
      </c>
      <c r="B25" s="650" t="s">
        <v>150</v>
      </c>
      <c r="C25" s="651">
        <v>871000000</v>
      </c>
      <c r="D25" s="651">
        <f t="shared" ref="D25:D35" si="8">SUM(E25:N25,R25:V25)</f>
        <v>1049807866</v>
      </c>
      <c r="E25" s="651"/>
      <c r="F25" s="651"/>
      <c r="G25" s="651"/>
      <c r="H25" s="651"/>
      <c r="I25" s="651"/>
      <c r="J25" s="651"/>
      <c r="K25" s="651"/>
      <c r="L25" s="651"/>
      <c r="M25" s="651"/>
      <c r="N25" s="651">
        <f t="shared" si="5"/>
        <v>0</v>
      </c>
      <c r="O25" s="651"/>
      <c r="P25" s="651"/>
      <c r="Q25" s="651"/>
      <c r="R25" s="651">
        <v>1049807866</v>
      </c>
      <c r="S25" s="651"/>
      <c r="T25" s="651"/>
      <c r="U25" s="651"/>
      <c r="V25" s="651"/>
      <c r="W25" s="653">
        <f t="shared" si="3"/>
        <v>1.2052903168771527</v>
      </c>
      <c r="X25" s="654"/>
      <c r="Y25" s="631">
        <f>'B54-chi tiết'!CW53</f>
        <v>1049807866</v>
      </c>
      <c r="Z25" s="631">
        <f t="shared" si="7"/>
        <v>0</v>
      </c>
      <c r="AA25" s="655"/>
    </row>
    <row r="26" spans="1:27" s="78" customFormat="1" ht="18" customHeight="1">
      <c r="A26" s="649">
        <v>15</v>
      </c>
      <c r="B26" s="650" t="s">
        <v>403</v>
      </c>
      <c r="C26" s="651">
        <v>5006000000</v>
      </c>
      <c r="D26" s="651">
        <f>SUM(E26:N26,R26:V26)</f>
        <v>5924106748</v>
      </c>
      <c r="E26" s="651">
        <v>13720000</v>
      </c>
      <c r="F26" s="651"/>
      <c r="G26" s="651"/>
      <c r="H26" s="651"/>
      <c r="I26" s="651"/>
      <c r="J26" s="651">
        <v>1635330420</v>
      </c>
      <c r="K26" s="651">
        <v>3658549728</v>
      </c>
      <c r="L26" s="651">
        <v>616506600</v>
      </c>
      <c r="M26" s="651"/>
      <c r="N26" s="651">
        <f t="shared" si="5"/>
        <v>0</v>
      </c>
      <c r="O26" s="651"/>
      <c r="P26" s="651"/>
      <c r="Q26" s="651"/>
      <c r="R26" s="651"/>
      <c r="S26" s="651"/>
      <c r="T26" s="651"/>
      <c r="U26" s="651"/>
      <c r="V26" s="651"/>
      <c r="W26" s="653">
        <f t="shared" si="3"/>
        <v>1.1834012680783059</v>
      </c>
      <c r="X26" s="654"/>
      <c r="Y26" s="631">
        <f>'B54-chi tiết'!CW56</f>
        <v>5924106748</v>
      </c>
      <c r="Z26" s="631">
        <f t="shared" si="7"/>
        <v>0</v>
      </c>
      <c r="AA26" s="655"/>
    </row>
    <row r="27" spans="1:27" s="78" customFormat="1" ht="18" customHeight="1">
      <c r="A27" s="649">
        <v>16</v>
      </c>
      <c r="B27" s="650" t="s">
        <v>193</v>
      </c>
      <c r="C27" s="651">
        <v>641000000</v>
      </c>
      <c r="D27" s="651">
        <f t="shared" si="8"/>
        <v>728066000</v>
      </c>
      <c r="E27" s="651">
        <v>17954000</v>
      </c>
      <c r="F27" s="651"/>
      <c r="G27" s="651"/>
      <c r="H27" s="651"/>
      <c r="I27" s="651"/>
      <c r="J27" s="651"/>
      <c r="K27" s="651"/>
      <c r="L27" s="651"/>
      <c r="M27" s="651"/>
      <c r="N27" s="651">
        <f t="shared" si="5"/>
        <v>0</v>
      </c>
      <c r="O27" s="651"/>
      <c r="P27" s="651"/>
      <c r="Q27" s="651"/>
      <c r="R27" s="651">
        <v>606512000</v>
      </c>
      <c r="S27" s="651">
        <v>103600000</v>
      </c>
      <c r="T27" s="651"/>
      <c r="U27" s="651"/>
      <c r="V27" s="651"/>
      <c r="W27" s="653">
        <f t="shared" si="3"/>
        <v>1.1358283931357254</v>
      </c>
      <c r="X27" s="654"/>
      <c r="Y27" s="631">
        <f>'B54-chi tiết'!CW59</f>
        <v>728066000</v>
      </c>
      <c r="Z27" s="631">
        <f t="shared" si="7"/>
        <v>0</v>
      </c>
      <c r="AA27" s="655"/>
    </row>
    <row r="28" spans="1:27" s="78" customFormat="1" ht="18" customHeight="1">
      <c r="A28" s="649">
        <v>17</v>
      </c>
      <c r="B28" s="650" t="s">
        <v>391</v>
      </c>
      <c r="C28" s="651">
        <v>926000000</v>
      </c>
      <c r="D28" s="651">
        <f>SUM(E28:N28,R28:V28)</f>
        <v>1227533118</v>
      </c>
      <c r="E28" s="651">
        <v>1227533118</v>
      </c>
      <c r="F28" s="651"/>
      <c r="G28" s="651"/>
      <c r="H28" s="651"/>
      <c r="I28" s="651"/>
      <c r="J28" s="651"/>
      <c r="K28" s="651"/>
      <c r="L28" s="651"/>
      <c r="M28" s="651"/>
      <c r="N28" s="651">
        <f t="shared" si="5"/>
        <v>0</v>
      </c>
      <c r="O28" s="651"/>
      <c r="P28" s="651"/>
      <c r="Q28" s="651"/>
      <c r="R28" s="651"/>
      <c r="S28" s="651"/>
      <c r="T28" s="651"/>
      <c r="U28" s="651"/>
      <c r="V28" s="651"/>
      <c r="W28" s="653">
        <f t="shared" si="3"/>
        <v>1.325629717062635</v>
      </c>
      <c r="X28" s="654"/>
      <c r="Y28" s="631">
        <f>'B54-chi tiết'!CW62</f>
        <v>1227533118</v>
      </c>
      <c r="Z28" s="631">
        <f t="shared" si="7"/>
        <v>0</v>
      </c>
      <c r="AA28" s="655"/>
    </row>
    <row r="29" spans="1:27" s="78" customFormat="1" ht="18" customHeight="1">
      <c r="A29" s="649">
        <v>18</v>
      </c>
      <c r="B29" s="650" t="s">
        <v>340</v>
      </c>
      <c r="C29" s="651">
        <v>3976000000</v>
      </c>
      <c r="D29" s="651">
        <f>SUM(E29:N29,R29:V29)</f>
        <v>4541356019</v>
      </c>
      <c r="E29" s="651">
        <v>31450000</v>
      </c>
      <c r="F29" s="651"/>
      <c r="G29" s="651"/>
      <c r="H29" s="651"/>
      <c r="I29" s="651"/>
      <c r="J29" s="651"/>
      <c r="K29" s="651"/>
      <c r="L29" s="651"/>
      <c r="M29" s="651"/>
      <c r="N29" s="651">
        <f t="shared" si="5"/>
        <v>0</v>
      </c>
      <c r="O29" s="651"/>
      <c r="P29" s="651"/>
      <c r="Q29" s="651"/>
      <c r="R29" s="651">
        <v>4509906019</v>
      </c>
      <c r="S29" s="651"/>
      <c r="T29" s="651"/>
      <c r="U29" s="651"/>
      <c r="V29" s="651"/>
      <c r="W29" s="653">
        <f t="shared" si="3"/>
        <v>1.1421921576961771</v>
      </c>
      <c r="X29" s="654"/>
      <c r="Y29" s="631">
        <f>'B54-chi tiết'!CW65</f>
        <v>4541356019</v>
      </c>
      <c r="Z29" s="631">
        <f t="shared" si="7"/>
        <v>0</v>
      </c>
      <c r="AA29" s="655"/>
    </row>
    <row r="30" spans="1:27" s="78" customFormat="1" ht="18" customHeight="1">
      <c r="A30" s="649">
        <v>19</v>
      </c>
      <c r="B30" s="650" t="s">
        <v>314</v>
      </c>
      <c r="C30" s="651">
        <v>4461000000</v>
      </c>
      <c r="D30" s="651">
        <f>SUM(E30:N30,R30:V30)</f>
        <v>2851077000</v>
      </c>
      <c r="E30" s="651">
        <v>2851077000</v>
      </c>
      <c r="F30" s="651"/>
      <c r="G30" s="651"/>
      <c r="H30" s="651"/>
      <c r="I30" s="651"/>
      <c r="J30" s="651"/>
      <c r="K30" s="651"/>
      <c r="L30" s="651"/>
      <c r="M30" s="651"/>
      <c r="N30" s="651">
        <f t="shared" si="5"/>
        <v>0</v>
      </c>
      <c r="O30" s="651"/>
      <c r="P30" s="651"/>
      <c r="Q30" s="651"/>
      <c r="R30" s="651"/>
      <c r="S30" s="651"/>
      <c r="T30" s="651"/>
      <c r="U30" s="651"/>
      <c r="V30" s="651"/>
      <c r="W30" s="653">
        <f t="shared" si="3"/>
        <v>0.63911163416274375</v>
      </c>
      <c r="X30" s="654"/>
      <c r="Y30" s="631">
        <f>'B54-chi tiết'!CW68</f>
        <v>2851077000</v>
      </c>
      <c r="Z30" s="631">
        <f t="shared" si="7"/>
        <v>0</v>
      </c>
      <c r="AA30" s="655"/>
    </row>
    <row r="31" spans="1:27" s="78" customFormat="1" ht="18" customHeight="1">
      <c r="A31" s="649">
        <v>20</v>
      </c>
      <c r="B31" s="650" t="s">
        <v>335</v>
      </c>
      <c r="C31" s="651">
        <v>785000000</v>
      </c>
      <c r="D31" s="651">
        <f>SUM(E31:N31,R31:V31)</f>
        <v>1065214000</v>
      </c>
      <c r="E31" s="651"/>
      <c r="F31" s="651"/>
      <c r="G31" s="651"/>
      <c r="H31" s="651"/>
      <c r="I31" s="651"/>
      <c r="J31" s="651"/>
      <c r="K31" s="651"/>
      <c r="L31" s="651"/>
      <c r="M31" s="651"/>
      <c r="N31" s="651">
        <f t="shared" si="5"/>
        <v>1065214000</v>
      </c>
      <c r="O31" s="651"/>
      <c r="P31" s="651"/>
      <c r="Q31" s="651">
        <v>1065214000</v>
      </c>
      <c r="R31" s="651"/>
      <c r="S31" s="651"/>
      <c r="T31" s="651"/>
      <c r="U31" s="651"/>
      <c r="V31" s="651"/>
      <c r="W31" s="653">
        <f t="shared" si="3"/>
        <v>1.3569605095541402</v>
      </c>
      <c r="X31" s="654"/>
      <c r="Y31" s="631">
        <f>'B54-chi tiết'!CW71</f>
        <v>1065214000</v>
      </c>
      <c r="Z31" s="631">
        <f t="shared" si="7"/>
        <v>0</v>
      </c>
      <c r="AA31" s="655"/>
    </row>
    <row r="32" spans="1:27" s="78" customFormat="1" ht="18" customHeight="1">
      <c r="A32" s="649">
        <v>21</v>
      </c>
      <c r="B32" s="650" t="s">
        <v>392</v>
      </c>
      <c r="C32" s="651">
        <v>6784000000</v>
      </c>
      <c r="D32" s="651">
        <f t="shared" si="8"/>
        <v>8404109432</v>
      </c>
      <c r="E32" s="651"/>
      <c r="F32" s="651"/>
      <c r="G32" s="651"/>
      <c r="H32" s="651"/>
      <c r="I32" s="651"/>
      <c r="J32" s="651"/>
      <c r="K32" s="651"/>
      <c r="L32" s="651"/>
      <c r="M32" s="651"/>
      <c r="N32" s="651">
        <f t="shared" si="5"/>
        <v>7385109432</v>
      </c>
      <c r="O32" s="651"/>
      <c r="P32" s="651">
        <v>5147155280</v>
      </c>
      <c r="Q32" s="651">
        <v>2237954152</v>
      </c>
      <c r="R32" s="651"/>
      <c r="S32" s="651"/>
      <c r="T32" s="651"/>
      <c r="U32" s="651"/>
      <c r="V32" s="651">
        <v>1019000000</v>
      </c>
      <c r="W32" s="653">
        <f t="shared" si="3"/>
        <v>1.2388133007075472</v>
      </c>
      <c r="X32" s="654"/>
      <c r="Y32" s="631">
        <f>'B54-chi tiết'!CW74</f>
        <v>7385109432</v>
      </c>
      <c r="Z32" s="631">
        <f t="shared" si="7"/>
        <v>0</v>
      </c>
      <c r="AA32" s="655"/>
    </row>
    <row r="33" spans="1:27" s="78" customFormat="1" ht="18" customHeight="1">
      <c r="A33" s="649">
        <v>22</v>
      </c>
      <c r="B33" s="650" t="s">
        <v>400</v>
      </c>
      <c r="C33" s="651">
        <v>15914000000</v>
      </c>
      <c r="D33" s="651">
        <f>SUM(E33:N33,R33:V33)</f>
        <v>32710863000</v>
      </c>
      <c r="E33" s="651"/>
      <c r="F33" s="651"/>
      <c r="G33" s="651"/>
      <c r="H33" s="651"/>
      <c r="I33" s="651"/>
      <c r="J33" s="651"/>
      <c r="K33" s="651"/>
      <c r="L33" s="651"/>
      <c r="M33" s="651"/>
      <c r="N33" s="651">
        <f t="shared" si="5"/>
        <v>29602013000</v>
      </c>
      <c r="O33" s="651">
        <v>20414222000</v>
      </c>
      <c r="P33" s="651">
        <v>8025076000</v>
      </c>
      <c r="Q33" s="651">
        <v>1162715000</v>
      </c>
      <c r="R33" s="651">
        <v>1783242000</v>
      </c>
      <c r="S33" s="651"/>
      <c r="T33" s="651"/>
      <c r="U33" s="651"/>
      <c r="V33" s="651">
        <v>1325608000</v>
      </c>
      <c r="W33" s="653">
        <f t="shared" si="3"/>
        <v>2.0554771270579364</v>
      </c>
      <c r="X33" s="654"/>
      <c r="Y33" s="631">
        <f>'B54-chi tiết'!CW77</f>
        <v>31385255000</v>
      </c>
      <c r="Z33" s="631">
        <f t="shared" si="7"/>
        <v>0</v>
      </c>
      <c r="AA33" s="655"/>
    </row>
    <row r="34" spans="1:27" s="78" customFormat="1" ht="18" customHeight="1">
      <c r="A34" s="649">
        <v>23</v>
      </c>
      <c r="B34" s="650" t="s">
        <v>326</v>
      </c>
      <c r="C34" s="651">
        <v>1432000000</v>
      </c>
      <c r="D34" s="651">
        <f t="shared" si="8"/>
        <v>3249020000</v>
      </c>
      <c r="E34" s="651"/>
      <c r="F34" s="651"/>
      <c r="G34" s="651"/>
      <c r="H34" s="651">
        <v>3249020000</v>
      </c>
      <c r="I34" s="651"/>
      <c r="J34" s="651"/>
      <c r="K34" s="651"/>
      <c r="L34" s="651"/>
      <c r="M34" s="651"/>
      <c r="N34" s="651">
        <f t="shared" si="5"/>
        <v>0</v>
      </c>
      <c r="O34" s="651"/>
      <c r="P34" s="651"/>
      <c r="Q34" s="651"/>
      <c r="R34" s="651"/>
      <c r="S34" s="651"/>
      <c r="T34" s="651"/>
      <c r="U34" s="651"/>
      <c r="V34" s="651"/>
      <c r="W34" s="653">
        <f t="shared" si="3"/>
        <v>2.2688687150837987</v>
      </c>
      <c r="X34" s="654"/>
      <c r="Y34" s="631">
        <f>'B54-chi tiết'!CW80</f>
        <v>3249020000</v>
      </c>
      <c r="Z34" s="631">
        <f t="shared" si="7"/>
        <v>0</v>
      </c>
      <c r="AA34" s="655"/>
    </row>
    <row r="35" spans="1:27" s="78" customFormat="1" ht="18" customHeight="1">
      <c r="A35" s="649">
        <v>24</v>
      </c>
      <c r="B35" s="650" t="s">
        <v>327</v>
      </c>
      <c r="C35" s="651">
        <v>4854000000</v>
      </c>
      <c r="D35" s="651">
        <f t="shared" si="8"/>
        <v>6991600000</v>
      </c>
      <c r="E35" s="651"/>
      <c r="F35" s="651"/>
      <c r="G35" s="651">
        <v>6991600000</v>
      </c>
      <c r="H35" s="651"/>
      <c r="I35" s="651"/>
      <c r="J35" s="651"/>
      <c r="K35" s="651"/>
      <c r="L35" s="651"/>
      <c r="M35" s="651"/>
      <c r="N35" s="651">
        <f t="shared" si="5"/>
        <v>0</v>
      </c>
      <c r="O35" s="651"/>
      <c r="P35" s="651"/>
      <c r="Q35" s="651"/>
      <c r="R35" s="651"/>
      <c r="S35" s="651"/>
      <c r="T35" s="651"/>
      <c r="U35" s="651"/>
      <c r="V35" s="651"/>
      <c r="W35" s="653">
        <f t="shared" si="3"/>
        <v>1.4403790688092295</v>
      </c>
      <c r="X35" s="654"/>
      <c r="Y35" s="631">
        <f>'B54-chi tiết'!CW83</f>
        <v>6991600000</v>
      </c>
      <c r="Z35" s="631">
        <f t="shared" si="7"/>
        <v>0</v>
      </c>
      <c r="AA35" s="655"/>
    </row>
    <row r="36" spans="1:27" s="78" customFormat="1" ht="18" customHeight="1">
      <c r="A36" s="649">
        <v>25</v>
      </c>
      <c r="B36" s="650" t="s">
        <v>332</v>
      </c>
      <c r="C36" s="651">
        <f>18140000000+12835000000</f>
        <v>30975000000</v>
      </c>
      <c r="D36" s="651">
        <f>SUM(E36:N36,R36:V36)</f>
        <v>22110568088</v>
      </c>
      <c r="E36" s="651"/>
      <c r="F36" s="651"/>
      <c r="G36" s="651"/>
      <c r="H36" s="651"/>
      <c r="I36" s="651"/>
      <c r="J36" s="651"/>
      <c r="K36" s="651"/>
      <c r="L36" s="651"/>
      <c r="M36" s="651"/>
      <c r="N36" s="651">
        <f t="shared" si="5"/>
        <v>3917746000</v>
      </c>
      <c r="O36" s="651"/>
      <c r="P36" s="651">
        <v>3217746000</v>
      </c>
      <c r="Q36" s="651">
        <v>700000000</v>
      </c>
      <c r="R36" s="651"/>
      <c r="S36" s="651"/>
      <c r="T36" s="651">
        <v>170000000</v>
      </c>
      <c r="U36" s="651">
        <f>+'B54-chi tiết'!CW94</f>
        <v>2152921806</v>
      </c>
      <c r="V36" s="651">
        <v>15869900282</v>
      </c>
      <c r="W36" s="653">
        <f t="shared" si="3"/>
        <v>0.71381979299435028</v>
      </c>
      <c r="X36" s="654"/>
      <c r="Y36" s="631">
        <f>+'B54-chi tiết'!CW86+'B54-chi tiết'!CW89</f>
        <v>4087746000</v>
      </c>
      <c r="Z36" s="631">
        <f t="shared" si="7"/>
        <v>0</v>
      </c>
      <c r="AA36" s="655"/>
    </row>
    <row r="37" spans="1:27" s="78" customFormat="1" ht="18" customHeight="1">
      <c r="A37" s="645" t="s">
        <v>12</v>
      </c>
      <c r="B37" s="646" t="s">
        <v>479</v>
      </c>
      <c r="C37" s="647">
        <f t="shared" ref="C37:V37" si="9">+C38+C41</f>
        <v>75730000000</v>
      </c>
      <c r="D37" s="647">
        <f>+D38+D41</f>
        <v>142400713752</v>
      </c>
      <c r="E37" s="647">
        <f t="shared" si="9"/>
        <v>3815676376</v>
      </c>
      <c r="F37" s="647">
        <f t="shared" si="9"/>
        <v>0</v>
      </c>
      <c r="G37" s="647">
        <f t="shared" si="9"/>
        <v>0</v>
      </c>
      <c r="H37" s="647">
        <f t="shared" si="9"/>
        <v>0</v>
      </c>
      <c r="I37" s="647">
        <f t="shared" si="9"/>
        <v>1796150000</v>
      </c>
      <c r="J37" s="647">
        <f t="shared" si="9"/>
        <v>4484613600</v>
      </c>
      <c r="K37" s="647">
        <f t="shared" si="9"/>
        <v>0</v>
      </c>
      <c r="L37" s="647">
        <f t="shared" si="9"/>
        <v>0</v>
      </c>
      <c r="M37" s="647">
        <f t="shared" si="9"/>
        <v>0</v>
      </c>
      <c r="N37" s="647">
        <f t="shared" si="9"/>
        <v>49061503347</v>
      </c>
      <c r="O37" s="647">
        <f t="shared" si="9"/>
        <v>8330129000</v>
      </c>
      <c r="P37" s="647">
        <f t="shared" si="9"/>
        <v>34884499547</v>
      </c>
      <c r="Q37" s="647">
        <f t="shared" si="9"/>
        <v>5846874800</v>
      </c>
      <c r="R37" s="647">
        <f t="shared" si="9"/>
        <v>0</v>
      </c>
      <c r="S37" s="647">
        <f t="shared" si="9"/>
        <v>595385690</v>
      </c>
      <c r="T37" s="647">
        <f t="shared" si="9"/>
        <v>0</v>
      </c>
      <c r="U37" s="647">
        <f t="shared" si="9"/>
        <v>0</v>
      </c>
      <c r="V37" s="647">
        <f t="shared" si="9"/>
        <v>82647384739</v>
      </c>
      <c r="W37" s="648">
        <f t="shared" si="3"/>
        <v>1.8803738776178529</v>
      </c>
      <c r="X37" s="658"/>
      <c r="Y37" s="631"/>
      <c r="Z37" s="631"/>
      <c r="AA37" s="655"/>
    </row>
    <row r="38" spans="1:27" s="78" customFormat="1" ht="18" customHeight="1">
      <c r="A38" s="645">
        <v>1</v>
      </c>
      <c r="B38" s="646" t="s">
        <v>494</v>
      </c>
      <c r="C38" s="647">
        <f>C40+C39</f>
        <v>0</v>
      </c>
      <c r="D38" s="647">
        <f t="shared" ref="D38:V38" si="10">D40+D39</f>
        <v>0</v>
      </c>
      <c r="E38" s="647">
        <f t="shared" si="10"/>
        <v>0</v>
      </c>
      <c r="F38" s="647">
        <f t="shared" si="10"/>
        <v>0</v>
      </c>
      <c r="G38" s="647">
        <f t="shared" si="10"/>
        <v>0</v>
      </c>
      <c r="H38" s="647">
        <f t="shared" si="10"/>
        <v>0</v>
      </c>
      <c r="I38" s="647">
        <f t="shared" si="10"/>
        <v>0</v>
      </c>
      <c r="J38" s="647">
        <f t="shared" si="10"/>
        <v>0</v>
      </c>
      <c r="K38" s="647">
        <f t="shared" si="10"/>
        <v>0</v>
      </c>
      <c r="L38" s="647">
        <f t="shared" si="10"/>
        <v>0</v>
      </c>
      <c r="M38" s="647">
        <f t="shared" si="10"/>
        <v>0</v>
      </c>
      <c r="N38" s="647">
        <f t="shared" si="10"/>
        <v>0</v>
      </c>
      <c r="O38" s="647">
        <f t="shared" si="10"/>
        <v>0</v>
      </c>
      <c r="P38" s="647">
        <f t="shared" si="10"/>
        <v>0</v>
      </c>
      <c r="Q38" s="647">
        <f t="shared" si="10"/>
        <v>0</v>
      </c>
      <c r="R38" s="647">
        <f t="shared" si="10"/>
        <v>0</v>
      </c>
      <c r="S38" s="647">
        <f t="shared" si="10"/>
        <v>0</v>
      </c>
      <c r="T38" s="647">
        <f t="shared" si="10"/>
        <v>0</v>
      </c>
      <c r="U38" s="647">
        <f t="shared" si="10"/>
        <v>0</v>
      </c>
      <c r="V38" s="647">
        <f t="shared" si="10"/>
        <v>0</v>
      </c>
      <c r="W38" s="653"/>
      <c r="X38" s="658"/>
      <c r="Y38" s="656"/>
      <c r="Z38" s="656"/>
      <c r="AA38" s="655"/>
    </row>
    <row r="39" spans="1:27" s="199" customFormat="1" ht="18" customHeight="1">
      <c r="A39" s="649" t="s">
        <v>440</v>
      </c>
      <c r="B39" s="659" t="s">
        <v>506</v>
      </c>
      <c r="C39" s="651"/>
      <c r="D39" s="651">
        <f>SUM(E39:N39,R39:V39)</f>
        <v>0</v>
      </c>
      <c r="E39" s="651"/>
      <c r="F39" s="651"/>
      <c r="G39" s="651"/>
      <c r="H39" s="651"/>
      <c r="I39" s="651"/>
      <c r="J39" s="651"/>
      <c r="K39" s="651"/>
      <c r="L39" s="651"/>
      <c r="M39" s="651"/>
      <c r="N39" s="651"/>
      <c r="O39" s="651"/>
      <c r="P39" s="651"/>
      <c r="Q39" s="651"/>
      <c r="R39" s="651"/>
      <c r="S39" s="651"/>
      <c r="T39" s="651"/>
      <c r="U39" s="651"/>
      <c r="V39" s="651"/>
      <c r="W39" s="653"/>
      <c r="X39" s="654"/>
      <c r="Y39" s="631"/>
      <c r="Z39" s="631"/>
      <c r="AA39" s="660"/>
    </row>
    <row r="40" spans="1:27" s="199" customFormat="1" ht="18" customHeight="1">
      <c r="A40" s="649" t="s">
        <v>446</v>
      </c>
      <c r="B40" s="659" t="s">
        <v>507</v>
      </c>
      <c r="C40" s="651"/>
      <c r="D40" s="651">
        <f>SUM(E40:N40,R40:V40)</f>
        <v>0</v>
      </c>
      <c r="E40" s="651"/>
      <c r="F40" s="651"/>
      <c r="G40" s="651"/>
      <c r="H40" s="651"/>
      <c r="I40" s="651"/>
      <c r="J40" s="651"/>
      <c r="K40" s="651"/>
      <c r="L40" s="651"/>
      <c r="M40" s="651"/>
      <c r="N40" s="651"/>
      <c r="O40" s="651"/>
      <c r="P40" s="651"/>
      <c r="Q40" s="651"/>
      <c r="R40" s="651"/>
      <c r="S40" s="651"/>
      <c r="T40" s="651"/>
      <c r="U40" s="651"/>
      <c r="V40" s="651"/>
      <c r="W40" s="653"/>
      <c r="X40" s="654"/>
      <c r="Y40" s="631"/>
      <c r="Z40" s="631"/>
      <c r="AA40" s="660"/>
    </row>
    <row r="41" spans="1:27" s="78" customFormat="1" ht="18" customHeight="1">
      <c r="A41" s="645">
        <v>2</v>
      </c>
      <c r="B41" s="646" t="s">
        <v>495</v>
      </c>
      <c r="C41" s="647">
        <f>+C54+C42+C51</f>
        <v>75730000000</v>
      </c>
      <c r="D41" s="647">
        <f>+D54+D42+D51</f>
        <v>142400713752</v>
      </c>
      <c r="E41" s="647">
        <f t="shared" ref="E41:U41" si="11">+E54+E42+E51</f>
        <v>3815676376</v>
      </c>
      <c r="F41" s="647">
        <f t="shared" si="11"/>
        <v>0</v>
      </c>
      <c r="G41" s="647">
        <f t="shared" si="11"/>
        <v>0</v>
      </c>
      <c r="H41" s="647">
        <f t="shared" si="11"/>
        <v>0</v>
      </c>
      <c r="I41" s="647">
        <f t="shared" si="11"/>
        <v>1796150000</v>
      </c>
      <c r="J41" s="647">
        <f t="shared" si="11"/>
        <v>4484613600</v>
      </c>
      <c r="K41" s="647">
        <f t="shared" si="11"/>
        <v>0</v>
      </c>
      <c r="L41" s="647">
        <f t="shared" si="11"/>
        <v>0</v>
      </c>
      <c r="M41" s="647">
        <f t="shared" si="11"/>
        <v>0</v>
      </c>
      <c r="N41" s="647">
        <f t="shared" si="11"/>
        <v>49061503347</v>
      </c>
      <c r="O41" s="647">
        <f t="shared" si="11"/>
        <v>8330129000</v>
      </c>
      <c r="P41" s="647">
        <f t="shared" si="11"/>
        <v>34884499547</v>
      </c>
      <c r="Q41" s="647">
        <f t="shared" si="11"/>
        <v>5846874800</v>
      </c>
      <c r="R41" s="647">
        <f t="shared" si="11"/>
        <v>0</v>
      </c>
      <c r="S41" s="647">
        <f t="shared" si="11"/>
        <v>595385690</v>
      </c>
      <c r="T41" s="647">
        <f t="shared" si="11"/>
        <v>0</v>
      </c>
      <c r="U41" s="647">
        <f t="shared" si="11"/>
        <v>0</v>
      </c>
      <c r="V41" s="647">
        <f>+V54+V42+V51</f>
        <v>82647384739</v>
      </c>
      <c r="W41" s="648">
        <f t="shared" si="3"/>
        <v>1.8803738776178529</v>
      </c>
      <c r="X41" s="658"/>
      <c r="Y41" s="656"/>
      <c r="Z41" s="656"/>
      <c r="AA41" s="655"/>
    </row>
    <row r="42" spans="1:27" s="199" customFormat="1" ht="18" customHeight="1">
      <c r="A42" s="649" t="s">
        <v>261</v>
      </c>
      <c r="B42" s="659" t="s">
        <v>506</v>
      </c>
      <c r="C42" s="651">
        <f t="shared" ref="C42:U42" si="12">SUM(C43:C50)</f>
        <v>32537000000</v>
      </c>
      <c r="D42" s="651">
        <f>SUM(D43:D50)</f>
        <v>46167979376</v>
      </c>
      <c r="E42" s="651">
        <f t="shared" si="12"/>
        <v>2491908376</v>
      </c>
      <c r="F42" s="651">
        <f t="shared" si="12"/>
        <v>0</v>
      </c>
      <c r="G42" s="651">
        <f t="shared" si="12"/>
        <v>0</v>
      </c>
      <c r="H42" s="651">
        <f t="shared" si="12"/>
        <v>0</v>
      </c>
      <c r="I42" s="651">
        <f t="shared" si="12"/>
        <v>1796150000</v>
      </c>
      <c r="J42" s="651">
        <f t="shared" si="12"/>
        <v>2066149600</v>
      </c>
      <c r="K42" s="651">
        <f t="shared" si="12"/>
        <v>0</v>
      </c>
      <c r="L42" s="651">
        <f t="shared" si="12"/>
        <v>0</v>
      </c>
      <c r="M42" s="651">
        <f t="shared" si="12"/>
        <v>0</v>
      </c>
      <c r="N42" s="651">
        <f t="shared" si="12"/>
        <v>9697892800</v>
      </c>
      <c r="O42" s="651">
        <f t="shared" si="12"/>
        <v>8330129000</v>
      </c>
      <c r="P42" s="651">
        <f t="shared" si="12"/>
        <v>0</v>
      </c>
      <c r="Q42" s="651">
        <f t="shared" si="12"/>
        <v>1367763800</v>
      </c>
      <c r="R42" s="651">
        <f t="shared" si="12"/>
        <v>0</v>
      </c>
      <c r="S42" s="651">
        <f t="shared" si="12"/>
        <v>0</v>
      </c>
      <c r="T42" s="651">
        <f t="shared" si="12"/>
        <v>0</v>
      </c>
      <c r="U42" s="651">
        <f t="shared" si="12"/>
        <v>0</v>
      </c>
      <c r="V42" s="651">
        <f>SUM(V43:V50)</f>
        <v>30115878600</v>
      </c>
      <c r="W42" s="653">
        <f t="shared" si="3"/>
        <v>1.4189378054522543</v>
      </c>
      <c r="X42" s="654"/>
      <c r="Y42" s="631"/>
      <c r="Z42" s="631"/>
      <c r="AA42" s="660"/>
    </row>
    <row r="43" spans="1:27" s="199" customFormat="1" ht="18" customHeight="1">
      <c r="A43" s="649"/>
      <c r="B43" s="659" t="s">
        <v>325</v>
      </c>
      <c r="C43" s="651">
        <v>14964000000</v>
      </c>
      <c r="D43" s="651">
        <f t="shared" ref="D43:D50" si="13">SUM(E43:N43,R43:V43)</f>
        <v>4304000000</v>
      </c>
      <c r="E43" s="651"/>
      <c r="F43" s="651"/>
      <c r="G43" s="651"/>
      <c r="H43" s="651"/>
      <c r="I43" s="651"/>
      <c r="J43" s="651"/>
      <c r="K43" s="651"/>
      <c r="L43" s="651"/>
      <c r="M43" s="651"/>
      <c r="N43" s="651">
        <f t="shared" ref="N43:N50" si="14">O43+P43+Q43</f>
        <v>2890129000</v>
      </c>
      <c r="O43" s="651">
        <v>1920129000</v>
      </c>
      <c r="P43" s="651"/>
      <c r="Q43" s="651">
        <v>970000000</v>
      </c>
      <c r="R43" s="651"/>
      <c r="S43" s="651"/>
      <c r="T43" s="651"/>
      <c r="U43" s="651"/>
      <c r="V43" s="651">
        <v>1413871000</v>
      </c>
      <c r="W43" s="653">
        <f t="shared" si="3"/>
        <v>0.28762363004544239</v>
      </c>
      <c r="X43" s="654"/>
      <c r="Y43" s="631"/>
      <c r="Z43" s="631"/>
      <c r="AA43" s="660"/>
    </row>
    <row r="44" spans="1:27" s="199" customFormat="1" ht="18" customHeight="1">
      <c r="A44" s="649"/>
      <c r="B44" s="659" t="s">
        <v>190</v>
      </c>
      <c r="C44" s="651">
        <v>1815000000</v>
      </c>
      <c r="D44" s="651">
        <f t="shared" si="13"/>
        <v>1815000000</v>
      </c>
      <c r="E44" s="651"/>
      <c r="F44" s="651"/>
      <c r="G44" s="651"/>
      <c r="H44" s="651"/>
      <c r="I44" s="651">
        <v>1796150000</v>
      </c>
      <c r="J44" s="651"/>
      <c r="K44" s="651"/>
      <c r="L44" s="651"/>
      <c r="M44" s="651"/>
      <c r="N44" s="651">
        <f t="shared" si="14"/>
        <v>0</v>
      </c>
      <c r="O44" s="651"/>
      <c r="P44" s="651"/>
      <c r="Q44" s="651"/>
      <c r="R44" s="651"/>
      <c r="S44" s="651"/>
      <c r="T44" s="651"/>
      <c r="U44" s="651"/>
      <c r="V44" s="651">
        <v>18850000</v>
      </c>
      <c r="W44" s="653">
        <f t="shared" si="3"/>
        <v>1</v>
      </c>
      <c r="X44" s="654"/>
      <c r="Y44" s="631"/>
      <c r="Z44" s="631"/>
      <c r="AA44" s="660"/>
    </row>
    <row r="45" spans="1:27" s="199" customFormat="1" ht="18" customHeight="1">
      <c r="A45" s="649"/>
      <c r="B45" s="659" t="s">
        <v>343</v>
      </c>
      <c r="C45" s="651">
        <v>4168000000</v>
      </c>
      <c r="D45" s="651">
        <f t="shared" si="13"/>
        <v>4787398476</v>
      </c>
      <c r="E45" s="651">
        <v>1104127476</v>
      </c>
      <c r="F45" s="651"/>
      <c r="G45" s="651"/>
      <c r="H45" s="651"/>
      <c r="I45" s="651"/>
      <c r="J45" s="651">
        <v>468290000</v>
      </c>
      <c r="K45" s="651"/>
      <c r="L45" s="651"/>
      <c r="M45" s="651"/>
      <c r="N45" s="651">
        <f t="shared" si="14"/>
        <v>397763800</v>
      </c>
      <c r="O45" s="651"/>
      <c r="P45" s="651"/>
      <c r="Q45" s="651">
        <v>397763800</v>
      </c>
      <c r="R45" s="651"/>
      <c r="S45" s="651"/>
      <c r="T45" s="651"/>
      <c r="U45" s="651"/>
      <c r="V45" s="651">
        <v>2817217200</v>
      </c>
      <c r="W45" s="653">
        <f t="shared" si="3"/>
        <v>1.1486080796545106</v>
      </c>
      <c r="X45" s="654"/>
      <c r="Y45" s="631"/>
      <c r="Z45" s="631"/>
      <c r="AA45" s="660"/>
    </row>
    <row r="46" spans="1:27" s="199" customFormat="1" ht="18" customHeight="1">
      <c r="A46" s="649"/>
      <c r="B46" s="659" t="s">
        <v>196</v>
      </c>
      <c r="C46" s="651">
        <v>1730000000</v>
      </c>
      <c r="D46" s="651">
        <f t="shared" si="13"/>
        <v>2100000000</v>
      </c>
      <c r="E46" s="651"/>
      <c r="F46" s="651"/>
      <c r="G46" s="651"/>
      <c r="H46" s="651"/>
      <c r="I46" s="651"/>
      <c r="J46" s="651">
        <v>1597859600</v>
      </c>
      <c r="K46" s="651"/>
      <c r="L46" s="651"/>
      <c r="M46" s="651"/>
      <c r="N46" s="651">
        <f t="shared" si="14"/>
        <v>0</v>
      </c>
      <c r="O46" s="651"/>
      <c r="P46" s="651"/>
      <c r="Q46" s="651"/>
      <c r="R46" s="651"/>
      <c r="S46" s="651"/>
      <c r="T46" s="651"/>
      <c r="U46" s="651"/>
      <c r="V46" s="651">
        <v>502140400</v>
      </c>
      <c r="W46" s="653">
        <f t="shared" si="3"/>
        <v>1.2138728323699421</v>
      </c>
      <c r="X46" s="654"/>
      <c r="Y46" s="631"/>
      <c r="Z46" s="631"/>
      <c r="AA46" s="660"/>
    </row>
    <row r="47" spans="1:27" s="199" customFormat="1" ht="18" customHeight="1">
      <c r="A47" s="649"/>
      <c r="B47" s="659" t="s">
        <v>314</v>
      </c>
      <c r="C47" s="651">
        <v>3450000000</v>
      </c>
      <c r="D47" s="651">
        <f t="shared" si="13"/>
        <v>4512580900</v>
      </c>
      <c r="E47" s="651">
        <v>1387780900</v>
      </c>
      <c r="F47" s="651"/>
      <c r="G47" s="651"/>
      <c r="H47" s="651"/>
      <c r="I47" s="651"/>
      <c r="J47" s="651"/>
      <c r="K47" s="651"/>
      <c r="L47" s="651"/>
      <c r="M47" s="651"/>
      <c r="N47" s="651">
        <f t="shared" si="14"/>
        <v>0</v>
      </c>
      <c r="O47" s="651"/>
      <c r="P47" s="651"/>
      <c r="Q47" s="651"/>
      <c r="R47" s="651"/>
      <c r="S47" s="651"/>
      <c r="T47" s="651"/>
      <c r="U47" s="651"/>
      <c r="V47" s="651">
        <v>3124800000</v>
      </c>
      <c r="W47" s="653">
        <f t="shared" si="3"/>
        <v>1.307994463768116</v>
      </c>
      <c r="X47" s="654"/>
      <c r="Y47" s="631"/>
      <c r="Z47" s="631"/>
      <c r="AA47" s="660"/>
    </row>
    <row r="48" spans="1:27" s="199" customFormat="1" ht="18" customHeight="1">
      <c r="A48" s="649"/>
      <c r="B48" s="650" t="s">
        <v>392</v>
      </c>
      <c r="C48" s="651"/>
      <c r="D48" s="651">
        <f t="shared" si="13"/>
        <v>22219000000</v>
      </c>
      <c r="E48" s="651"/>
      <c r="F48" s="651"/>
      <c r="G48" s="651"/>
      <c r="H48" s="651"/>
      <c r="I48" s="651"/>
      <c r="J48" s="651"/>
      <c r="K48" s="651"/>
      <c r="L48" s="651"/>
      <c r="M48" s="651"/>
      <c r="N48" s="651"/>
      <c r="O48" s="651"/>
      <c r="P48" s="651"/>
      <c r="Q48" s="651"/>
      <c r="R48" s="651"/>
      <c r="S48" s="651"/>
      <c r="T48" s="651"/>
      <c r="U48" s="651"/>
      <c r="V48" s="651">
        <v>22219000000</v>
      </c>
      <c r="W48" s="653"/>
      <c r="X48" s="654"/>
      <c r="Y48" s="631"/>
      <c r="Z48" s="631"/>
      <c r="AA48" s="660"/>
    </row>
    <row r="49" spans="1:27" s="199" customFormat="1" ht="18" customHeight="1">
      <c r="A49" s="649"/>
      <c r="B49" s="659" t="s">
        <v>400</v>
      </c>
      <c r="C49" s="651">
        <v>6410000000</v>
      </c>
      <c r="D49" s="651">
        <f t="shared" si="13"/>
        <v>6410000000</v>
      </c>
      <c r="E49" s="651"/>
      <c r="F49" s="651"/>
      <c r="G49" s="651"/>
      <c r="H49" s="651"/>
      <c r="I49" s="651"/>
      <c r="J49" s="651"/>
      <c r="K49" s="651"/>
      <c r="L49" s="651"/>
      <c r="M49" s="651"/>
      <c r="N49" s="651">
        <f t="shared" si="14"/>
        <v>6410000000</v>
      </c>
      <c r="O49" s="651">
        <v>6410000000</v>
      </c>
      <c r="P49" s="651"/>
      <c r="Q49" s="651"/>
      <c r="R49" s="651"/>
      <c r="S49" s="651"/>
      <c r="T49" s="651"/>
      <c r="U49" s="651"/>
      <c r="V49" s="651">
        <v>0</v>
      </c>
      <c r="W49" s="653">
        <f t="shared" si="3"/>
        <v>1</v>
      </c>
      <c r="X49" s="654"/>
      <c r="Y49" s="631"/>
      <c r="Z49" s="631"/>
      <c r="AA49" s="660"/>
    </row>
    <row r="50" spans="1:27" s="78" customFormat="1" ht="18" customHeight="1">
      <c r="A50" s="649"/>
      <c r="B50" s="650" t="s">
        <v>332</v>
      </c>
      <c r="C50" s="651"/>
      <c r="D50" s="651">
        <f t="shared" si="13"/>
        <v>20000000</v>
      </c>
      <c r="E50" s="651"/>
      <c r="F50" s="651"/>
      <c r="G50" s="651"/>
      <c r="H50" s="651"/>
      <c r="I50" s="651"/>
      <c r="J50" s="651"/>
      <c r="K50" s="651"/>
      <c r="L50" s="651"/>
      <c r="M50" s="651"/>
      <c r="N50" s="651">
        <f t="shared" si="14"/>
        <v>0</v>
      </c>
      <c r="O50" s="651"/>
      <c r="P50" s="651"/>
      <c r="Q50" s="651"/>
      <c r="R50" s="651"/>
      <c r="S50" s="651"/>
      <c r="T50" s="651"/>
      <c r="U50" s="651"/>
      <c r="V50" s="651">
        <v>20000000</v>
      </c>
      <c r="W50" s="653"/>
      <c r="X50" s="654"/>
      <c r="Y50" s="631"/>
      <c r="Z50" s="631"/>
      <c r="AA50" s="655"/>
    </row>
    <row r="51" spans="1:27" s="199" customFormat="1" ht="18" customHeight="1">
      <c r="A51" s="649" t="s">
        <v>263</v>
      </c>
      <c r="B51" s="659" t="s">
        <v>507</v>
      </c>
      <c r="C51" s="651">
        <f>SUM(C52:C53)</f>
        <v>230000000</v>
      </c>
      <c r="D51" s="651">
        <f>SUM(D52:D53)</f>
        <v>237010376</v>
      </c>
      <c r="E51" s="651">
        <f t="shared" ref="E51:U51" si="15">SUM(E52:E53)</f>
        <v>0</v>
      </c>
      <c r="F51" s="651">
        <f t="shared" si="15"/>
        <v>0</v>
      </c>
      <c r="G51" s="651">
        <f t="shared" si="15"/>
        <v>0</v>
      </c>
      <c r="H51" s="651">
        <f t="shared" si="15"/>
        <v>0</v>
      </c>
      <c r="I51" s="651">
        <f t="shared" si="15"/>
        <v>0</v>
      </c>
      <c r="J51" s="651">
        <f t="shared" si="15"/>
        <v>0</v>
      </c>
      <c r="K51" s="651">
        <f t="shared" si="15"/>
        <v>0</v>
      </c>
      <c r="L51" s="651">
        <f t="shared" si="15"/>
        <v>0</v>
      </c>
      <c r="M51" s="651">
        <f t="shared" si="15"/>
        <v>0</v>
      </c>
      <c r="N51" s="651">
        <f t="shared" si="15"/>
        <v>236950000</v>
      </c>
      <c r="O51" s="651">
        <f t="shared" si="15"/>
        <v>0</v>
      </c>
      <c r="P51" s="651">
        <f t="shared" si="15"/>
        <v>0</v>
      </c>
      <c r="Q51" s="651">
        <f t="shared" si="15"/>
        <v>236950000</v>
      </c>
      <c r="R51" s="651">
        <f t="shared" si="15"/>
        <v>0</v>
      </c>
      <c r="S51" s="651">
        <f t="shared" si="15"/>
        <v>0</v>
      </c>
      <c r="T51" s="651">
        <f t="shared" si="15"/>
        <v>0</v>
      </c>
      <c r="U51" s="651">
        <f t="shared" si="15"/>
        <v>0</v>
      </c>
      <c r="V51" s="651">
        <f>SUM(V52:V53)</f>
        <v>60376</v>
      </c>
      <c r="W51" s="653">
        <f t="shared" si="3"/>
        <v>1.0304798956521739</v>
      </c>
      <c r="X51" s="654"/>
      <c r="Y51" s="631"/>
      <c r="Z51" s="631"/>
      <c r="AA51" s="660"/>
    </row>
    <row r="52" spans="1:27" s="199" customFormat="1" ht="18" customHeight="1">
      <c r="A52" s="649"/>
      <c r="B52" s="659" t="s">
        <v>345</v>
      </c>
      <c r="C52" s="651">
        <v>230000000</v>
      </c>
      <c r="D52" s="651">
        <f>SUM(E52:N52,R52:V52)</f>
        <v>237010376</v>
      </c>
      <c r="E52" s="651"/>
      <c r="F52" s="651"/>
      <c r="G52" s="651"/>
      <c r="H52" s="651"/>
      <c r="I52" s="651"/>
      <c r="J52" s="651"/>
      <c r="K52" s="651"/>
      <c r="L52" s="651"/>
      <c r="M52" s="651"/>
      <c r="N52" s="651">
        <f>O52+P52+Q52</f>
        <v>236950000</v>
      </c>
      <c r="O52" s="651"/>
      <c r="P52" s="651"/>
      <c r="Q52" s="651">
        <f>+[4]B54!GH25+[4]B54!GI25</f>
        <v>236950000</v>
      </c>
      <c r="R52" s="651"/>
      <c r="S52" s="651"/>
      <c r="T52" s="651"/>
      <c r="U52" s="651"/>
      <c r="V52" s="651">
        <v>60376</v>
      </c>
      <c r="W52" s="653">
        <f t="shared" si="3"/>
        <v>1.0304798956521739</v>
      </c>
      <c r="X52" s="654"/>
      <c r="Y52" s="631"/>
      <c r="Z52" s="631"/>
      <c r="AA52" s="660"/>
    </row>
    <row r="53" spans="1:27" s="199" customFormat="1" ht="18" customHeight="1">
      <c r="A53" s="649"/>
      <c r="B53" s="650" t="s">
        <v>332</v>
      </c>
      <c r="C53" s="651"/>
      <c r="D53" s="651">
        <f>SUM(E53:N53,R53:V53)</f>
        <v>0</v>
      </c>
      <c r="E53" s="651"/>
      <c r="F53" s="651"/>
      <c r="G53" s="651"/>
      <c r="H53" s="651"/>
      <c r="I53" s="651"/>
      <c r="J53" s="651"/>
      <c r="K53" s="651"/>
      <c r="L53" s="651"/>
      <c r="M53" s="651"/>
      <c r="N53" s="651">
        <f>O53+P53+Q53</f>
        <v>0</v>
      </c>
      <c r="O53" s="651"/>
      <c r="P53" s="651"/>
      <c r="Q53" s="651"/>
      <c r="R53" s="651"/>
      <c r="S53" s="651"/>
      <c r="T53" s="651"/>
      <c r="U53" s="651"/>
      <c r="V53" s="651"/>
      <c r="W53" s="653"/>
      <c r="X53" s="654"/>
      <c r="Y53" s="631"/>
      <c r="Z53" s="631"/>
      <c r="AA53" s="660"/>
    </row>
    <row r="54" spans="1:27" s="199" customFormat="1" ht="30.75" customHeight="1">
      <c r="A54" s="649" t="s">
        <v>508</v>
      </c>
      <c r="B54" s="661" t="s">
        <v>509</v>
      </c>
      <c r="C54" s="651">
        <f>SUM(C55:C62)</f>
        <v>42963000000</v>
      </c>
      <c r="D54" s="651">
        <f>SUM(D55:D62)</f>
        <v>95995724000</v>
      </c>
      <c r="E54" s="651">
        <f t="shared" ref="E54:U54" si="16">SUM(E55:E62)</f>
        <v>1323768000</v>
      </c>
      <c r="F54" s="651">
        <f t="shared" si="16"/>
        <v>0</v>
      </c>
      <c r="G54" s="651">
        <f t="shared" si="16"/>
        <v>0</v>
      </c>
      <c r="H54" s="651">
        <f t="shared" si="16"/>
        <v>0</v>
      </c>
      <c r="I54" s="651">
        <f t="shared" si="16"/>
        <v>0</v>
      </c>
      <c r="J54" s="651">
        <f t="shared" si="16"/>
        <v>2418464000</v>
      </c>
      <c r="K54" s="651">
        <f t="shared" si="16"/>
        <v>0</v>
      </c>
      <c r="L54" s="651">
        <f t="shared" si="16"/>
        <v>0</v>
      </c>
      <c r="M54" s="651">
        <f t="shared" si="16"/>
        <v>0</v>
      </c>
      <c r="N54" s="651">
        <f t="shared" si="16"/>
        <v>39126660547</v>
      </c>
      <c r="O54" s="651">
        <f t="shared" si="16"/>
        <v>0</v>
      </c>
      <c r="P54" s="651">
        <f t="shared" si="16"/>
        <v>34884499547</v>
      </c>
      <c r="Q54" s="651">
        <f t="shared" si="16"/>
        <v>4242161000</v>
      </c>
      <c r="R54" s="651">
        <f t="shared" si="16"/>
        <v>0</v>
      </c>
      <c r="S54" s="651">
        <f t="shared" si="16"/>
        <v>595385690</v>
      </c>
      <c r="T54" s="651">
        <f t="shared" si="16"/>
        <v>0</v>
      </c>
      <c r="U54" s="651">
        <f t="shared" si="16"/>
        <v>0</v>
      </c>
      <c r="V54" s="651">
        <f>SUM(V55:V62)</f>
        <v>52531445763</v>
      </c>
      <c r="W54" s="653">
        <f t="shared" si="3"/>
        <v>2.2343813048437027</v>
      </c>
      <c r="X54" s="654"/>
      <c r="Y54" s="631"/>
      <c r="Z54" s="631"/>
      <c r="AA54" s="660"/>
    </row>
    <row r="55" spans="1:27" s="78" customFormat="1" ht="18" customHeight="1">
      <c r="A55" s="649"/>
      <c r="B55" s="650" t="s">
        <v>729</v>
      </c>
      <c r="C55" s="651">
        <v>3846000000</v>
      </c>
      <c r="D55" s="651">
        <f>SUM(E55:N55,R55:V55)</f>
        <v>1111000000</v>
      </c>
      <c r="E55" s="651"/>
      <c r="F55" s="651"/>
      <c r="G55" s="651"/>
      <c r="H55" s="651"/>
      <c r="I55" s="651"/>
      <c r="J55" s="651"/>
      <c r="K55" s="651"/>
      <c r="L55" s="651"/>
      <c r="M55" s="651"/>
      <c r="N55" s="651">
        <f t="shared" ref="N55:N62" si="17">O55+P55+Q55</f>
        <v>0</v>
      </c>
      <c r="O55" s="651"/>
      <c r="P55" s="651"/>
      <c r="Q55" s="651"/>
      <c r="R55" s="651"/>
      <c r="S55" s="651">
        <v>340256510</v>
      </c>
      <c r="T55" s="651"/>
      <c r="U55" s="651"/>
      <c r="V55" s="651">
        <v>770743490</v>
      </c>
      <c r="W55" s="653">
        <f t="shared" si="3"/>
        <v>0.28887155486219451</v>
      </c>
      <c r="X55" s="654"/>
      <c r="Y55" s="631"/>
      <c r="Z55" s="631"/>
      <c r="AA55" s="655"/>
    </row>
    <row r="56" spans="1:27" s="199" customFormat="1" ht="18" customHeight="1">
      <c r="A56" s="649"/>
      <c r="B56" s="659" t="s">
        <v>345</v>
      </c>
      <c r="C56" s="651">
        <v>18316000000</v>
      </c>
      <c r="D56" s="651">
        <f>SUM(E56:N56,R56:V56)</f>
        <v>0</v>
      </c>
      <c r="E56" s="651"/>
      <c r="F56" s="651"/>
      <c r="G56" s="651"/>
      <c r="H56" s="651"/>
      <c r="I56" s="651"/>
      <c r="J56" s="651"/>
      <c r="K56" s="651"/>
      <c r="L56" s="651"/>
      <c r="M56" s="651"/>
      <c r="N56" s="651">
        <f t="shared" si="17"/>
        <v>0</v>
      </c>
      <c r="O56" s="651"/>
      <c r="P56" s="651"/>
      <c r="Q56" s="651"/>
      <c r="R56" s="651"/>
      <c r="S56" s="651"/>
      <c r="T56" s="651"/>
      <c r="U56" s="651"/>
      <c r="V56" s="651"/>
      <c r="W56" s="653"/>
      <c r="X56" s="654"/>
      <c r="Y56" s="631"/>
      <c r="Z56" s="631"/>
      <c r="AA56" s="660"/>
    </row>
    <row r="57" spans="1:27" s="78" customFormat="1" ht="18" customHeight="1">
      <c r="A57" s="649"/>
      <c r="B57" s="650" t="s">
        <v>193</v>
      </c>
      <c r="C57" s="651">
        <v>5134000000</v>
      </c>
      <c r="D57" s="651">
        <f t="shared" ref="D57:D62" si="18">SUM(E57:N57,R57:V57)</f>
        <v>5425000000</v>
      </c>
      <c r="E57" s="651"/>
      <c r="F57" s="651"/>
      <c r="G57" s="651"/>
      <c r="H57" s="651"/>
      <c r="I57" s="651"/>
      <c r="J57" s="651"/>
      <c r="K57" s="651"/>
      <c r="L57" s="651"/>
      <c r="M57" s="651"/>
      <c r="N57" s="651">
        <f t="shared" si="17"/>
        <v>4242161000</v>
      </c>
      <c r="O57" s="651"/>
      <c r="P57" s="651"/>
      <c r="Q57" s="651">
        <f>4191536000+50625000</f>
        <v>4242161000</v>
      </c>
      <c r="R57" s="651"/>
      <c r="S57" s="651">
        <v>255129180</v>
      </c>
      <c r="T57" s="651"/>
      <c r="U57" s="651"/>
      <c r="V57" s="651">
        <v>927709820</v>
      </c>
      <c r="W57" s="653">
        <f t="shared" si="3"/>
        <v>1.0566809505259058</v>
      </c>
      <c r="X57" s="654"/>
      <c r="Y57" s="631"/>
      <c r="Z57" s="631"/>
      <c r="AA57" s="655"/>
    </row>
    <row r="58" spans="1:27" s="78" customFormat="1" ht="18" customHeight="1">
      <c r="A58" s="649"/>
      <c r="B58" s="650" t="s">
        <v>343</v>
      </c>
      <c r="C58" s="651"/>
      <c r="D58" s="651">
        <f t="shared" si="18"/>
        <v>1328000000</v>
      </c>
      <c r="E58" s="651"/>
      <c r="F58" s="651"/>
      <c r="G58" s="651"/>
      <c r="H58" s="651"/>
      <c r="I58" s="651"/>
      <c r="J58" s="651"/>
      <c r="K58" s="651"/>
      <c r="L58" s="651"/>
      <c r="M58" s="651"/>
      <c r="N58" s="651">
        <f t="shared" si="17"/>
        <v>0</v>
      </c>
      <c r="O58" s="651"/>
      <c r="P58" s="651"/>
      <c r="Q58" s="651"/>
      <c r="R58" s="651"/>
      <c r="S58" s="651"/>
      <c r="T58" s="651"/>
      <c r="U58" s="651"/>
      <c r="V58" s="651">
        <v>1328000000</v>
      </c>
      <c r="W58" s="653"/>
      <c r="X58" s="654"/>
      <c r="Y58" s="631"/>
      <c r="Z58" s="631"/>
      <c r="AA58" s="655"/>
    </row>
    <row r="59" spans="1:27" s="78" customFormat="1" ht="18" customHeight="1">
      <c r="A59" s="649"/>
      <c r="B59" s="650" t="s">
        <v>196</v>
      </c>
      <c r="C59" s="651">
        <v>2993000000</v>
      </c>
      <c r="D59" s="651">
        <f t="shared" si="18"/>
        <v>2782000000</v>
      </c>
      <c r="E59" s="651"/>
      <c r="F59" s="651"/>
      <c r="G59" s="651"/>
      <c r="H59" s="651"/>
      <c r="I59" s="651"/>
      <c r="J59" s="651">
        <v>2418464000</v>
      </c>
      <c r="K59" s="651"/>
      <c r="L59" s="651"/>
      <c r="M59" s="651"/>
      <c r="N59" s="651">
        <f t="shared" si="17"/>
        <v>0</v>
      </c>
      <c r="O59" s="651"/>
      <c r="P59" s="651"/>
      <c r="Q59" s="651"/>
      <c r="R59" s="651"/>
      <c r="S59" s="651"/>
      <c r="T59" s="651"/>
      <c r="U59" s="651"/>
      <c r="V59" s="651">
        <v>363536000</v>
      </c>
      <c r="W59" s="653">
        <f t="shared" si="3"/>
        <v>0.92950217173404615</v>
      </c>
      <c r="X59" s="654"/>
      <c r="Y59" s="631"/>
      <c r="Z59" s="631"/>
      <c r="AA59" s="655"/>
    </row>
    <row r="60" spans="1:27" s="78" customFormat="1" ht="18" customHeight="1">
      <c r="A60" s="649"/>
      <c r="B60" s="650" t="s">
        <v>392</v>
      </c>
      <c r="C60" s="651"/>
      <c r="D60" s="651">
        <f t="shared" si="18"/>
        <v>69162000000</v>
      </c>
      <c r="E60" s="651"/>
      <c r="F60" s="651"/>
      <c r="G60" s="651"/>
      <c r="H60" s="651"/>
      <c r="I60" s="651"/>
      <c r="J60" s="651"/>
      <c r="K60" s="651"/>
      <c r="L60" s="651"/>
      <c r="M60" s="651"/>
      <c r="N60" s="651">
        <f t="shared" si="17"/>
        <v>34884499547</v>
      </c>
      <c r="O60" s="651"/>
      <c r="P60" s="651">
        <v>34884499547</v>
      </c>
      <c r="Q60" s="651"/>
      <c r="R60" s="651"/>
      <c r="S60" s="651"/>
      <c r="T60" s="651"/>
      <c r="U60" s="651"/>
      <c r="V60" s="651">
        <v>34277500453</v>
      </c>
      <c r="W60" s="653"/>
      <c r="X60" s="654"/>
      <c r="Y60" s="631"/>
      <c r="Z60" s="631"/>
      <c r="AA60" s="655"/>
    </row>
    <row r="61" spans="1:27" s="78" customFormat="1" ht="18" customHeight="1">
      <c r="A61" s="649"/>
      <c r="B61" s="650" t="s">
        <v>314</v>
      </c>
      <c r="C61" s="651">
        <v>12674000000</v>
      </c>
      <c r="D61" s="651">
        <f t="shared" si="18"/>
        <v>16187724000</v>
      </c>
      <c r="E61" s="651">
        <v>1323768000</v>
      </c>
      <c r="F61" s="651"/>
      <c r="G61" s="651"/>
      <c r="H61" s="651"/>
      <c r="I61" s="651"/>
      <c r="J61" s="651"/>
      <c r="K61" s="651"/>
      <c r="L61" s="651"/>
      <c r="M61" s="651"/>
      <c r="N61" s="651">
        <f t="shared" si="17"/>
        <v>0</v>
      </c>
      <c r="O61" s="651"/>
      <c r="P61" s="651"/>
      <c r="Q61" s="651"/>
      <c r="R61" s="651"/>
      <c r="S61" s="651"/>
      <c r="T61" s="651"/>
      <c r="U61" s="651"/>
      <c r="V61" s="651">
        <v>14863956000</v>
      </c>
      <c r="W61" s="653">
        <f t="shared" si="3"/>
        <v>1.2772387565093892</v>
      </c>
      <c r="X61" s="654"/>
      <c r="Y61" s="631"/>
      <c r="Z61" s="631"/>
      <c r="AA61" s="655"/>
    </row>
    <row r="62" spans="1:27" s="78" customFormat="1" ht="18" customHeight="1">
      <c r="A62" s="649"/>
      <c r="B62" s="650" t="s">
        <v>332</v>
      </c>
      <c r="C62" s="651"/>
      <c r="D62" s="651">
        <f t="shared" si="18"/>
        <v>0</v>
      </c>
      <c r="E62" s="651"/>
      <c r="F62" s="651"/>
      <c r="G62" s="651"/>
      <c r="H62" s="651"/>
      <c r="I62" s="651"/>
      <c r="J62" s="651"/>
      <c r="K62" s="651"/>
      <c r="L62" s="651"/>
      <c r="M62" s="651"/>
      <c r="N62" s="651">
        <f t="shared" si="17"/>
        <v>0</v>
      </c>
      <c r="O62" s="651"/>
      <c r="P62" s="651"/>
      <c r="Q62" s="651"/>
      <c r="R62" s="651"/>
      <c r="S62" s="651"/>
      <c r="T62" s="651"/>
      <c r="U62" s="651"/>
      <c r="V62" s="651"/>
      <c r="W62" s="653"/>
      <c r="X62" s="654"/>
      <c r="Y62" s="631"/>
      <c r="Z62" s="631"/>
      <c r="AA62" s="655"/>
    </row>
    <row r="63" spans="1:27" s="78" customFormat="1" ht="29.25" customHeight="1">
      <c r="A63" s="645" t="s">
        <v>13</v>
      </c>
      <c r="B63" s="662" t="s">
        <v>482</v>
      </c>
      <c r="C63" s="647">
        <f>+C64+C66</f>
        <v>28000000</v>
      </c>
      <c r="D63" s="647">
        <f>+D64+D66</f>
        <v>101666500</v>
      </c>
      <c r="E63" s="647">
        <f t="shared" ref="E63:V63" si="19">+E64+E66</f>
        <v>0</v>
      </c>
      <c r="F63" s="647">
        <f t="shared" si="19"/>
        <v>0</v>
      </c>
      <c r="G63" s="647">
        <f t="shared" si="19"/>
        <v>0</v>
      </c>
      <c r="H63" s="647">
        <f t="shared" si="19"/>
        <v>95000000</v>
      </c>
      <c r="I63" s="647">
        <f t="shared" si="19"/>
        <v>0</v>
      </c>
      <c r="J63" s="647">
        <f t="shared" si="19"/>
        <v>0</v>
      </c>
      <c r="K63" s="647">
        <f t="shared" si="19"/>
        <v>0</v>
      </c>
      <c r="L63" s="647">
        <f t="shared" si="19"/>
        <v>0</v>
      </c>
      <c r="M63" s="647">
        <f t="shared" si="19"/>
        <v>0</v>
      </c>
      <c r="N63" s="647">
        <f t="shared" si="19"/>
        <v>0</v>
      </c>
      <c r="O63" s="647">
        <f t="shared" si="19"/>
        <v>0</v>
      </c>
      <c r="P63" s="647">
        <f t="shared" si="19"/>
        <v>0</v>
      </c>
      <c r="Q63" s="647">
        <f t="shared" si="19"/>
        <v>0</v>
      </c>
      <c r="R63" s="647">
        <f t="shared" si="19"/>
        <v>0</v>
      </c>
      <c r="S63" s="647">
        <f t="shared" si="19"/>
        <v>0</v>
      </c>
      <c r="T63" s="647">
        <f t="shared" si="19"/>
        <v>0</v>
      </c>
      <c r="U63" s="647">
        <f t="shared" si="19"/>
        <v>6666500</v>
      </c>
      <c r="V63" s="647">
        <f t="shared" si="19"/>
        <v>0</v>
      </c>
      <c r="W63" s="648">
        <f t="shared" si="3"/>
        <v>3.6309464285714284</v>
      </c>
      <c r="X63" s="658"/>
      <c r="Y63" s="631"/>
      <c r="Z63" s="631"/>
      <c r="AA63" s="655"/>
    </row>
    <row r="64" spans="1:27" s="199" customFormat="1" ht="30" customHeight="1">
      <c r="A64" s="649">
        <v>1</v>
      </c>
      <c r="B64" s="663" t="s">
        <v>505</v>
      </c>
      <c r="C64" s="651">
        <f>C65</f>
        <v>28000000</v>
      </c>
      <c r="D64" s="651">
        <f t="shared" ref="D64:V64" si="20">D65</f>
        <v>95000000</v>
      </c>
      <c r="E64" s="651">
        <f t="shared" si="20"/>
        <v>0</v>
      </c>
      <c r="F64" s="651">
        <f t="shared" si="20"/>
        <v>0</v>
      </c>
      <c r="G64" s="651">
        <f t="shared" si="20"/>
        <v>0</v>
      </c>
      <c r="H64" s="651">
        <f t="shared" si="20"/>
        <v>95000000</v>
      </c>
      <c r="I64" s="651">
        <f t="shared" si="20"/>
        <v>0</v>
      </c>
      <c r="J64" s="651">
        <f t="shared" si="20"/>
        <v>0</v>
      </c>
      <c r="K64" s="651">
        <f t="shared" si="20"/>
        <v>0</v>
      </c>
      <c r="L64" s="651">
        <f t="shared" si="20"/>
        <v>0</v>
      </c>
      <c r="M64" s="651">
        <f t="shared" si="20"/>
        <v>0</v>
      </c>
      <c r="N64" s="651">
        <f t="shared" si="20"/>
        <v>0</v>
      </c>
      <c r="O64" s="651">
        <f t="shared" si="20"/>
        <v>0</v>
      </c>
      <c r="P64" s="651">
        <f t="shared" si="20"/>
        <v>0</v>
      </c>
      <c r="Q64" s="651">
        <f t="shared" si="20"/>
        <v>0</v>
      </c>
      <c r="R64" s="651">
        <f t="shared" si="20"/>
        <v>0</v>
      </c>
      <c r="S64" s="651">
        <f t="shared" si="20"/>
        <v>0</v>
      </c>
      <c r="T64" s="651">
        <f t="shared" si="20"/>
        <v>0</v>
      </c>
      <c r="U64" s="651">
        <f t="shared" si="20"/>
        <v>0</v>
      </c>
      <c r="V64" s="651">
        <f t="shared" si="20"/>
        <v>0</v>
      </c>
      <c r="W64" s="653">
        <f t="shared" si="3"/>
        <v>3.3928571428571428</v>
      </c>
      <c r="X64" s="654"/>
      <c r="Y64" s="631"/>
      <c r="Z64" s="631"/>
      <c r="AA64" s="660"/>
    </row>
    <row r="65" spans="1:27" s="199" customFormat="1" ht="18" customHeight="1">
      <c r="A65" s="649"/>
      <c r="B65" s="659" t="s">
        <v>325</v>
      </c>
      <c r="C65" s="651">
        <v>28000000</v>
      </c>
      <c r="D65" s="651">
        <f>SUM(E65:N65,R65:V65)</f>
        <v>95000000</v>
      </c>
      <c r="E65" s="651"/>
      <c r="F65" s="651"/>
      <c r="G65" s="651"/>
      <c r="H65" s="651">
        <v>95000000</v>
      </c>
      <c r="I65" s="651"/>
      <c r="J65" s="651"/>
      <c r="K65" s="651"/>
      <c r="L65" s="651"/>
      <c r="M65" s="651"/>
      <c r="N65" s="651">
        <f>O65+P65+Q65</f>
        <v>0</v>
      </c>
      <c r="O65" s="651"/>
      <c r="P65" s="651"/>
      <c r="Q65" s="651"/>
      <c r="R65" s="651"/>
      <c r="S65" s="651"/>
      <c r="T65" s="651"/>
      <c r="U65" s="651"/>
      <c r="V65" s="651"/>
      <c r="W65" s="653">
        <f t="shared" si="3"/>
        <v>3.3928571428571428</v>
      </c>
      <c r="X65" s="654"/>
      <c r="Y65" s="631"/>
      <c r="Z65" s="631"/>
      <c r="AA65" s="660"/>
    </row>
    <row r="66" spans="1:27" s="199" customFormat="1" ht="30" customHeight="1">
      <c r="A66" s="649">
        <v>2</v>
      </c>
      <c r="B66" s="663" t="s">
        <v>320</v>
      </c>
      <c r="C66" s="651">
        <f>C67</f>
        <v>0</v>
      </c>
      <c r="D66" s="651">
        <f t="shared" ref="D66:V66" si="21">D67</f>
        <v>6666500</v>
      </c>
      <c r="E66" s="651">
        <f t="shared" si="21"/>
        <v>0</v>
      </c>
      <c r="F66" s="651">
        <f t="shared" si="21"/>
        <v>0</v>
      </c>
      <c r="G66" s="651">
        <f t="shared" si="21"/>
        <v>0</v>
      </c>
      <c r="H66" s="651">
        <f t="shared" si="21"/>
        <v>0</v>
      </c>
      <c r="I66" s="651">
        <f t="shared" si="21"/>
        <v>0</v>
      </c>
      <c r="J66" s="651">
        <f t="shared" si="21"/>
        <v>0</v>
      </c>
      <c r="K66" s="651">
        <f t="shared" si="21"/>
        <v>0</v>
      </c>
      <c r="L66" s="651">
        <f t="shared" si="21"/>
        <v>0</v>
      </c>
      <c r="M66" s="651">
        <f t="shared" si="21"/>
        <v>0</v>
      </c>
      <c r="N66" s="651">
        <f t="shared" si="21"/>
        <v>0</v>
      </c>
      <c r="O66" s="651">
        <f t="shared" si="21"/>
        <v>0</v>
      </c>
      <c r="P66" s="651">
        <f t="shared" si="21"/>
        <v>0</v>
      </c>
      <c r="Q66" s="651">
        <f t="shared" si="21"/>
        <v>0</v>
      </c>
      <c r="R66" s="651">
        <f t="shared" si="21"/>
        <v>0</v>
      </c>
      <c r="S66" s="651">
        <f t="shared" si="21"/>
        <v>0</v>
      </c>
      <c r="T66" s="651">
        <f t="shared" si="21"/>
        <v>0</v>
      </c>
      <c r="U66" s="651">
        <f t="shared" si="21"/>
        <v>6666500</v>
      </c>
      <c r="V66" s="651">
        <f t="shared" si="21"/>
        <v>0</v>
      </c>
      <c r="W66" s="653"/>
      <c r="X66" s="654"/>
      <c r="Y66" s="631"/>
      <c r="Z66" s="631"/>
      <c r="AA66" s="660"/>
    </row>
    <row r="67" spans="1:27" s="199" customFormat="1" ht="18" customHeight="1">
      <c r="A67" s="664"/>
      <c r="B67" s="665" t="s">
        <v>332</v>
      </c>
      <c r="C67" s="666"/>
      <c r="D67" s="666">
        <f>SUM(E67:N67,R67:V67)</f>
        <v>6666500</v>
      </c>
      <c r="E67" s="666"/>
      <c r="F67" s="666"/>
      <c r="G67" s="666"/>
      <c r="H67" s="666"/>
      <c r="I67" s="666"/>
      <c r="J67" s="666"/>
      <c r="K67" s="666"/>
      <c r="L67" s="666"/>
      <c r="M67" s="666"/>
      <c r="N67" s="666">
        <f>O67+P67+Q67</f>
        <v>0</v>
      </c>
      <c r="O67" s="666"/>
      <c r="P67" s="666"/>
      <c r="Q67" s="666"/>
      <c r="R67" s="666"/>
      <c r="S67" s="666"/>
      <c r="T67" s="666"/>
      <c r="U67" s="666">
        <f>20004100-13337600</f>
        <v>6666500</v>
      </c>
      <c r="V67" s="666"/>
      <c r="W67" s="667"/>
      <c r="X67" s="654"/>
      <c r="Y67" s="631"/>
      <c r="Z67" s="631"/>
      <c r="AA67" s="660"/>
    </row>
    <row r="68" spans="1:27" ht="18.75">
      <c r="A68" s="5"/>
      <c r="B68" s="5"/>
      <c r="C68" s="5"/>
      <c r="D68" s="76"/>
      <c r="E68" s="5"/>
      <c r="F68" s="5"/>
      <c r="G68" s="5"/>
      <c r="H68" s="5"/>
      <c r="I68" s="5"/>
      <c r="J68" s="5"/>
      <c r="K68" s="5"/>
      <c r="L68" s="5"/>
      <c r="M68" s="5"/>
      <c r="N68" s="5"/>
      <c r="O68" s="5"/>
      <c r="P68" s="5"/>
      <c r="Q68" s="5"/>
      <c r="R68" s="5"/>
      <c r="S68" s="5"/>
      <c r="T68" s="5"/>
      <c r="U68" s="5"/>
      <c r="V68" s="5"/>
      <c r="W68" s="5"/>
      <c r="X68" s="5"/>
    </row>
    <row r="69" spans="1:27" ht="18.75">
      <c r="A69" s="5"/>
      <c r="B69" s="5"/>
      <c r="C69" s="5"/>
      <c r="D69" s="76"/>
      <c r="E69" s="5"/>
      <c r="F69" s="5"/>
      <c r="G69" s="5"/>
      <c r="H69" s="5"/>
      <c r="I69" s="5"/>
      <c r="J69" s="5"/>
      <c r="K69" s="5"/>
      <c r="L69" s="5"/>
      <c r="M69" s="5"/>
      <c r="N69" s="5"/>
      <c r="O69" s="5"/>
      <c r="P69" s="5"/>
      <c r="Q69" s="5"/>
      <c r="R69" s="5"/>
      <c r="S69" s="5"/>
      <c r="T69" s="5"/>
      <c r="U69" s="5"/>
      <c r="V69" s="5"/>
      <c r="W69" s="5"/>
      <c r="X69" s="5"/>
    </row>
  </sheetData>
  <mergeCells count="26">
    <mergeCell ref="A2:W2"/>
    <mergeCell ref="A3:W3"/>
    <mergeCell ref="U5:U8"/>
    <mergeCell ref="V5:V8"/>
    <mergeCell ref="W5:W8"/>
    <mergeCell ref="L5:L8"/>
    <mergeCell ref="G5:G8"/>
    <mergeCell ref="I5:I8"/>
    <mergeCell ref="Q6:Q8"/>
    <mergeCell ref="R5:R8"/>
    <mergeCell ref="N6:N8"/>
    <mergeCell ref="O6:O8"/>
    <mergeCell ref="J5:J8"/>
    <mergeCell ref="S5:S8"/>
    <mergeCell ref="T5:T8"/>
    <mergeCell ref="A5:A8"/>
    <mergeCell ref="B5:B8"/>
    <mergeCell ref="C5:C8"/>
    <mergeCell ref="D5:D8"/>
    <mergeCell ref="F5:F8"/>
    <mergeCell ref="K5:K8"/>
    <mergeCell ref="P6:P8"/>
    <mergeCell ref="H5:H8"/>
    <mergeCell ref="E5:E8"/>
    <mergeCell ref="M5:M8"/>
    <mergeCell ref="N5:Q5"/>
  </mergeCells>
  <phoneticPr fontId="16" type="noConversion"/>
  <pageMargins left="0.23622047244094491" right="0.19685039370078741" top="0.59055118110236227" bottom="0.6692913385826772" header="0" footer="0.51181102362204722"/>
  <pageSetup paperSize="9" scale="59" fitToHeight="0"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FFFF00"/>
    <pageSetUpPr fitToPage="1"/>
  </sheetPr>
  <dimension ref="A1:Z67"/>
  <sheetViews>
    <sheetView showZeros="0" view="pageBreakPreview" zoomScale="115" zoomScaleNormal="120" zoomScaleSheetLayoutView="115" workbookViewId="0">
      <pane xSplit="3" ySplit="9" topLeftCell="D10" activePane="bottomRight" state="frozen"/>
      <selection pane="topRight" activeCell="D1" sqref="D1"/>
      <selection pane="bottomLeft" activeCell="A10" sqref="A10"/>
      <selection pane="bottomRight" activeCell="S11" sqref="S11"/>
    </sheetView>
  </sheetViews>
  <sheetFormatPr defaultColWidth="9" defaultRowHeight="15.75"/>
  <cols>
    <col min="1" max="1" width="4.25" style="48" customWidth="1"/>
    <col min="2" max="2" width="20.875" style="48" customWidth="1"/>
    <col min="3" max="4" width="12.375" style="48" customWidth="1"/>
    <col min="5" max="5" width="12.25" style="48" customWidth="1"/>
    <col min="6" max="6" width="13" style="48" customWidth="1"/>
    <col min="7" max="7" width="12.625" style="48" customWidth="1"/>
    <col min="8" max="8" width="12.75" style="48" customWidth="1"/>
    <col min="9" max="9" width="12.875" style="48" customWidth="1"/>
    <col min="10" max="10" width="12.75" style="48" customWidth="1"/>
    <col min="11" max="11" width="10.625" style="48" customWidth="1"/>
    <col min="12" max="12" width="4.25" style="48" customWidth="1"/>
    <col min="13" max="13" width="13.125" style="48" hidden="1" customWidth="1"/>
    <col min="14" max="14" width="11.25" style="48" hidden="1" customWidth="1"/>
    <col min="15" max="15" width="13.125" style="48" hidden="1" customWidth="1"/>
    <col min="16" max="16" width="8.375" style="48" hidden="1" customWidth="1"/>
    <col min="17" max="17" width="9.125" style="48" bestFit="1" customWidth="1"/>
    <col min="18" max="21" width="9" style="48"/>
    <col min="22" max="22" width="10.375" style="48" bestFit="1" customWidth="1"/>
    <col min="23" max="16384" width="9" style="48"/>
  </cols>
  <sheetData>
    <row r="1" spans="1:16" ht="18" customHeight="1">
      <c r="A1" s="428"/>
      <c r="B1" s="428"/>
      <c r="C1" s="429"/>
      <c r="D1" s="429"/>
      <c r="E1" s="429"/>
      <c r="F1" s="429"/>
      <c r="G1" s="429"/>
      <c r="H1" s="429"/>
      <c r="I1" s="430"/>
      <c r="J1" s="1032" t="s">
        <v>207</v>
      </c>
      <c r="K1" s="1032"/>
      <c r="L1" s="345"/>
    </row>
    <row r="2" spans="1:16" s="5" customFormat="1" ht="19.5" customHeight="1">
      <c r="A2" s="430" t="s">
        <v>240</v>
      </c>
      <c r="B2" s="668"/>
      <c r="C2" s="669"/>
      <c r="D2" s="669"/>
      <c r="E2" s="669"/>
      <c r="F2" s="669"/>
      <c r="G2" s="669"/>
      <c r="H2" s="669"/>
      <c r="I2" s="669"/>
      <c r="J2" s="557"/>
      <c r="K2" s="557"/>
      <c r="L2" s="46"/>
    </row>
    <row r="3" spans="1:16" s="5" customFormat="1" ht="19.5" customHeight="1">
      <c r="A3" s="430" t="s">
        <v>740</v>
      </c>
      <c r="B3" s="668"/>
      <c r="C3" s="669"/>
      <c r="D3" s="669"/>
      <c r="E3" s="669"/>
      <c r="F3" s="669"/>
      <c r="G3" s="669"/>
      <c r="H3" s="669"/>
      <c r="I3" s="669"/>
      <c r="J3" s="557"/>
      <c r="K3" s="557"/>
      <c r="L3" s="46"/>
    </row>
    <row r="4" spans="1:16" s="5" customFormat="1" ht="18" customHeight="1">
      <c r="A4" s="898" t="str">
        <f>'B48'!A3</f>
        <v>(Kèm theo Báo cáo số  289/BC-UBND ngày  17 /6 /2024 của UBND huyện Tuần Giáo)</v>
      </c>
      <c r="B4" s="898"/>
      <c r="C4" s="898"/>
      <c r="D4" s="898"/>
      <c r="E4" s="898"/>
      <c r="F4" s="898"/>
      <c r="G4" s="898"/>
      <c r="H4" s="898"/>
      <c r="I4" s="898"/>
      <c r="J4" s="898"/>
      <c r="K4" s="898"/>
      <c r="L4" s="46"/>
    </row>
    <row r="5" spans="1:16" ht="17.25" customHeight="1">
      <c r="A5" s="433"/>
      <c r="B5" s="670"/>
      <c r="C5" s="324"/>
      <c r="D5" s="324"/>
      <c r="E5" s="604"/>
      <c r="F5" s="671"/>
      <c r="G5" s="672"/>
      <c r="H5" s="673"/>
      <c r="I5" s="673"/>
      <c r="J5" s="1033" t="s">
        <v>201</v>
      </c>
      <c r="K5" s="1033"/>
      <c r="L5" s="99"/>
      <c r="M5" s="66">
        <f>'B56'!C10</f>
        <v>683425000000</v>
      </c>
      <c r="N5" s="66">
        <f>M5-D9</f>
        <v>0</v>
      </c>
    </row>
    <row r="6" spans="1:16" s="47" customFormat="1" ht="18" customHeight="1">
      <c r="A6" s="1034" t="s">
        <v>51</v>
      </c>
      <c r="B6" s="1036" t="s">
        <v>22</v>
      </c>
      <c r="C6" s="1037" t="s">
        <v>208</v>
      </c>
      <c r="D6" s="1037" t="s">
        <v>29</v>
      </c>
      <c r="E6" s="1037"/>
      <c r="F6" s="1037"/>
      <c r="G6" s="1037"/>
      <c r="H6" s="1037" t="s">
        <v>209</v>
      </c>
      <c r="I6" s="1037" t="s">
        <v>210</v>
      </c>
      <c r="J6" s="1037" t="s">
        <v>23</v>
      </c>
      <c r="K6" s="1037"/>
      <c r="L6" s="86"/>
      <c r="M6" s="66">
        <f>22362891752+35147506257</f>
        <v>57510398009</v>
      </c>
      <c r="N6" s="66">
        <f>M6-E9</f>
        <v>0</v>
      </c>
    </row>
    <row r="7" spans="1:16" s="47" customFormat="1" ht="39" customHeight="1">
      <c r="A7" s="1035"/>
      <c r="B7" s="1036"/>
      <c r="C7" s="1037"/>
      <c r="D7" s="425" t="s">
        <v>211</v>
      </c>
      <c r="E7" s="425" t="s">
        <v>342</v>
      </c>
      <c r="F7" s="425" t="s">
        <v>274</v>
      </c>
      <c r="G7" s="425" t="s">
        <v>275</v>
      </c>
      <c r="H7" s="1037"/>
      <c r="I7" s="1037"/>
      <c r="J7" s="425" t="s">
        <v>341</v>
      </c>
      <c r="K7" s="425" t="s">
        <v>212</v>
      </c>
      <c r="L7" s="86"/>
      <c r="M7" s="66">
        <f>'B56'!D10-'B56'!V10</f>
        <v>701796045195</v>
      </c>
      <c r="N7" s="66">
        <f>M7-H9</f>
        <v>0</v>
      </c>
    </row>
    <row r="8" spans="1:16" s="88" customFormat="1" ht="12.75" customHeight="1">
      <c r="A8" s="87" t="s">
        <v>3</v>
      </c>
      <c r="B8" s="87" t="s">
        <v>4</v>
      </c>
      <c r="C8" s="87" t="s">
        <v>755</v>
      </c>
      <c r="D8" s="69">
        <v>2</v>
      </c>
      <c r="E8" s="69">
        <v>3</v>
      </c>
      <c r="F8" s="69">
        <v>4</v>
      </c>
      <c r="G8" s="69">
        <v>5</v>
      </c>
      <c r="H8" s="69">
        <v>6</v>
      </c>
      <c r="I8" s="87" t="s">
        <v>276</v>
      </c>
      <c r="J8" s="69">
        <v>8</v>
      </c>
      <c r="K8" s="87">
        <v>9</v>
      </c>
      <c r="L8" s="100"/>
      <c r="M8" s="324">
        <f>'B56'!V10</f>
        <v>102969646661</v>
      </c>
      <c r="N8" s="324">
        <f>M8-J9</f>
        <v>0</v>
      </c>
    </row>
    <row r="9" spans="1:16" s="67" customFormat="1" ht="20.25" customHeight="1">
      <c r="A9" s="674"/>
      <c r="B9" s="675" t="s">
        <v>21</v>
      </c>
      <c r="C9" s="676">
        <f t="shared" ref="C9:K9" si="0">SUM(C10,C36,C62)</f>
        <v>811931702429</v>
      </c>
      <c r="D9" s="676">
        <f t="shared" si="0"/>
        <v>683425000000</v>
      </c>
      <c r="E9" s="676">
        <f t="shared" si="0"/>
        <v>57510398009</v>
      </c>
      <c r="F9" s="676">
        <f t="shared" si="0"/>
        <v>171508547252</v>
      </c>
      <c r="G9" s="676">
        <f t="shared" si="0"/>
        <v>100512242832</v>
      </c>
      <c r="H9" s="676">
        <f t="shared" si="0"/>
        <v>701796045195</v>
      </c>
      <c r="I9" s="676">
        <f t="shared" si="0"/>
        <v>110135657234</v>
      </c>
      <c r="J9" s="676">
        <f t="shared" si="0"/>
        <v>102969646661</v>
      </c>
      <c r="K9" s="676">
        <f t="shared" si="0"/>
        <v>7166010573</v>
      </c>
      <c r="L9" s="101"/>
      <c r="M9" s="47"/>
      <c r="N9" s="47"/>
    </row>
    <row r="10" spans="1:16" s="67" customFormat="1" ht="20.25" customHeight="1">
      <c r="A10" s="677" t="s">
        <v>11</v>
      </c>
      <c r="B10" s="646" t="s">
        <v>504</v>
      </c>
      <c r="C10" s="678">
        <f>SUM(C11:C35)</f>
        <v>669429322177</v>
      </c>
      <c r="D10" s="678">
        <f>SUM(D11:D35)</f>
        <v>607667000000</v>
      </c>
      <c r="E10" s="678">
        <f t="shared" ref="E10:K10" si="1">SUM(E11:E35)</f>
        <v>27680017757</v>
      </c>
      <c r="F10" s="678">
        <f t="shared" si="1"/>
        <v>84960547252</v>
      </c>
      <c r="G10" s="678">
        <f t="shared" si="1"/>
        <v>50878242832</v>
      </c>
      <c r="H10" s="678">
        <f>SUM(H11:H35)</f>
        <v>641941049682</v>
      </c>
      <c r="I10" s="678">
        <f t="shared" si="1"/>
        <v>27488272495</v>
      </c>
      <c r="J10" s="678">
        <f t="shared" si="1"/>
        <v>20322261922</v>
      </c>
      <c r="K10" s="678">
        <f t="shared" si="1"/>
        <v>7166010573</v>
      </c>
      <c r="L10" s="101"/>
      <c r="M10" s="47"/>
      <c r="N10" s="47"/>
    </row>
    <row r="11" spans="1:16" s="67" customFormat="1" ht="20.25" customHeight="1">
      <c r="A11" s="679">
        <v>1</v>
      </c>
      <c r="B11" s="680" t="s">
        <v>185</v>
      </c>
      <c r="C11" s="588">
        <f>SUM(D11:F11)-G11</f>
        <v>9684375287</v>
      </c>
      <c r="D11" s="588">
        <v>8107000000</v>
      </c>
      <c r="E11" s="588"/>
      <c r="F11" s="588">
        <v>1944581000</v>
      </c>
      <c r="G11" s="588">
        <v>367205713</v>
      </c>
      <c r="H11" s="588">
        <v>9684375287</v>
      </c>
      <c r="I11" s="588">
        <f>C11-H11</f>
        <v>0</v>
      </c>
      <c r="J11" s="588"/>
      <c r="K11" s="588">
        <f>C11-H11-J11</f>
        <v>0</v>
      </c>
      <c r="L11" s="96"/>
      <c r="M11" s="66">
        <f>'B54-chi tiết'!J14</f>
        <v>9684375287</v>
      </c>
      <c r="N11" s="66">
        <f>C11-M11</f>
        <v>0</v>
      </c>
    </row>
    <row r="12" spans="1:16" s="67" customFormat="1" ht="20.25" customHeight="1">
      <c r="A12" s="679">
        <v>2</v>
      </c>
      <c r="B12" s="680" t="s">
        <v>182</v>
      </c>
      <c r="C12" s="588">
        <f t="shared" ref="C12:C35" si="2">SUM(D12:F12)-G12</f>
        <v>11699483586</v>
      </c>
      <c r="D12" s="588">
        <v>9429000000</v>
      </c>
      <c r="E12" s="588"/>
      <c r="F12" s="588">
        <v>2494597000</v>
      </c>
      <c r="G12" s="588">
        <v>224113414</v>
      </c>
      <c r="H12" s="588">
        <v>11699483586</v>
      </c>
      <c r="I12" s="588">
        <f>C12-H12</f>
        <v>0</v>
      </c>
      <c r="J12" s="588"/>
      <c r="K12" s="588">
        <f>C12-H12-J12</f>
        <v>0</v>
      </c>
      <c r="L12" s="96"/>
      <c r="M12" s="66">
        <f>'B54-chi tiết'!J17</f>
        <v>11699483586</v>
      </c>
      <c r="N12" s="66">
        <f>C12-M12</f>
        <v>0</v>
      </c>
    </row>
    <row r="13" spans="1:16" s="67" customFormat="1" ht="20.25" customHeight="1">
      <c r="A13" s="679">
        <v>3</v>
      </c>
      <c r="B13" s="680" t="s">
        <v>195</v>
      </c>
      <c r="C13" s="588">
        <f t="shared" si="2"/>
        <v>126023000</v>
      </c>
      <c r="D13" s="588">
        <v>149000000</v>
      </c>
      <c r="E13" s="588"/>
      <c r="F13" s="588">
        <v>16172000</v>
      </c>
      <c r="G13" s="588">
        <v>39149000</v>
      </c>
      <c r="H13" s="588">
        <v>126023000</v>
      </c>
      <c r="I13" s="588">
        <f>C13-H13</f>
        <v>0</v>
      </c>
      <c r="J13" s="588"/>
      <c r="K13" s="588">
        <f>C13-H13-J13</f>
        <v>0</v>
      </c>
      <c r="L13" s="96"/>
      <c r="M13" s="66">
        <f>'B54-chi tiết'!J20</f>
        <v>126023000</v>
      </c>
      <c r="N13" s="66">
        <f t="shared" ref="N13:N34" si="3">C13-M13</f>
        <v>0</v>
      </c>
    </row>
    <row r="14" spans="1:16" s="67" customFormat="1" ht="20.25" customHeight="1">
      <c r="A14" s="679">
        <v>4</v>
      </c>
      <c r="B14" s="680" t="s">
        <v>345</v>
      </c>
      <c r="C14" s="588">
        <f>SUM(D14:F14)-G14</f>
        <v>6332563335</v>
      </c>
      <c r="D14" s="588">
        <v>11907000000</v>
      </c>
      <c r="E14" s="588">
        <v>2150000000</v>
      </c>
      <c r="F14" s="588">
        <v>1099543047</v>
      </c>
      <c r="G14" s="588">
        <v>8823979712</v>
      </c>
      <c r="H14" s="588">
        <v>6331045695</v>
      </c>
      <c r="I14" s="588">
        <f>C14-H14</f>
        <v>1517640</v>
      </c>
      <c r="J14" s="588">
        <v>1517640</v>
      </c>
      <c r="K14" s="588">
        <f>C14-H14-J14</f>
        <v>0</v>
      </c>
      <c r="L14" s="96"/>
      <c r="M14" s="66">
        <f>'B54-chi tiết'!J23</f>
        <v>6332563335</v>
      </c>
      <c r="N14" s="66">
        <f t="shared" si="3"/>
        <v>0</v>
      </c>
      <c r="O14" s="346"/>
      <c r="P14" s="346"/>
    </row>
    <row r="15" spans="1:16" s="67" customFormat="1" ht="20.25" customHeight="1">
      <c r="A15" s="679">
        <v>5</v>
      </c>
      <c r="B15" s="680" t="s">
        <v>189</v>
      </c>
      <c r="C15" s="588">
        <f t="shared" si="2"/>
        <v>1004081720</v>
      </c>
      <c r="D15" s="588">
        <v>639000000</v>
      </c>
      <c r="E15" s="588"/>
      <c r="F15" s="588">
        <v>371335000</v>
      </c>
      <c r="G15" s="588">
        <v>6253280</v>
      </c>
      <c r="H15" s="588">
        <v>1004081720</v>
      </c>
      <c r="I15" s="588">
        <f t="shared" ref="I15:I34" si="4">C15-H15</f>
        <v>0</v>
      </c>
      <c r="J15" s="588"/>
      <c r="K15" s="588">
        <f t="shared" ref="K15:K34" si="5">C15-H15-J15</f>
        <v>0</v>
      </c>
      <c r="L15" s="96"/>
      <c r="M15" s="66">
        <f>'B54-chi tiết'!J26</f>
        <v>1004081720</v>
      </c>
      <c r="N15" s="66">
        <f t="shared" si="3"/>
        <v>0</v>
      </c>
      <c r="O15" s="346"/>
      <c r="P15" s="346"/>
    </row>
    <row r="16" spans="1:16" s="67" customFormat="1" ht="20.25" customHeight="1">
      <c r="A16" s="679">
        <v>6</v>
      </c>
      <c r="B16" s="680" t="s">
        <v>324</v>
      </c>
      <c r="C16" s="588">
        <f t="shared" si="2"/>
        <v>1546272213</v>
      </c>
      <c r="D16" s="588">
        <v>1277000000</v>
      </c>
      <c r="E16" s="588"/>
      <c r="F16" s="588">
        <v>274505000</v>
      </c>
      <c r="G16" s="588">
        <v>5232787</v>
      </c>
      <c r="H16" s="588">
        <v>1546272213</v>
      </c>
      <c r="I16" s="588">
        <f t="shared" si="4"/>
        <v>0</v>
      </c>
      <c r="J16" s="588"/>
      <c r="K16" s="588">
        <f t="shared" si="5"/>
        <v>0</v>
      </c>
      <c r="L16" s="96"/>
      <c r="M16" s="66">
        <f>'B54-chi tiết'!J29</f>
        <v>1546272213</v>
      </c>
      <c r="N16" s="66">
        <f t="shared" si="3"/>
        <v>0</v>
      </c>
      <c r="O16" s="346"/>
      <c r="P16" s="346"/>
    </row>
    <row r="17" spans="1:16" s="67" customFormat="1" ht="20.25" customHeight="1">
      <c r="A17" s="679">
        <v>7</v>
      </c>
      <c r="B17" s="680" t="s">
        <v>325</v>
      </c>
      <c r="C17" s="588">
        <f t="shared" si="2"/>
        <v>14925676084</v>
      </c>
      <c r="D17" s="588">
        <v>15989000000</v>
      </c>
      <c r="E17" s="588"/>
      <c r="F17" s="588">
        <v>206229070</v>
      </c>
      <c r="G17" s="588">
        <v>1269552986</v>
      </c>
      <c r="H17" s="588">
        <v>14925676084</v>
      </c>
      <c r="I17" s="588">
        <f t="shared" si="4"/>
        <v>0</v>
      </c>
      <c r="J17" s="588"/>
      <c r="K17" s="588">
        <f t="shared" si="5"/>
        <v>0</v>
      </c>
      <c r="L17" s="96"/>
      <c r="M17" s="66">
        <f>'B54-chi tiết'!J32</f>
        <v>14925676084</v>
      </c>
      <c r="N17" s="66">
        <f t="shared" si="3"/>
        <v>0</v>
      </c>
      <c r="O17" s="346"/>
      <c r="P17" s="346"/>
    </row>
    <row r="18" spans="1:16" s="67" customFormat="1" ht="20.25" customHeight="1">
      <c r="A18" s="679">
        <v>8</v>
      </c>
      <c r="B18" s="680" t="s">
        <v>344</v>
      </c>
      <c r="C18" s="588">
        <f>SUM(D18:F18)-G18</f>
        <v>458595404509</v>
      </c>
      <c r="D18" s="588">
        <v>424980000000</v>
      </c>
      <c r="E18" s="588"/>
      <c r="F18" s="588">
        <v>35426026255</v>
      </c>
      <c r="G18" s="588">
        <v>1810621746</v>
      </c>
      <c r="H18" s="588">
        <v>457330908509</v>
      </c>
      <c r="I18" s="588">
        <f t="shared" si="4"/>
        <v>1264496000</v>
      </c>
      <c r="J18" s="588">
        <v>1264496000</v>
      </c>
      <c r="K18" s="588">
        <f t="shared" si="5"/>
        <v>0</v>
      </c>
      <c r="L18" s="96"/>
      <c r="M18" s="66">
        <f>'B54-chi tiết'!J35</f>
        <v>458595404509</v>
      </c>
      <c r="N18" s="66">
        <f t="shared" si="3"/>
        <v>0</v>
      </c>
      <c r="O18" s="346"/>
      <c r="P18" s="346"/>
    </row>
    <row r="19" spans="1:16" s="67" customFormat="1" ht="20.25" customHeight="1">
      <c r="A19" s="679">
        <v>9</v>
      </c>
      <c r="B19" s="680" t="s">
        <v>190</v>
      </c>
      <c r="C19" s="588">
        <f t="shared" si="2"/>
        <v>310457600</v>
      </c>
      <c r="D19" s="588">
        <v>382000000</v>
      </c>
      <c r="E19" s="588"/>
      <c r="F19" s="588">
        <v>19113000</v>
      </c>
      <c r="G19" s="588">
        <v>90655400</v>
      </c>
      <c r="H19" s="588">
        <v>310457600</v>
      </c>
      <c r="I19" s="588">
        <f t="shared" si="4"/>
        <v>0</v>
      </c>
      <c r="J19" s="588"/>
      <c r="K19" s="588">
        <f t="shared" si="5"/>
        <v>0</v>
      </c>
      <c r="L19" s="96"/>
      <c r="M19" s="66">
        <f>'B54-chi tiết'!J38</f>
        <v>310457600</v>
      </c>
      <c r="N19" s="66">
        <f t="shared" si="3"/>
        <v>0</v>
      </c>
      <c r="O19" s="346"/>
      <c r="P19" s="346"/>
    </row>
    <row r="20" spans="1:16" s="67" customFormat="1" ht="20.25" customHeight="1">
      <c r="A20" s="679">
        <v>10</v>
      </c>
      <c r="B20" s="680" t="s">
        <v>343</v>
      </c>
      <c r="C20" s="588">
        <f>SUM(D20:F20)-G20</f>
        <v>56760673576</v>
      </c>
      <c r="D20" s="588">
        <v>46458000000</v>
      </c>
      <c r="E20" s="588"/>
      <c r="F20" s="588">
        <v>11906249000</v>
      </c>
      <c r="G20" s="588">
        <f>1552447424+51128000</f>
        <v>1603575424</v>
      </c>
      <c r="H20" s="588">
        <f>55970061576-51128000</f>
        <v>55918933576</v>
      </c>
      <c r="I20" s="588">
        <f t="shared" si="4"/>
        <v>841740000</v>
      </c>
      <c r="J20" s="588">
        <v>841740000</v>
      </c>
      <c r="K20" s="588">
        <f>C20-H20-J20</f>
        <v>0</v>
      </c>
      <c r="L20" s="96"/>
      <c r="M20" s="66">
        <f>'B54-chi tiết'!J41</f>
        <v>56760673576</v>
      </c>
      <c r="N20" s="66">
        <f t="shared" si="3"/>
        <v>0</v>
      </c>
      <c r="O20" s="346"/>
      <c r="P20" s="346"/>
    </row>
    <row r="21" spans="1:16" s="67" customFormat="1" ht="20.25" customHeight="1">
      <c r="A21" s="679">
        <v>11</v>
      </c>
      <c r="B21" s="680" t="s">
        <v>196</v>
      </c>
      <c r="C21" s="588">
        <f>SUM(D21:F21)-G21</f>
        <v>850773646</v>
      </c>
      <c r="D21" s="588">
        <v>930000000</v>
      </c>
      <c r="E21" s="588"/>
      <c r="F21" s="588">
        <v>167125000</v>
      </c>
      <c r="G21" s="588">
        <v>246351354</v>
      </c>
      <c r="H21" s="588">
        <v>850773646</v>
      </c>
      <c r="I21" s="588">
        <f t="shared" si="4"/>
        <v>0</v>
      </c>
      <c r="J21" s="588"/>
      <c r="K21" s="588">
        <f>C21-H21-J21</f>
        <v>0</v>
      </c>
      <c r="L21" s="96"/>
      <c r="M21" s="66">
        <f>'B54-chi tiết'!J44</f>
        <v>850773646</v>
      </c>
      <c r="N21" s="66">
        <f t="shared" si="3"/>
        <v>0</v>
      </c>
    </row>
    <row r="22" spans="1:16" s="67" customFormat="1" ht="20.25" customHeight="1">
      <c r="A22" s="679">
        <v>12</v>
      </c>
      <c r="B22" s="680" t="s">
        <v>188</v>
      </c>
      <c r="C22" s="588">
        <f>SUM(D22:F22)-G22</f>
        <v>7643120777</v>
      </c>
      <c r="D22" s="588">
        <v>8875000000</v>
      </c>
      <c r="E22" s="588">
        <v>3000000000</v>
      </c>
      <c r="F22" s="588">
        <v>2627076660</v>
      </c>
      <c r="G22" s="588">
        <v>6858955883</v>
      </c>
      <c r="H22" s="588">
        <v>7643120777</v>
      </c>
      <c r="I22" s="588">
        <f t="shared" si="4"/>
        <v>0</v>
      </c>
      <c r="J22" s="588"/>
      <c r="K22" s="588">
        <f>C22-H22-J22</f>
        <v>0</v>
      </c>
      <c r="L22" s="96"/>
      <c r="M22" s="66">
        <f>'B54-chi tiết'!J47</f>
        <v>7643120777</v>
      </c>
      <c r="N22" s="66">
        <f t="shared" si="3"/>
        <v>0</v>
      </c>
    </row>
    <row r="23" spans="1:16" s="67" customFormat="1" ht="20.25" customHeight="1">
      <c r="A23" s="679">
        <v>13</v>
      </c>
      <c r="B23" s="680" t="s">
        <v>191</v>
      </c>
      <c r="C23" s="588">
        <f>SUM(D23:F23)-G23</f>
        <v>1931085000</v>
      </c>
      <c r="D23" s="588">
        <v>1920000000</v>
      </c>
      <c r="E23" s="588"/>
      <c r="F23" s="588">
        <v>124550000</v>
      </c>
      <c r="G23" s="588">
        <v>113465000</v>
      </c>
      <c r="H23" s="588">
        <v>1931085000</v>
      </c>
      <c r="I23" s="588">
        <f t="shared" si="4"/>
        <v>0</v>
      </c>
      <c r="J23" s="588"/>
      <c r="K23" s="588">
        <f>C23-H23-J23</f>
        <v>0</v>
      </c>
      <c r="L23" s="96"/>
      <c r="M23" s="66">
        <f>'B54-chi tiết'!J50</f>
        <v>1931085000</v>
      </c>
      <c r="N23" s="66">
        <f t="shared" si="3"/>
        <v>0</v>
      </c>
    </row>
    <row r="24" spans="1:16" s="47" customFormat="1" ht="20.25" customHeight="1">
      <c r="A24" s="679">
        <v>14</v>
      </c>
      <c r="B24" s="680" t="s">
        <v>150</v>
      </c>
      <c r="C24" s="588">
        <f t="shared" si="2"/>
        <v>1049807866</v>
      </c>
      <c r="D24" s="588">
        <v>871000000</v>
      </c>
      <c r="E24" s="588"/>
      <c r="F24" s="588">
        <v>184698000</v>
      </c>
      <c r="G24" s="588">
        <v>5890134</v>
      </c>
      <c r="H24" s="588">
        <v>1049807866</v>
      </c>
      <c r="I24" s="588">
        <f>C24-H24</f>
        <v>0</v>
      </c>
      <c r="J24" s="588"/>
      <c r="K24" s="588">
        <f>C24-H24-J24</f>
        <v>0</v>
      </c>
      <c r="L24" s="96"/>
      <c r="M24" s="66">
        <f>'B54-chi tiết'!J53</f>
        <v>1049807866</v>
      </c>
      <c r="N24" s="66">
        <f t="shared" si="3"/>
        <v>0</v>
      </c>
    </row>
    <row r="25" spans="1:16" s="67" customFormat="1" ht="20.25" customHeight="1">
      <c r="A25" s="679">
        <v>15</v>
      </c>
      <c r="B25" s="680" t="s">
        <v>403</v>
      </c>
      <c r="C25" s="588">
        <f t="shared" si="2"/>
        <v>5924106748</v>
      </c>
      <c r="D25" s="588">
        <v>5006000000</v>
      </c>
      <c r="E25" s="588"/>
      <c r="F25" s="588">
        <v>1453686000</v>
      </c>
      <c r="G25" s="588">
        <v>535579252</v>
      </c>
      <c r="H25" s="588">
        <v>5924106748</v>
      </c>
      <c r="I25" s="588">
        <f t="shared" si="4"/>
        <v>0</v>
      </c>
      <c r="J25" s="588"/>
      <c r="K25" s="588">
        <f t="shared" si="5"/>
        <v>0</v>
      </c>
      <c r="L25" s="96"/>
      <c r="M25" s="66">
        <f>'B54-chi tiết'!J56</f>
        <v>5924106748</v>
      </c>
      <c r="N25" s="66">
        <f t="shared" si="3"/>
        <v>0</v>
      </c>
    </row>
    <row r="26" spans="1:16" s="67" customFormat="1" ht="20.25" customHeight="1">
      <c r="A26" s="679">
        <v>16</v>
      </c>
      <c r="B26" s="680" t="s">
        <v>193</v>
      </c>
      <c r="C26" s="588">
        <f t="shared" si="2"/>
        <v>728066000</v>
      </c>
      <c r="D26" s="588">
        <v>641000000</v>
      </c>
      <c r="E26" s="588"/>
      <c r="F26" s="588">
        <v>473484000</v>
      </c>
      <c r="G26" s="588">
        <v>386418000</v>
      </c>
      <c r="H26" s="588">
        <v>728066000</v>
      </c>
      <c r="I26" s="588">
        <f t="shared" si="4"/>
        <v>0</v>
      </c>
      <c r="J26" s="588"/>
      <c r="K26" s="588">
        <f t="shared" si="5"/>
        <v>0</v>
      </c>
      <c r="L26" s="96"/>
      <c r="M26" s="66">
        <f>'B54-chi tiết'!J59</f>
        <v>728066000</v>
      </c>
      <c r="N26" s="66">
        <f t="shared" si="3"/>
        <v>0</v>
      </c>
    </row>
    <row r="27" spans="1:16" s="47" customFormat="1" ht="20.25" customHeight="1">
      <c r="A27" s="679">
        <v>17</v>
      </c>
      <c r="B27" s="680" t="s">
        <v>391</v>
      </c>
      <c r="C27" s="588">
        <f t="shared" si="2"/>
        <v>1227533118</v>
      </c>
      <c r="D27" s="588">
        <v>926000000</v>
      </c>
      <c r="E27" s="588"/>
      <c r="F27" s="588">
        <v>313142000</v>
      </c>
      <c r="G27" s="588">
        <v>11608882</v>
      </c>
      <c r="H27" s="588">
        <v>1227533118</v>
      </c>
      <c r="I27" s="588">
        <f>C27-H27</f>
        <v>0</v>
      </c>
      <c r="J27" s="588"/>
      <c r="K27" s="588">
        <f>C27-H27-J27</f>
        <v>0</v>
      </c>
      <c r="L27" s="96"/>
      <c r="M27" s="66">
        <f>'B54-chi tiết'!J62</f>
        <v>1227533118</v>
      </c>
      <c r="N27" s="66">
        <f t="shared" si="3"/>
        <v>0</v>
      </c>
    </row>
    <row r="28" spans="1:16" s="67" customFormat="1" ht="20.25" customHeight="1">
      <c r="A28" s="679">
        <v>18</v>
      </c>
      <c r="B28" s="680" t="s">
        <v>340</v>
      </c>
      <c r="C28" s="588">
        <f t="shared" si="2"/>
        <v>4541356019</v>
      </c>
      <c r="D28" s="588">
        <v>3976000000</v>
      </c>
      <c r="E28" s="588"/>
      <c r="F28" s="588">
        <v>666877000</v>
      </c>
      <c r="G28" s="588">
        <v>101520981</v>
      </c>
      <c r="H28" s="588">
        <v>4541356019</v>
      </c>
      <c r="I28" s="588">
        <f t="shared" si="4"/>
        <v>0</v>
      </c>
      <c r="J28" s="588"/>
      <c r="K28" s="588">
        <f t="shared" si="5"/>
        <v>0</v>
      </c>
      <c r="L28" s="96"/>
      <c r="M28" s="66">
        <f>'B54-chi tiết'!J65</f>
        <v>4541356019</v>
      </c>
      <c r="N28" s="66">
        <f t="shared" si="3"/>
        <v>0</v>
      </c>
    </row>
    <row r="29" spans="1:16" s="67" customFormat="1" ht="20.25" customHeight="1">
      <c r="A29" s="679">
        <v>19</v>
      </c>
      <c r="B29" s="680" t="s">
        <v>314</v>
      </c>
      <c r="C29" s="588">
        <f t="shared" si="2"/>
        <v>2851077000</v>
      </c>
      <c r="D29" s="588">
        <v>4461000000</v>
      </c>
      <c r="E29" s="588">
        <v>1660000</v>
      </c>
      <c r="F29" s="588">
        <v>306937000</v>
      </c>
      <c r="G29" s="588">
        <v>1918520000</v>
      </c>
      <c r="H29" s="588">
        <v>2851077000</v>
      </c>
      <c r="I29" s="588">
        <f>C29-H29</f>
        <v>0</v>
      </c>
      <c r="J29" s="588"/>
      <c r="K29" s="588">
        <f>C29-H29-J29</f>
        <v>0</v>
      </c>
      <c r="L29" s="96"/>
      <c r="M29" s="66">
        <f>'B54-chi tiết'!J68</f>
        <v>2851077000</v>
      </c>
      <c r="N29" s="66">
        <f t="shared" si="3"/>
        <v>0</v>
      </c>
    </row>
    <row r="30" spans="1:16" s="67" customFormat="1" ht="20.25" customHeight="1">
      <c r="A30" s="679">
        <v>20</v>
      </c>
      <c r="B30" s="680" t="s">
        <v>335</v>
      </c>
      <c r="C30" s="588">
        <f t="shared" si="2"/>
        <v>1065214000</v>
      </c>
      <c r="D30" s="588">
        <v>785000000</v>
      </c>
      <c r="E30" s="588"/>
      <c r="F30" s="588">
        <v>289730000</v>
      </c>
      <c r="G30" s="588">
        <v>9516000</v>
      </c>
      <c r="H30" s="588">
        <v>1065214000</v>
      </c>
      <c r="I30" s="588">
        <f>C30-H30</f>
        <v>0</v>
      </c>
      <c r="J30" s="588"/>
      <c r="K30" s="588">
        <f>C30-H30-J30</f>
        <v>0</v>
      </c>
      <c r="L30" s="96"/>
      <c r="M30" s="66">
        <f>'B54-chi tiết'!J71</f>
        <v>1065214000</v>
      </c>
      <c r="N30" s="66">
        <f t="shared" si="3"/>
        <v>0</v>
      </c>
    </row>
    <row r="31" spans="1:16" s="47" customFormat="1" ht="20.25" customHeight="1">
      <c r="A31" s="679">
        <v>21</v>
      </c>
      <c r="B31" s="680" t="s">
        <v>392</v>
      </c>
      <c r="C31" s="588">
        <f t="shared" si="2"/>
        <v>8404109432</v>
      </c>
      <c r="D31" s="588">
        <v>6784000000</v>
      </c>
      <c r="E31" s="588"/>
      <c r="F31" s="588">
        <v>1640101220</v>
      </c>
      <c r="G31" s="588">
        <v>19991788</v>
      </c>
      <c r="H31" s="588">
        <v>7385109432</v>
      </c>
      <c r="I31" s="588">
        <f t="shared" si="4"/>
        <v>1019000000</v>
      </c>
      <c r="J31" s="588">
        <v>1019000000</v>
      </c>
      <c r="K31" s="588">
        <f t="shared" si="5"/>
        <v>0</v>
      </c>
      <c r="L31" s="96"/>
      <c r="M31" s="66">
        <f>'B54-chi tiết'!J74</f>
        <v>8404109432</v>
      </c>
      <c r="N31" s="66">
        <f t="shared" si="3"/>
        <v>0</v>
      </c>
    </row>
    <row r="32" spans="1:16" s="47" customFormat="1" ht="20.25" customHeight="1">
      <c r="A32" s="679">
        <v>22</v>
      </c>
      <c r="B32" s="680" t="s">
        <v>400</v>
      </c>
      <c r="C32" s="588">
        <f t="shared" si="2"/>
        <v>32710863000</v>
      </c>
      <c r="D32" s="588">
        <v>15914000000</v>
      </c>
      <c r="E32" s="588">
        <v>206518000</v>
      </c>
      <c r="F32" s="588">
        <v>18960170000</v>
      </c>
      <c r="G32" s="588">
        <v>2369825000</v>
      </c>
      <c r="H32" s="588">
        <v>31385255000</v>
      </c>
      <c r="I32" s="588">
        <f t="shared" si="4"/>
        <v>1325608000</v>
      </c>
      <c r="J32" s="588">
        <v>1325608000</v>
      </c>
      <c r="K32" s="588">
        <f t="shared" si="5"/>
        <v>0</v>
      </c>
      <c r="L32" s="96"/>
      <c r="M32" s="66">
        <f>'B54-chi tiết'!J77</f>
        <v>32710863000</v>
      </c>
      <c r="N32" s="66">
        <f t="shared" si="3"/>
        <v>0</v>
      </c>
      <c r="O32" s="66">
        <f>'B54'!GB77-'B57'!J32</f>
        <v>28109662000</v>
      </c>
      <c r="P32" s="66">
        <f>O32-'B55'!P14</f>
        <v>0</v>
      </c>
    </row>
    <row r="33" spans="1:26" s="47" customFormat="1" ht="20.25" customHeight="1">
      <c r="A33" s="679">
        <v>23</v>
      </c>
      <c r="B33" s="680" t="s">
        <v>326</v>
      </c>
      <c r="C33" s="588">
        <f>SUM(D33:F33)-G33</f>
        <v>3249020000</v>
      </c>
      <c r="D33" s="588">
        <v>1432000000</v>
      </c>
      <c r="E33" s="588"/>
      <c r="F33" s="588">
        <v>1857020000</v>
      </c>
      <c r="G33" s="588">
        <v>40000000</v>
      </c>
      <c r="H33" s="588">
        <v>3249020000</v>
      </c>
      <c r="I33" s="588">
        <f t="shared" si="4"/>
        <v>0</v>
      </c>
      <c r="J33" s="588"/>
      <c r="K33" s="588">
        <f t="shared" si="5"/>
        <v>0</v>
      </c>
      <c r="L33" s="96"/>
      <c r="M33" s="66">
        <f>'B54-chi tiết'!J80</f>
        <v>3249020000</v>
      </c>
      <c r="N33" s="66">
        <f t="shared" si="3"/>
        <v>0</v>
      </c>
    </row>
    <row r="34" spans="1:26" s="47" customFormat="1" ht="20.25" customHeight="1">
      <c r="A34" s="679">
        <v>24</v>
      </c>
      <c r="B34" s="680" t="s">
        <v>327</v>
      </c>
      <c r="C34" s="588">
        <f t="shared" si="2"/>
        <v>6991600000</v>
      </c>
      <c r="D34" s="588">
        <v>4854000000</v>
      </c>
      <c r="E34" s="588"/>
      <c r="F34" s="588">
        <v>2137600000</v>
      </c>
      <c r="G34" s="588"/>
      <c r="H34" s="588">
        <v>6991600000</v>
      </c>
      <c r="I34" s="588">
        <f t="shared" si="4"/>
        <v>0</v>
      </c>
      <c r="J34" s="588"/>
      <c r="K34" s="588">
        <f t="shared" si="5"/>
        <v>0</v>
      </c>
      <c r="L34" s="96"/>
      <c r="M34" s="66">
        <f>'B54-chi tiết'!J83</f>
        <v>6991600000</v>
      </c>
      <c r="N34" s="66">
        <f t="shared" si="3"/>
        <v>0</v>
      </c>
    </row>
    <row r="35" spans="1:26" s="47" customFormat="1" ht="20.25" customHeight="1">
      <c r="A35" s="679">
        <v>25</v>
      </c>
      <c r="B35" s="680" t="s">
        <v>332</v>
      </c>
      <c r="C35" s="588">
        <f t="shared" si="2"/>
        <v>29276578661</v>
      </c>
      <c r="D35" s="588">
        <v>30975000000</v>
      </c>
      <c r="E35" s="588">
        <v>22321839757</v>
      </c>
      <c r="F35" s="588"/>
      <c r="G35" s="588">
        <v>24020261096</v>
      </c>
      <c r="H35" s="588">
        <v>6240667806</v>
      </c>
      <c r="I35" s="588">
        <f>C35-H35</f>
        <v>23035910855</v>
      </c>
      <c r="J35" s="588">
        <v>15869900282</v>
      </c>
      <c r="K35" s="588">
        <f>C35-H35-J35</f>
        <v>7166010573</v>
      </c>
      <c r="L35" s="96"/>
      <c r="O35" s="66">
        <f>'B54'!GB95-'B57'!J35-'B57'!J49</f>
        <v>2036376265</v>
      </c>
      <c r="P35" s="66">
        <f>O35-'B55'!P16</f>
        <v>0</v>
      </c>
    </row>
    <row r="36" spans="1:26" s="67" customFormat="1" ht="20.25" customHeight="1">
      <c r="A36" s="677" t="s">
        <v>12</v>
      </c>
      <c r="B36" s="681" t="s">
        <v>479</v>
      </c>
      <c r="C36" s="678">
        <f t="shared" ref="C36:K36" si="6">+C37+C40</f>
        <v>142400713752</v>
      </c>
      <c r="D36" s="678">
        <f t="shared" si="6"/>
        <v>75730000000</v>
      </c>
      <c r="E36" s="678">
        <f t="shared" si="6"/>
        <v>29823713752</v>
      </c>
      <c r="F36" s="678">
        <f t="shared" si="6"/>
        <v>86453000000</v>
      </c>
      <c r="G36" s="678">
        <f t="shared" si="6"/>
        <v>49606000000</v>
      </c>
      <c r="H36" s="678">
        <f t="shared" si="6"/>
        <v>59753329013</v>
      </c>
      <c r="I36" s="678">
        <f t="shared" si="6"/>
        <v>82647384739</v>
      </c>
      <c r="J36" s="678">
        <f t="shared" si="6"/>
        <v>82647384739</v>
      </c>
      <c r="K36" s="678">
        <f t="shared" si="6"/>
        <v>0</v>
      </c>
      <c r="L36" s="101"/>
      <c r="M36" s="66">
        <f>4506377042+2659633531</f>
        <v>7166010573</v>
      </c>
      <c r="N36" s="66">
        <f>K35-M36</f>
        <v>0</v>
      </c>
    </row>
    <row r="37" spans="1:26" s="67" customFormat="1" ht="20.25" customHeight="1">
      <c r="A37" s="677">
        <v>1</v>
      </c>
      <c r="B37" s="681" t="s">
        <v>494</v>
      </c>
      <c r="C37" s="678">
        <f>C39+C38</f>
        <v>0</v>
      </c>
      <c r="D37" s="678">
        <f t="shared" ref="D37:K37" si="7">D39+D38</f>
        <v>0</v>
      </c>
      <c r="E37" s="678">
        <f t="shared" si="7"/>
        <v>0</v>
      </c>
      <c r="F37" s="678">
        <f t="shared" si="7"/>
        <v>0</v>
      </c>
      <c r="G37" s="678">
        <f t="shared" si="7"/>
        <v>0</v>
      </c>
      <c r="H37" s="678">
        <f t="shared" si="7"/>
        <v>0</v>
      </c>
      <c r="I37" s="678">
        <f t="shared" si="7"/>
        <v>0</v>
      </c>
      <c r="J37" s="678">
        <f t="shared" si="7"/>
        <v>0</v>
      </c>
      <c r="K37" s="678">
        <f t="shared" si="7"/>
        <v>0</v>
      </c>
      <c r="L37" s="101"/>
      <c r="M37" s="66">
        <v>1294115321</v>
      </c>
      <c r="N37" s="66">
        <f>+M36+M37</f>
        <v>8460125894</v>
      </c>
    </row>
    <row r="38" spans="1:26" s="47" customFormat="1" ht="20.25" customHeight="1">
      <c r="A38" s="679" t="s">
        <v>440</v>
      </c>
      <c r="B38" s="680" t="s">
        <v>506</v>
      </c>
      <c r="C38" s="588">
        <f>SUM(D38:F38)-G38</f>
        <v>0</v>
      </c>
      <c r="D38" s="588"/>
      <c r="E38" s="588"/>
      <c r="F38" s="588"/>
      <c r="G38" s="588"/>
      <c r="H38" s="588"/>
      <c r="I38" s="588">
        <f>C38-H38</f>
        <v>0</v>
      </c>
      <c r="J38" s="588"/>
      <c r="K38" s="588">
        <f>C38-H38-J38</f>
        <v>0</v>
      </c>
      <c r="L38" s="96"/>
    </row>
    <row r="39" spans="1:26" s="47" customFormat="1" ht="20.25" customHeight="1">
      <c r="A39" s="679" t="s">
        <v>446</v>
      </c>
      <c r="B39" s="680" t="s">
        <v>507</v>
      </c>
      <c r="C39" s="588">
        <f>SUM(D39:F39)-G39</f>
        <v>0</v>
      </c>
      <c r="D39" s="588"/>
      <c r="E39" s="588"/>
      <c r="F39" s="588"/>
      <c r="G39" s="588"/>
      <c r="H39" s="588"/>
      <c r="I39" s="588">
        <f>C39-H39</f>
        <v>0</v>
      </c>
      <c r="J39" s="588"/>
      <c r="K39" s="588">
        <f>C39-H39-J39</f>
        <v>0</v>
      </c>
      <c r="L39" s="96"/>
    </row>
    <row r="40" spans="1:26" s="67" customFormat="1" ht="20.25" customHeight="1">
      <c r="A40" s="677">
        <v>2</v>
      </c>
      <c r="B40" s="681" t="s">
        <v>495</v>
      </c>
      <c r="C40" s="678">
        <f t="shared" ref="C40:K40" si="8">+C53+C41+C50</f>
        <v>142400713752</v>
      </c>
      <c r="D40" s="678">
        <f t="shared" si="8"/>
        <v>75730000000</v>
      </c>
      <c r="E40" s="678">
        <f>+E53+E41+E50</f>
        <v>29823713752</v>
      </c>
      <c r="F40" s="678">
        <f t="shared" si="8"/>
        <v>86453000000</v>
      </c>
      <c r="G40" s="678">
        <f t="shared" si="8"/>
        <v>49606000000</v>
      </c>
      <c r="H40" s="678">
        <f t="shared" si="8"/>
        <v>59753329013</v>
      </c>
      <c r="I40" s="678">
        <f t="shared" si="8"/>
        <v>82647384739</v>
      </c>
      <c r="J40" s="678">
        <f>+J53+J41+J50</f>
        <v>82647384739</v>
      </c>
      <c r="K40" s="678">
        <f t="shared" si="8"/>
        <v>0</v>
      </c>
      <c r="L40" s="101"/>
      <c r="M40" s="47"/>
      <c r="N40" s="47"/>
    </row>
    <row r="41" spans="1:26" s="47" customFormat="1" ht="20.25" customHeight="1">
      <c r="A41" s="679" t="s">
        <v>261</v>
      </c>
      <c r="B41" s="680" t="s">
        <v>506</v>
      </c>
      <c r="C41" s="588">
        <f t="shared" ref="C41:K41" si="9">SUM(C42:C49)</f>
        <v>46167979376</v>
      </c>
      <c r="D41" s="588">
        <f t="shared" si="9"/>
        <v>32537000000</v>
      </c>
      <c r="E41" s="588">
        <f t="shared" si="9"/>
        <v>2519979376</v>
      </c>
      <c r="F41" s="588">
        <f t="shared" si="9"/>
        <v>22239000000</v>
      </c>
      <c r="G41" s="588">
        <f t="shared" si="9"/>
        <v>11128000000</v>
      </c>
      <c r="H41" s="588">
        <f t="shared" si="9"/>
        <v>16052100776</v>
      </c>
      <c r="I41" s="588">
        <f t="shared" si="9"/>
        <v>30115878600</v>
      </c>
      <c r="J41" s="588">
        <f>SUM(J42:J49)</f>
        <v>30115878600</v>
      </c>
      <c r="K41" s="588">
        <f t="shared" si="9"/>
        <v>0</v>
      </c>
      <c r="L41" s="96"/>
    </row>
    <row r="42" spans="1:26" s="47" customFormat="1" ht="20.25" customHeight="1">
      <c r="A42" s="679"/>
      <c r="B42" s="680" t="s">
        <v>325</v>
      </c>
      <c r="C42" s="588">
        <f t="shared" ref="C42:C48" si="10">SUM(D42:F42)-G42</f>
        <v>4304000000</v>
      </c>
      <c r="D42" s="588">
        <v>14964000000</v>
      </c>
      <c r="E42" s="588"/>
      <c r="F42" s="588"/>
      <c r="G42" s="588">
        <v>10660000000</v>
      </c>
      <c r="H42" s="588">
        <v>2890129000</v>
      </c>
      <c r="I42" s="588">
        <f t="shared" ref="I42:I49" si="11">C42-H42</f>
        <v>1413871000</v>
      </c>
      <c r="J42" s="588">
        <v>1413871000</v>
      </c>
      <c r="K42" s="588">
        <f t="shared" ref="K42:K49" si="12">C42-H42-J42</f>
        <v>0</v>
      </c>
      <c r="L42" s="101"/>
      <c r="O42" s="67"/>
      <c r="P42" s="67"/>
      <c r="Q42" s="67"/>
      <c r="R42" s="67"/>
      <c r="S42" s="67"/>
      <c r="T42" s="67"/>
      <c r="U42" s="67"/>
      <c r="V42" s="67"/>
      <c r="W42" s="67"/>
    </row>
    <row r="43" spans="1:26" s="47" customFormat="1" ht="18" customHeight="1">
      <c r="A43" s="679"/>
      <c r="B43" s="682" t="s">
        <v>190</v>
      </c>
      <c r="C43" s="588">
        <f t="shared" si="10"/>
        <v>1815000000</v>
      </c>
      <c r="D43" s="588">
        <v>1815000000</v>
      </c>
      <c r="E43" s="588"/>
      <c r="F43" s="588"/>
      <c r="G43" s="588"/>
      <c r="H43" s="588">
        <v>1796150000</v>
      </c>
      <c r="I43" s="588">
        <f t="shared" si="11"/>
        <v>18850000</v>
      </c>
      <c r="J43" s="588">
        <v>18850000</v>
      </c>
      <c r="K43" s="588">
        <f t="shared" si="12"/>
        <v>0</v>
      </c>
      <c r="L43" s="96"/>
      <c r="X43" s="281"/>
      <c r="Y43" s="66"/>
      <c r="Z43" s="66"/>
    </row>
    <row r="44" spans="1:26" s="47" customFormat="1" ht="18" customHeight="1">
      <c r="A44" s="679"/>
      <c r="B44" s="682" t="s">
        <v>343</v>
      </c>
      <c r="C44" s="588">
        <f t="shared" si="10"/>
        <v>4787398476</v>
      </c>
      <c r="D44" s="588">
        <v>4168000000</v>
      </c>
      <c r="E44" s="588">
        <v>1087398476</v>
      </c>
      <c r="F44" s="588"/>
      <c r="G44" s="588">
        <v>468000000</v>
      </c>
      <c r="H44" s="588">
        <v>1970181276</v>
      </c>
      <c r="I44" s="588">
        <f t="shared" si="11"/>
        <v>2817217200</v>
      </c>
      <c r="J44" s="588">
        <v>2817217200</v>
      </c>
      <c r="K44" s="588">
        <f t="shared" si="12"/>
        <v>0</v>
      </c>
      <c r="L44" s="101"/>
      <c r="O44" s="67"/>
      <c r="P44" s="67"/>
      <c r="Q44" s="67"/>
      <c r="R44" s="67"/>
      <c r="S44" s="67"/>
      <c r="T44" s="67"/>
      <c r="U44" s="67"/>
      <c r="V44" s="67"/>
      <c r="W44" s="67"/>
      <c r="X44" s="281"/>
      <c r="Y44" s="66"/>
      <c r="Z44" s="66"/>
    </row>
    <row r="45" spans="1:26" s="47" customFormat="1" ht="18" customHeight="1">
      <c r="A45" s="679"/>
      <c r="B45" s="682" t="s">
        <v>196</v>
      </c>
      <c r="C45" s="588">
        <f t="shared" si="10"/>
        <v>2100000000</v>
      </c>
      <c r="D45" s="588">
        <v>1730000000</v>
      </c>
      <c r="E45" s="588">
        <v>370000000</v>
      </c>
      <c r="F45" s="588"/>
      <c r="G45" s="588"/>
      <c r="H45" s="588">
        <v>1597859600</v>
      </c>
      <c r="I45" s="588">
        <f t="shared" si="11"/>
        <v>502140400</v>
      </c>
      <c r="J45" s="588">
        <v>502140400</v>
      </c>
      <c r="K45" s="588">
        <f t="shared" si="12"/>
        <v>0</v>
      </c>
      <c r="L45" s="96"/>
      <c r="X45" s="281"/>
      <c r="Y45" s="66"/>
      <c r="Z45" s="66"/>
    </row>
    <row r="46" spans="1:26" s="47" customFormat="1" ht="18" customHeight="1">
      <c r="A46" s="679"/>
      <c r="B46" s="682" t="s">
        <v>314</v>
      </c>
      <c r="C46" s="588">
        <f t="shared" si="10"/>
        <v>4512580900</v>
      </c>
      <c r="D46" s="588">
        <v>3450000000</v>
      </c>
      <c r="E46" s="588">
        <v>1062580900</v>
      </c>
      <c r="F46" s="588"/>
      <c r="G46" s="588"/>
      <c r="H46" s="588">
        <v>1387780900</v>
      </c>
      <c r="I46" s="588">
        <f t="shared" si="11"/>
        <v>3124800000</v>
      </c>
      <c r="J46" s="588">
        <v>3124800000</v>
      </c>
      <c r="K46" s="588">
        <f t="shared" si="12"/>
        <v>0</v>
      </c>
      <c r="L46" s="101"/>
      <c r="O46" s="67"/>
      <c r="P46" s="67"/>
      <c r="Q46" s="67"/>
      <c r="R46" s="67"/>
      <c r="S46" s="67"/>
      <c r="T46" s="67"/>
      <c r="U46" s="67"/>
      <c r="V46" s="67"/>
      <c r="W46" s="67"/>
      <c r="X46" s="281"/>
      <c r="Y46" s="66"/>
      <c r="Z46" s="66"/>
    </row>
    <row r="47" spans="1:26" s="47" customFormat="1" ht="18" customHeight="1">
      <c r="A47" s="679"/>
      <c r="B47" s="682" t="s">
        <v>392</v>
      </c>
      <c r="C47" s="588">
        <f t="shared" si="10"/>
        <v>22219000000</v>
      </c>
      <c r="D47" s="588"/>
      <c r="E47" s="588"/>
      <c r="F47" s="588">
        <v>22219000000</v>
      </c>
      <c r="G47" s="588"/>
      <c r="H47" s="588"/>
      <c r="I47" s="588">
        <f>C47-H47</f>
        <v>22219000000</v>
      </c>
      <c r="J47" s="588">
        <v>22219000000</v>
      </c>
      <c r="K47" s="588">
        <f>C47-H47-J47</f>
        <v>0</v>
      </c>
      <c r="L47" s="101"/>
      <c r="O47" s="67"/>
      <c r="P47" s="67"/>
      <c r="Q47" s="67"/>
      <c r="R47" s="67"/>
      <c r="S47" s="67"/>
      <c r="T47" s="67"/>
      <c r="U47" s="67"/>
      <c r="V47" s="67"/>
      <c r="W47" s="67"/>
      <c r="X47" s="281"/>
      <c r="Y47" s="66"/>
      <c r="Z47" s="66"/>
    </row>
    <row r="48" spans="1:26" s="47" customFormat="1" ht="18" customHeight="1">
      <c r="A48" s="679"/>
      <c r="B48" s="682" t="s">
        <v>400</v>
      </c>
      <c r="C48" s="588">
        <f t="shared" si="10"/>
        <v>6410000000</v>
      </c>
      <c r="D48" s="588">
        <v>6410000000</v>
      </c>
      <c r="E48" s="588"/>
      <c r="F48" s="588"/>
      <c r="G48" s="588"/>
      <c r="H48" s="588">
        <v>6410000000</v>
      </c>
      <c r="I48" s="588">
        <f t="shared" si="11"/>
        <v>0</v>
      </c>
      <c r="J48" s="588"/>
      <c r="K48" s="588">
        <f t="shared" si="12"/>
        <v>0</v>
      </c>
      <c r="L48" s="96"/>
      <c r="X48" s="281"/>
      <c r="Y48" s="66"/>
      <c r="Z48" s="66"/>
    </row>
    <row r="49" spans="1:23" s="47" customFormat="1" ht="20.25" customHeight="1">
      <c r="A49" s="679"/>
      <c r="B49" s="680" t="s">
        <v>332</v>
      </c>
      <c r="C49" s="588">
        <f>SUM(D49:G49)</f>
        <v>20000000</v>
      </c>
      <c r="D49" s="588"/>
      <c r="E49" s="588"/>
      <c r="F49" s="588">
        <v>20000000</v>
      </c>
      <c r="G49" s="588"/>
      <c r="H49" s="588">
        <f>'B56'!D50-'B56'!V50</f>
        <v>0</v>
      </c>
      <c r="I49" s="588">
        <f t="shared" si="11"/>
        <v>20000000</v>
      </c>
      <c r="J49" s="588">
        <v>20000000</v>
      </c>
      <c r="K49" s="588">
        <f t="shared" si="12"/>
        <v>0</v>
      </c>
      <c r="L49" s="96"/>
    </row>
    <row r="50" spans="1:23" s="47" customFormat="1" ht="20.25" customHeight="1">
      <c r="A50" s="679" t="s">
        <v>263</v>
      </c>
      <c r="B50" s="680" t="s">
        <v>507</v>
      </c>
      <c r="C50" s="588">
        <f>SUM(C51:C52)</f>
        <v>237010376</v>
      </c>
      <c r="D50" s="588">
        <f t="shared" ref="D50:K50" si="13">SUM(D51:D52)</f>
        <v>230000000</v>
      </c>
      <c r="E50" s="588">
        <f t="shared" si="13"/>
        <v>7010376</v>
      </c>
      <c r="F50" s="588">
        <f t="shared" si="13"/>
        <v>0</v>
      </c>
      <c r="G50" s="588">
        <f t="shared" si="13"/>
        <v>0</v>
      </c>
      <c r="H50" s="588">
        <f t="shared" si="13"/>
        <v>236950000</v>
      </c>
      <c r="I50" s="588">
        <f t="shared" si="13"/>
        <v>60376</v>
      </c>
      <c r="J50" s="588">
        <f t="shared" si="13"/>
        <v>60376</v>
      </c>
      <c r="K50" s="588">
        <f t="shared" si="13"/>
        <v>0</v>
      </c>
      <c r="L50" s="101"/>
      <c r="O50" s="67"/>
      <c r="P50" s="67"/>
      <c r="Q50" s="67"/>
      <c r="R50" s="67"/>
      <c r="S50" s="67"/>
      <c r="T50" s="67"/>
      <c r="U50" s="67"/>
      <c r="V50" s="67"/>
      <c r="W50" s="67"/>
    </row>
    <row r="51" spans="1:23" s="47" customFormat="1" ht="20.25" customHeight="1">
      <c r="A51" s="679"/>
      <c r="B51" s="680" t="s">
        <v>345</v>
      </c>
      <c r="C51" s="588">
        <f>SUM(D51:F51)-G51</f>
        <v>237010376</v>
      </c>
      <c r="D51" s="588">
        <f>200000000+30000000</f>
        <v>230000000</v>
      </c>
      <c r="E51" s="588">
        <v>7010376</v>
      </c>
      <c r="F51" s="683"/>
      <c r="G51" s="588"/>
      <c r="H51" s="588">
        <f>[4]B56!D50-[4]B56!V50</f>
        <v>236950000</v>
      </c>
      <c r="I51" s="588">
        <f>C51-H51</f>
        <v>60376</v>
      </c>
      <c r="J51" s="588">
        <v>60376</v>
      </c>
      <c r="K51" s="683">
        <f>C51-H51-J51</f>
        <v>0</v>
      </c>
      <c r="L51" s="96"/>
    </row>
    <row r="52" spans="1:23" s="47" customFormat="1" ht="20.25" customHeight="1">
      <c r="A52" s="679"/>
      <c r="B52" s="680" t="s">
        <v>332</v>
      </c>
      <c r="C52" s="588">
        <f>SUM(D52:G52)</f>
        <v>0</v>
      </c>
      <c r="D52" s="588"/>
      <c r="E52" s="588"/>
      <c r="F52" s="588"/>
      <c r="G52" s="588"/>
      <c r="H52" s="588">
        <f>'B56'!D53-'B56'!V53</f>
        <v>0</v>
      </c>
      <c r="I52" s="588">
        <f>C52-H52</f>
        <v>0</v>
      </c>
      <c r="J52" s="588"/>
      <c r="K52" s="588">
        <f>C52-H52-J52</f>
        <v>0</v>
      </c>
      <c r="L52" s="101"/>
      <c r="O52" s="67"/>
      <c r="P52" s="67"/>
      <c r="Q52" s="67"/>
      <c r="R52" s="67"/>
      <c r="S52" s="67"/>
      <c r="T52" s="67"/>
      <c r="U52" s="67"/>
      <c r="V52" s="67"/>
      <c r="W52" s="67"/>
    </row>
    <row r="53" spans="1:23" s="47" customFormat="1" ht="31.5" customHeight="1">
      <c r="A53" s="679" t="s">
        <v>508</v>
      </c>
      <c r="B53" s="684" t="s">
        <v>509</v>
      </c>
      <c r="C53" s="588">
        <f t="shared" ref="C53:K53" si="14">SUM(C54:C61)</f>
        <v>95995724000</v>
      </c>
      <c r="D53" s="588">
        <f t="shared" si="14"/>
        <v>42963000000</v>
      </c>
      <c r="E53" s="588">
        <f t="shared" si="14"/>
        <v>27296724000</v>
      </c>
      <c r="F53" s="588">
        <f t="shared" si="14"/>
        <v>64214000000</v>
      </c>
      <c r="G53" s="588">
        <f t="shared" si="14"/>
        <v>38478000000</v>
      </c>
      <c r="H53" s="588">
        <f t="shared" si="14"/>
        <v>43464278237</v>
      </c>
      <c r="I53" s="588">
        <f t="shared" si="14"/>
        <v>52531445763</v>
      </c>
      <c r="J53" s="588">
        <f t="shared" si="14"/>
        <v>52531445763</v>
      </c>
      <c r="K53" s="588">
        <f t="shared" si="14"/>
        <v>0</v>
      </c>
      <c r="L53" s="96"/>
    </row>
    <row r="54" spans="1:23" s="47" customFormat="1" ht="20.25" customHeight="1">
      <c r="A54" s="679"/>
      <c r="B54" s="680" t="s">
        <v>729</v>
      </c>
      <c r="C54" s="588">
        <f t="shared" ref="C54:C61" si="15">SUM(D54:F54)-G54</f>
        <v>1111000000</v>
      </c>
      <c r="D54" s="588">
        <v>3846000000</v>
      </c>
      <c r="E54" s="588">
        <v>1238000000</v>
      </c>
      <c r="F54" s="588"/>
      <c r="G54" s="588">
        <v>3973000000</v>
      </c>
      <c r="H54" s="588">
        <v>340256510</v>
      </c>
      <c r="I54" s="588">
        <f>C54-H54</f>
        <v>770743490</v>
      </c>
      <c r="J54" s="588">
        <v>770743490</v>
      </c>
      <c r="K54" s="588">
        <f>C54-H54-J54</f>
        <v>0</v>
      </c>
      <c r="L54" s="101"/>
      <c r="O54" s="67"/>
      <c r="P54" s="67"/>
      <c r="Q54" s="67"/>
      <c r="R54" s="67"/>
      <c r="S54" s="67"/>
      <c r="T54" s="67"/>
      <c r="U54" s="67"/>
      <c r="V54" s="67"/>
      <c r="W54" s="67"/>
    </row>
    <row r="55" spans="1:23" s="47" customFormat="1" ht="20.25" customHeight="1">
      <c r="A55" s="679"/>
      <c r="B55" s="680" t="s">
        <v>345</v>
      </c>
      <c r="C55" s="683">
        <f>SUM(D55:F55)-G55</f>
        <v>0</v>
      </c>
      <c r="D55" s="588">
        <v>18316000000</v>
      </c>
      <c r="E55" s="588">
        <v>2805000000</v>
      </c>
      <c r="F55" s="683"/>
      <c r="G55" s="588">
        <f>18316000000+2805000000</f>
        <v>21121000000</v>
      </c>
      <c r="H55" s="683">
        <f>[4]B56!D54-[4]B56!V54</f>
        <v>0</v>
      </c>
      <c r="I55" s="683">
        <f>C55-H55</f>
        <v>0</v>
      </c>
      <c r="J55" s="683">
        <v>0</v>
      </c>
      <c r="K55" s="588">
        <f t="shared" ref="K55:K61" si="16">C55-H55-J55</f>
        <v>0</v>
      </c>
      <c r="L55" s="96"/>
    </row>
    <row r="56" spans="1:23" s="47" customFormat="1" ht="20.25" customHeight="1">
      <c r="A56" s="679"/>
      <c r="B56" s="680" t="s">
        <v>193</v>
      </c>
      <c r="C56" s="588">
        <f t="shared" si="15"/>
        <v>5425000000</v>
      </c>
      <c r="D56" s="588">
        <v>5134000000</v>
      </c>
      <c r="E56" s="588">
        <v>305000000</v>
      </c>
      <c r="F56" s="588"/>
      <c r="G56" s="588">
        <v>14000000</v>
      </c>
      <c r="H56" s="588">
        <v>4497290180</v>
      </c>
      <c r="I56" s="588">
        <f t="shared" ref="I56:I61" si="17">C56-H56</f>
        <v>927709820</v>
      </c>
      <c r="J56" s="588">
        <v>927709820</v>
      </c>
      <c r="K56" s="588">
        <f t="shared" si="16"/>
        <v>0</v>
      </c>
      <c r="L56" s="101"/>
      <c r="O56" s="67"/>
      <c r="P56" s="67"/>
      <c r="Q56" s="67"/>
      <c r="R56" s="67"/>
      <c r="S56" s="67"/>
      <c r="T56" s="67"/>
      <c r="U56" s="67"/>
      <c r="V56" s="67"/>
      <c r="W56" s="67"/>
    </row>
    <row r="57" spans="1:23" s="47" customFormat="1" ht="20.25" customHeight="1">
      <c r="A57" s="679"/>
      <c r="B57" s="680" t="s">
        <v>343</v>
      </c>
      <c r="C57" s="588">
        <f t="shared" si="15"/>
        <v>1328000000</v>
      </c>
      <c r="D57" s="588"/>
      <c r="E57" s="588">
        <v>1328000000</v>
      </c>
      <c r="F57" s="588"/>
      <c r="G57" s="588"/>
      <c r="H57" s="588"/>
      <c r="I57" s="588">
        <f t="shared" si="17"/>
        <v>1328000000</v>
      </c>
      <c r="J57" s="588">
        <v>1328000000</v>
      </c>
      <c r="K57" s="588">
        <f t="shared" si="16"/>
        <v>0</v>
      </c>
      <c r="L57" s="96"/>
    </row>
    <row r="58" spans="1:23" s="47" customFormat="1" ht="20.25" customHeight="1">
      <c r="A58" s="679"/>
      <c r="B58" s="680" t="s">
        <v>196</v>
      </c>
      <c r="C58" s="588">
        <f t="shared" si="15"/>
        <v>2782000000</v>
      </c>
      <c r="D58" s="588">
        <v>2993000000</v>
      </c>
      <c r="E58" s="588">
        <v>340000000</v>
      </c>
      <c r="F58" s="588"/>
      <c r="G58" s="588">
        <v>551000000</v>
      </c>
      <c r="H58" s="588">
        <v>2418464000</v>
      </c>
      <c r="I58" s="588">
        <f t="shared" si="17"/>
        <v>363536000</v>
      </c>
      <c r="J58" s="588">
        <v>363536000</v>
      </c>
      <c r="K58" s="588">
        <f t="shared" si="16"/>
        <v>0</v>
      </c>
      <c r="L58" s="96"/>
    </row>
    <row r="59" spans="1:23" s="47" customFormat="1" ht="20.25" customHeight="1">
      <c r="A59" s="679"/>
      <c r="B59" s="680" t="s">
        <v>314</v>
      </c>
      <c r="C59" s="588">
        <f t="shared" si="15"/>
        <v>16187724000</v>
      </c>
      <c r="D59" s="588">
        <v>12674000000</v>
      </c>
      <c r="E59" s="588">
        <v>3513724000</v>
      </c>
      <c r="F59" s="588"/>
      <c r="G59" s="588"/>
      <c r="H59" s="588">
        <v>1323768000</v>
      </c>
      <c r="I59" s="588">
        <f t="shared" si="17"/>
        <v>14863956000</v>
      </c>
      <c r="J59" s="588">
        <v>14863956000</v>
      </c>
      <c r="K59" s="588">
        <f t="shared" si="16"/>
        <v>0</v>
      </c>
      <c r="L59" s="96"/>
    </row>
    <row r="60" spans="1:23" s="47" customFormat="1" ht="20.25" customHeight="1">
      <c r="A60" s="679"/>
      <c r="B60" s="680" t="s">
        <v>392</v>
      </c>
      <c r="C60" s="588">
        <f>SUM(D60:F60)-G60</f>
        <v>69162000000</v>
      </c>
      <c r="D60" s="588"/>
      <c r="E60" s="588">
        <v>4948000000</v>
      </c>
      <c r="F60" s="588">
        <f>65233000000-1019000000</f>
        <v>64214000000</v>
      </c>
      <c r="G60" s="588"/>
      <c r="H60" s="588">
        <v>34884499547</v>
      </c>
      <c r="I60" s="588">
        <f>C60-H60</f>
        <v>34277500453</v>
      </c>
      <c r="J60" s="588">
        <f>35296500453-1019000000</f>
        <v>34277500453</v>
      </c>
      <c r="K60" s="588">
        <f>C60-H60-J60</f>
        <v>0</v>
      </c>
      <c r="L60" s="96"/>
    </row>
    <row r="61" spans="1:23" s="47" customFormat="1" ht="20.25" customHeight="1">
      <c r="A61" s="679"/>
      <c r="B61" s="680" t="s">
        <v>332</v>
      </c>
      <c r="C61" s="588">
        <f t="shared" si="15"/>
        <v>0</v>
      </c>
      <c r="D61" s="588"/>
      <c r="E61" s="588">
        <v>12819000000</v>
      </c>
      <c r="F61" s="588"/>
      <c r="G61" s="588">
        <v>12819000000</v>
      </c>
      <c r="H61" s="588"/>
      <c r="I61" s="588">
        <f t="shared" si="17"/>
        <v>0</v>
      </c>
      <c r="J61" s="588"/>
      <c r="K61" s="588">
        <f t="shared" si="16"/>
        <v>0</v>
      </c>
      <c r="L61" s="96"/>
    </row>
    <row r="62" spans="1:23" s="67" customFormat="1" ht="30.75" customHeight="1">
      <c r="A62" s="677" t="s">
        <v>13</v>
      </c>
      <c r="B62" s="685" t="s">
        <v>482</v>
      </c>
      <c r="C62" s="678">
        <f>+C63+C66</f>
        <v>101666500</v>
      </c>
      <c r="D62" s="678">
        <f t="shared" ref="D62:K62" si="18">+D63+D66</f>
        <v>28000000</v>
      </c>
      <c r="E62" s="678">
        <f t="shared" si="18"/>
        <v>6666500</v>
      </c>
      <c r="F62" s="678">
        <f t="shared" si="18"/>
        <v>95000000</v>
      </c>
      <c r="G62" s="678">
        <f t="shared" si="18"/>
        <v>28000000</v>
      </c>
      <c r="H62" s="678">
        <f t="shared" si="18"/>
        <v>101666500</v>
      </c>
      <c r="I62" s="678">
        <f t="shared" si="18"/>
        <v>0</v>
      </c>
      <c r="J62" s="678">
        <f t="shared" si="18"/>
        <v>0</v>
      </c>
      <c r="K62" s="678">
        <f t="shared" si="18"/>
        <v>0</v>
      </c>
      <c r="L62" s="101"/>
      <c r="M62" s="47"/>
      <c r="N62" s="47"/>
    </row>
    <row r="63" spans="1:23" s="67" customFormat="1" ht="30.75" customHeight="1">
      <c r="A63" s="679">
        <v>1</v>
      </c>
      <c r="B63" s="684" t="s">
        <v>505</v>
      </c>
      <c r="C63" s="678">
        <f>C65+C64</f>
        <v>95000000</v>
      </c>
      <c r="D63" s="678">
        <f t="shared" ref="D63:K63" si="19">D65+D64</f>
        <v>28000000</v>
      </c>
      <c r="E63" s="678">
        <f t="shared" si="19"/>
        <v>0</v>
      </c>
      <c r="F63" s="678">
        <f t="shared" si="19"/>
        <v>95000000</v>
      </c>
      <c r="G63" s="678">
        <f t="shared" si="19"/>
        <v>28000000</v>
      </c>
      <c r="H63" s="678">
        <f t="shared" si="19"/>
        <v>95000000</v>
      </c>
      <c r="I63" s="678">
        <f t="shared" si="19"/>
        <v>0</v>
      </c>
      <c r="J63" s="678">
        <f t="shared" si="19"/>
        <v>0</v>
      </c>
      <c r="K63" s="678">
        <f t="shared" si="19"/>
        <v>0</v>
      </c>
      <c r="L63" s="101"/>
      <c r="M63" s="47"/>
      <c r="N63" s="47"/>
    </row>
    <row r="64" spans="1:23" s="47" customFormat="1" ht="20.25" customHeight="1">
      <c r="A64" s="679"/>
      <c r="B64" s="659" t="s">
        <v>326</v>
      </c>
      <c r="C64" s="588">
        <f>SUM(D64:F64)-G64</f>
        <v>0</v>
      </c>
      <c r="D64" s="588">
        <v>28000000</v>
      </c>
      <c r="E64" s="588"/>
      <c r="F64" s="588"/>
      <c r="G64" s="588">
        <v>28000000</v>
      </c>
      <c r="H64" s="588"/>
      <c r="I64" s="588">
        <f>C64-H64</f>
        <v>0</v>
      </c>
      <c r="J64" s="588"/>
      <c r="K64" s="588">
        <f>C64-H64-J64</f>
        <v>0</v>
      </c>
      <c r="L64" s="96"/>
    </row>
    <row r="65" spans="1:14" s="47" customFormat="1" ht="20.25" customHeight="1">
      <c r="A65" s="679"/>
      <c r="B65" s="659" t="s">
        <v>325</v>
      </c>
      <c r="C65" s="588">
        <f>SUM(D65:F65)-G65</f>
        <v>95000000</v>
      </c>
      <c r="D65" s="588"/>
      <c r="E65" s="588"/>
      <c r="F65" s="588">
        <v>95000000</v>
      </c>
      <c r="G65" s="588"/>
      <c r="H65" s="588">
        <v>95000000</v>
      </c>
      <c r="I65" s="588">
        <f>C65-H65</f>
        <v>0</v>
      </c>
      <c r="J65" s="588"/>
      <c r="K65" s="588">
        <f>C65-H65-J65</f>
        <v>0</v>
      </c>
      <c r="L65" s="96"/>
    </row>
    <row r="66" spans="1:14" s="67" customFormat="1" ht="30.75" customHeight="1">
      <c r="A66" s="679">
        <v>2</v>
      </c>
      <c r="B66" s="684" t="s">
        <v>320</v>
      </c>
      <c r="C66" s="678">
        <f>C67</f>
        <v>6666500</v>
      </c>
      <c r="D66" s="678">
        <f t="shared" ref="D66:K66" si="20">D67</f>
        <v>0</v>
      </c>
      <c r="E66" s="678">
        <f t="shared" si="20"/>
        <v>6666500</v>
      </c>
      <c r="F66" s="678">
        <f t="shared" si="20"/>
        <v>0</v>
      </c>
      <c r="G66" s="678">
        <f t="shared" si="20"/>
        <v>0</v>
      </c>
      <c r="H66" s="678">
        <f t="shared" si="20"/>
        <v>6666500</v>
      </c>
      <c r="I66" s="678">
        <f t="shared" si="20"/>
        <v>0</v>
      </c>
      <c r="J66" s="678">
        <f t="shared" si="20"/>
        <v>0</v>
      </c>
      <c r="K66" s="678">
        <f t="shared" si="20"/>
        <v>0</v>
      </c>
      <c r="L66" s="101"/>
      <c r="M66" s="47"/>
      <c r="N66" s="47"/>
    </row>
    <row r="67" spans="1:14" s="47" customFormat="1" ht="20.25" customHeight="1">
      <c r="A67" s="686"/>
      <c r="B67" s="687" t="s">
        <v>332</v>
      </c>
      <c r="C67" s="592">
        <f>SUM(D67:F67)-G67</f>
        <v>6666500</v>
      </c>
      <c r="D67" s="592"/>
      <c r="E67" s="592">
        <v>6666500</v>
      </c>
      <c r="F67" s="592"/>
      <c r="G67" s="592"/>
      <c r="H67" s="592">
        <f>20004100-13337600</f>
        <v>6666500</v>
      </c>
      <c r="I67" s="592">
        <f>C67-H67</f>
        <v>0</v>
      </c>
      <c r="J67" s="592"/>
      <c r="K67" s="592">
        <f>C67-H67-J67</f>
        <v>0</v>
      </c>
      <c r="L67" s="96"/>
    </row>
  </sheetData>
  <mergeCells count="10">
    <mergeCell ref="J1:K1"/>
    <mergeCell ref="J5:K5"/>
    <mergeCell ref="A6:A7"/>
    <mergeCell ref="B6:B7"/>
    <mergeCell ref="C6:C7"/>
    <mergeCell ref="D6:G6"/>
    <mergeCell ref="H6:H7"/>
    <mergeCell ref="I6:I7"/>
    <mergeCell ref="J6:K6"/>
    <mergeCell ref="A4:K4"/>
  </mergeCells>
  <phoneticPr fontId="16" type="noConversion"/>
  <pageMargins left="0.32" right="0" top="0.6" bottom="0.47" header="0" footer="0.25"/>
  <pageSetup paperSize="9" scale="98" fitToHeight="0" orientation="landscape" verticalDpi="4294967295"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AM44"/>
  <sheetViews>
    <sheetView showZeros="0" view="pageBreakPreview" topLeftCell="A5" zoomScale="85" zoomScaleNormal="80" zoomScaleSheetLayoutView="85" workbookViewId="0">
      <selection activeCell="A5" sqref="A5:A13"/>
    </sheetView>
  </sheetViews>
  <sheetFormatPr defaultColWidth="9" defaultRowHeight="15.75"/>
  <cols>
    <col min="1" max="1" width="4.5" style="48" customWidth="1"/>
    <col min="2" max="2" width="15.375" style="48" customWidth="1"/>
    <col min="3" max="3" width="14.125" style="48" customWidth="1"/>
    <col min="4" max="4" width="12.25" style="48" customWidth="1"/>
    <col min="5" max="5" width="5.625" style="48" customWidth="1"/>
    <col min="6" max="6" width="4.25" style="48" customWidth="1"/>
    <col min="7" max="7" width="13.125" style="48" customWidth="1"/>
    <col min="8" max="8" width="12" style="48" customWidth="1"/>
    <col min="9" max="9" width="4.25" style="48" customWidth="1"/>
    <col min="10" max="10" width="12.5" style="48" customWidth="1"/>
    <col min="11" max="11" width="12.625" style="48" customWidth="1"/>
    <col min="12" max="12" width="5.25" style="48" customWidth="1"/>
    <col min="13" max="14" width="12.5" style="48" customWidth="1"/>
    <col min="15" max="15" width="5.25" style="48" customWidth="1"/>
    <col min="16" max="16" width="11.5" style="48" customWidth="1"/>
    <col min="17" max="17" width="14.25" style="48" customWidth="1"/>
    <col min="18" max="18" width="10.75" style="48" customWidth="1"/>
    <col min="19" max="19" width="5.75" style="48" customWidth="1"/>
    <col min="20" max="20" width="5.25" style="48" customWidth="1"/>
    <col min="21" max="21" width="15.125" style="48" customWidth="1"/>
    <col min="22" max="22" width="10.75" style="48" customWidth="1"/>
    <col min="23" max="23" width="4" style="48" customWidth="1"/>
    <col min="24" max="24" width="12.625" style="48" customWidth="1"/>
    <col min="25" max="25" width="6" style="48" customWidth="1"/>
    <col min="26" max="26" width="13.375" style="48" customWidth="1"/>
    <col min="27" max="27" width="12.25" style="48" customWidth="1"/>
    <col min="28" max="28" width="5.875" style="48" customWidth="1"/>
    <col min="29" max="29" width="12.375" style="48" customWidth="1"/>
    <col min="30" max="30" width="11.5" style="48" customWidth="1"/>
    <col min="31" max="31" width="12.5" style="48" customWidth="1"/>
    <col min="32" max="32" width="6.625" style="48" customWidth="1"/>
    <col min="33" max="33" width="6.875" style="48" customWidth="1"/>
    <col min="34" max="34" width="6.75" style="48" customWidth="1"/>
    <col min="35" max="35" width="6.625" style="48" customWidth="1"/>
    <col min="36" max="36" width="7.25" style="48" customWidth="1"/>
    <col min="37" max="16384" width="9" style="48"/>
  </cols>
  <sheetData>
    <row r="1" spans="1:39" ht="20.25" customHeight="1">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F1" s="53"/>
      <c r="AG1" s="53"/>
      <c r="AH1" s="364" t="s">
        <v>113</v>
      </c>
      <c r="AI1" s="186"/>
      <c r="AK1" s="186"/>
    </row>
    <row r="2" spans="1:39" s="5" customFormat="1" ht="28.5" customHeight="1">
      <c r="A2" s="1038" t="s">
        <v>843</v>
      </c>
      <c r="B2" s="1038"/>
      <c r="C2" s="1038"/>
      <c r="D2" s="1038"/>
      <c r="E2" s="1038"/>
      <c r="F2" s="1038"/>
      <c r="G2" s="1038"/>
      <c r="H2" s="1038"/>
      <c r="I2" s="1038"/>
      <c r="J2" s="1038"/>
      <c r="K2" s="1038"/>
      <c r="L2" s="1038"/>
      <c r="M2" s="1038"/>
      <c r="N2" s="1038"/>
      <c r="O2" s="1038"/>
      <c r="P2" s="1038"/>
      <c r="Q2" s="1038"/>
      <c r="R2" s="1038"/>
      <c r="S2" s="1038"/>
      <c r="T2" s="1038"/>
      <c r="U2" s="1038"/>
      <c r="V2" s="1038"/>
      <c r="W2" s="1038"/>
      <c r="X2" s="1038"/>
      <c r="Y2" s="1038"/>
      <c r="Z2" s="1038"/>
      <c r="AA2" s="1038"/>
      <c r="AB2" s="1038"/>
      <c r="AC2" s="1038"/>
      <c r="AD2" s="1038"/>
      <c r="AE2" s="1038"/>
      <c r="AF2" s="1038"/>
      <c r="AG2" s="1038"/>
      <c r="AH2" s="1038"/>
      <c r="AI2" s="1038"/>
      <c r="AJ2" s="1038"/>
      <c r="AK2" s="68"/>
    </row>
    <row r="3" spans="1:39" ht="20.25" customHeight="1">
      <c r="A3" s="1039" t="str">
        <f>'B57'!A4</f>
        <v>(Kèm theo Báo cáo số  289/BC-UBND ngày  17 /6 /2024 của UBND huyện Tuần Giáo)</v>
      </c>
      <c r="B3" s="1039"/>
      <c r="C3" s="1039"/>
      <c r="D3" s="1039"/>
      <c r="E3" s="1039"/>
      <c r="F3" s="1039"/>
      <c r="G3" s="1039"/>
      <c r="H3" s="1039"/>
      <c r="I3" s="1039"/>
      <c r="J3" s="1039"/>
      <c r="K3" s="1039"/>
      <c r="L3" s="1039"/>
      <c r="M3" s="1039"/>
      <c r="N3" s="1039"/>
      <c r="O3" s="1039"/>
      <c r="P3" s="1039"/>
      <c r="Q3" s="1039"/>
      <c r="R3" s="1039"/>
      <c r="S3" s="1039"/>
      <c r="T3" s="1039"/>
      <c r="U3" s="1039"/>
      <c r="V3" s="1039"/>
      <c r="W3" s="1039"/>
      <c r="X3" s="1039"/>
      <c r="Y3" s="1039"/>
      <c r="Z3" s="1039"/>
      <c r="AA3" s="1039"/>
      <c r="AB3" s="1039"/>
      <c r="AC3" s="1039"/>
      <c r="AD3" s="1039"/>
      <c r="AE3" s="1039"/>
      <c r="AF3" s="1039"/>
      <c r="AG3" s="1039"/>
      <c r="AH3" s="1039"/>
      <c r="AI3" s="1039"/>
      <c r="AJ3" s="1039"/>
      <c r="AK3" s="187"/>
    </row>
    <row r="4" spans="1:39" s="93" customFormat="1" ht="24" customHeight="1">
      <c r="AF4" s="188"/>
      <c r="AG4" s="189"/>
      <c r="AH4" s="190" t="s">
        <v>201</v>
      </c>
      <c r="AI4" s="189"/>
    </row>
    <row r="5" spans="1:39" s="373" customFormat="1" ht="22.5" customHeight="1">
      <c r="A5" s="1042" t="s">
        <v>51</v>
      </c>
      <c r="B5" s="1042" t="s">
        <v>22</v>
      </c>
      <c r="C5" s="1042" t="s">
        <v>2</v>
      </c>
      <c r="D5" s="1042"/>
      <c r="E5" s="1042"/>
      <c r="F5" s="1042"/>
      <c r="G5" s="1042"/>
      <c r="H5" s="1042"/>
      <c r="I5" s="1042"/>
      <c r="J5" s="1042"/>
      <c r="K5" s="1042"/>
      <c r="L5" s="1042"/>
      <c r="M5" s="1042"/>
      <c r="N5" s="1042"/>
      <c r="O5" s="1042"/>
      <c r="P5" s="1042"/>
      <c r="Q5" s="1042" t="s">
        <v>50</v>
      </c>
      <c r="R5" s="1042"/>
      <c r="S5" s="1042"/>
      <c r="T5" s="1042"/>
      <c r="U5" s="1042"/>
      <c r="V5" s="1042"/>
      <c r="W5" s="1042"/>
      <c r="X5" s="1042"/>
      <c r="Y5" s="1042"/>
      <c r="Z5" s="1042"/>
      <c r="AA5" s="1042"/>
      <c r="AB5" s="1042"/>
      <c r="AC5" s="1042"/>
      <c r="AD5" s="1042"/>
      <c r="AE5" s="1042"/>
      <c r="AF5" s="1042" t="s">
        <v>75</v>
      </c>
      <c r="AG5" s="1042"/>
      <c r="AH5" s="1042"/>
      <c r="AI5" s="1042"/>
      <c r="AJ5" s="1042"/>
      <c r="AL5" s="374"/>
    </row>
    <row r="6" spans="1:39" s="373" customFormat="1" ht="33" customHeight="1">
      <c r="A6" s="1042"/>
      <c r="B6" s="1042"/>
      <c r="C6" s="1040" t="s">
        <v>67</v>
      </c>
      <c r="D6" s="1040" t="s">
        <v>357</v>
      </c>
      <c r="E6" s="1040"/>
      <c r="F6" s="1040"/>
      <c r="G6" s="1040" t="s">
        <v>734</v>
      </c>
      <c r="H6" s="1040"/>
      <c r="I6" s="1040"/>
      <c r="J6" s="1044" t="s">
        <v>735</v>
      </c>
      <c r="K6" s="1042" t="s">
        <v>66</v>
      </c>
      <c r="L6" s="1042"/>
      <c r="M6" s="1042"/>
      <c r="N6" s="1040" t="s">
        <v>667</v>
      </c>
      <c r="O6" s="1040"/>
      <c r="P6" s="1040"/>
      <c r="Q6" s="1037" t="s">
        <v>67</v>
      </c>
      <c r="R6" s="1037" t="s">
        <v>357</v>
      </c>
      <c r="S6" s="1037"/>
      <c r="T6" s="1037"/>
      <c r="U6" s="1040" t="s">
        <v>734</v>
      </c>
      <c r="V6" s="1040"/>
      <c r="W6" s="1040"/>
      <c r="X6" s="1040" t="s">
        <v>66</v>
      </c>
      <c r="Y6" s="1040"/>
      <c r="Z6" s="1040"/>
      <c r="AA6" s="1040" t="s">
        <v>667</v>
      </c>
      <c r="AB6" s="1040"/>
      <c r="AC6" s="1040"/>
      <c r="AD6" s="1040" t="s">
        <v>730</v>
      </c>
      <c r="AE6" s="1040" t="s">
        <v>56</v>
      </c>
      <c r="AF6" s="1040" t="s">
        <v>67</v>
      </c>
      <c r="AG6" s="1040" t="s">
        <v>17</v>
      </c>
      <c r="AH6" s="1040" t="s">
        <v>19</v>
      </c>
      <c r="AI6" s="1040" t="s">
        <v>668</v>
      </c>
      <c r="AJ6" s="1040" t="s">
        <v>483</v>
      </c>
      <c r="AL6" s="374"/>
    </row>
    <row r="7" spans="1:39" s="373" customFormat="1" ht="17.25" customHeight="1">
      <c r="A7" s="1042"/>
      <c r="B7" s="1042"/>
      <c r="C7" s="1040"/>
      <c r="D7" s="1040" t="s">
        <v>67</v>
      </c>
      <c r="E7" s="1043" t="s">
        <v>23</v>
      </c>
      <c r="F7" s="1043"/>
      <c r="G7" s="1040" t="s">
        <v>67</v>
      </c>
      <c r="H7" s="1043" t="s">
        <v>23</v>
      </c>
      <c r="I7" s="1043"/>
      <c r="J7" s="1045"/>
      <c r="K7" s="1040" t="s">
        <v>67</v>
      </c>
      <c r="L7" s="1043" t="s">
        <v>23</v>
      </c>
      <c r="M7" s="1043"/>
      <c r="N7" s="1040" t="s">
        <v>67</v>
      </c>
      <c r="O7" s="1043" t="s">
        <v>23</v>
      </c>
      <c r="P7" s="1043"/>
      <c r="Q7" s="1037"/>
      <c r="R7" s="1037" t="s">
        <v>67</v>
      </c>
      <c r="S7" s="1047" t="s">
        <v>23</v>
      </c>
      <c r="T7" s="1047"/>
      <c r="U7" s="1037" t="s">
        <v>67</v>
      </c>
      <c r="V7" s="1043" t="s">
        <v>23</v>
      </c>
      <c r="W7" s="1043"/>
      <c r="X7" s="1040" t="s">
        <v>67</v>
      </c>
      <c r="Y7" s="1043" t="s">
        <v>23</v>
      </c>
      <c r="Z7" s="1043"/>
      <c r="AA7" s="1040" t="s">
        <v>67</v>
      </c>
      <c r="AB7" s="1043" t="s">
        <v>23</v>
      </c>
      <c r="AC7" s="1043"/>
      <c r="AD7" s="1040" t="s">
        <v>62</v>
      </c>
      <c r="AE7" s="1040" t="s">
        <v>62</v>
      </c>
      <c r="AF7" s="1040"/>
      <c r="AG7" s="1040"/>
      <c r="AH7" s="1040"/>
      <c r="AI7" s="1040"/>
      <c r="AJ7" s="1040"/>
      <c r="AL7" s="374"/>
    </row>
    <row r="8" spans="1:39" s="373" customFormat="1" ht="13.5" customHeight="1">
      <c r="A8" s="1042"/>
      <c r="B8" s="1042"/>
      <c r="C8" s="1040"/>
      <c r="D8" s="1040"/>
      <c r="E8" s="1041" t="s">
        <v>241</v>
      </c>
      <c r="F8" s="1041" t="s">
        <v>68</v>
      </c>
      <c r="G8" s="1040"/>
      <c r="H8" s="1041" t="s">
        <v>241</v>
      </c>
      <c r="I8" s="1041" t="s">
        <v>68</v>
      </c>
      <c r="J8" s="1045"/>
      <c r="K8" s="1040"/>
      <c r="L8" s="1040" t="s">
        <v>17</v>
      </c>
      <c r="M8" s="1041" t="s">
        <v>19</v>
      </c>
      <c r="N8" s="1040"/>
      <c r="O8" s="1040" t="s">
        <v>17</v>
      </c>
      <c r="P8" s="1041" t="s">
        <v>19</v>
      </c>
      <c r="Q8" s="1037"/>
      <c r="R8" s="1037"/>
      <c r="S8" s="1023" t="s">
        <v>241</v>
      </c>
      <c r="T8" s="1023" t="s">
        <v>68</v>
      </c>
      <c r="U8" s="1037"/>
      <c r="V8" s="1041" t="s">
        <v>241</v>
      </c>
      <c r="W8" s="1041" t="s">
        <v>68</v>
      </c>
      <c r="X8" s="1040"/>
      <c r="Y8" s="1040" t="s">
        <v>17</v>
      </c>
      <c r="Z8" s="1040" t="s">
        <v>19</v>
      </c>
      <c r="AA8" s="1040"/>
      <c r="AB8" s="1040" t="s">
        <v>17</v>
      </c>
      <c r="AC8" s="1041" t="s">
        <v>19</v>
      </c>
      <c r="AD8" s="1040" t="s">
        <v>42</v>
      </c>
      <c r="AE8" s="1040" t="s">
        <v>42</v>
      </c>
      <c r="AF8" s="1040"/>
      <c r="AG8" s="1040"/>
      <c r="AH8" s="1040"/>
      <c r="AI8" s="1040"/>
      <c r="AJ8" s="1040"/>
      <c r="AL8" s="374"/>
    </row>
    <row r="9" spans="1:39" s="373" customFormat="1" ht="13.5" customHeight="1">
      <c r="A9" s="1042"/>
      <c r="B9" s="1042"/>
      <c r="C9" s="1040"/>
      <c r="D9" s="1040"/>
      <c r="E9" s="1041" t="s">
        <v>71</v>
      </c>
      <c r="F9" s="1041" t="s">
        <v>71</v>
      </c>
      <c r="G9" s="1040"/>
      <c r="H9" s="1041" t="s">
        <v>71</v>
      </c>
      <c r="I9" s="1041" t="s">
        <v>71</v>
      </c>
      <c r="J9" s="1045"/>
      <c r="K9" s="1040"/>
      <c r="L9" s="1040"/>
      <c r="M9" s="1041"/>
      <c r="N9" s="1040"/>
      <c r="O9" s="1040"/>
      <c r="P9" s="1041"/>
      <c r="Q9" s="1037"/>
      <c r="R9" s="1037"/>
      <c r="S9" s="1023" t="s">
        <v>71</v>
      </c>
      <c r="T9" s="1023" t="s">
        <v>71</v>
      </c>
      <c r="U9" s="1037"/>
      <c r="V9" s="1041" t="s">
        <v>71</v>
      </c>
      <c r="W9" s="1041" t="s">
        <v>71</v>
      </c>
      <c r="X9" s="1040"/>
      <c r="Y9" s="1040"/>
      <c r="Z9" s="1040"/>
      <c r="AA9" s="1040"/>
      <c r="AB9" s="1040"/>
      <c r="AC9" s="1041"/>
      <c r="AD9" s="1040" t="s">
        <v>63</v>
      </c>
      <c r="AE9" s="1040" t="s">
        <v>63</v>
      </c>
      <c r="AF9" s="1040"/>
      <c r="AG9" s="1040"/>
      <c r="AH9" s="1040"/>
      <c r="AI9" s="1040"/>
      <c r="AJ9" s="1040"/>
      <c r="AL9" s="374"/>
    </row>
    <row r="10" spans="1:39" s="373" customFormat="1" ht="13.5" customHeight="1">
      <c r="A10" s="1042"/>
      <c r="B10" s="1042"/>
      <c r="C10" s="1040"/>
      <c r="D10" s="1040"/>
      <c r="E10" s="1041" t="s">
        <v>39</v>
      </c>
      <c r="F10" s="1041" t="s">
        <v>39</v>
      </c>
      <c r="G10" s="1040"/>
      <c r="H10" s="1041" t="s">
        <v>39</v>
      </c>
      <c r="I10" s="1041" t="s">
        <v>39</v>
      </c>
      <c r="J10" s="1045"/>
      <c r="K10" s="1040"/>
      <c r="L10" s="1040"/>
      <c r="M10" s="1041"/>
      <c r="N10" s="1040"/>
      <c r="O10" s="1040"/>
      <c r="P10" s="1041"/>
      <c r="Q10" s="1037"/>
      <c r="R10" s="1037"/>
      <c r="S10" s="1023" t="s">
        <v>39</v>
      </c>
      <c r="T10" s="1023" t="s">
        <v>39</v>
      </c>
      <c r="U10" s="1037"/>
      <c r="V10" s="1041" t="s">
        <v>39</v>
      </c>
      <c r="W10" s="1041" t="s">
        <v>39</v>
      </c>
      <c r="X10" s="1040"/>
      <c r="Y10" s="1040"/>
      <c r="Z10" s="1040"/>
      <c r="AA10" s="1040"/>
      <c r="AB10" s="1040"/>
      <c r="AC10" s="1041"/>
      <c r="AD10" s="1040" t="s">
        <v>30</v>
      </c>
      <c r="AE10" s="1040" t="s">
        <v>30</v>
      </c>
      <c r="AF10" s="1040"/>
      <c r="AG10" s="1040"/>
      <c r="AH10" s="1040"/>
      <c r="AI10" s="1040"/>
      <c r="AJ10" s="1040"/>
      <c r="AL10" s="374"/>
    </row>
    <row r="11" spans="1:39" s="373" customFormat="1" ht="13.5" customHeight="1">
      <c r="A11" s="1042"/>
      <c r="B11" s="1042"/>
      <c r="C11" s="1040"/>
      <c r="D11" s="1040"/>
      <c r="E11" s="1041" t="s">
        <v>40</v>
      </c>
      <c r="F11" s="1041" t="s">
        <v>40</v>
      </c>
      <c r="G11" s="1040"/>
      <c r="H11" s="1041" t="s">
        <v>40</v>
      </c>
      <c r="I11" s="1041" t="s">
        <v>40</v>
      </c>
      <c r="J11" s="1045"/>
      <c r="K11" s="1040"/>
      <c r="L11" s="1040"/>
      <c r="M11" s="1041"/>
      <c r="N11" s="1040"/>
      <c r="O11" s="1040"/>
      <c r="P11" s="1041"/>
      <c r="Q11" s="1037"/>
      <c r="R11" s="1037"/>
      <c r="S11" s="1023" t="s">
        <v>40</v>
      </c>
      <c r="T11" s="1023" t="s">
        <v>40</v>
      </c>
      <c r="U11" s="1037"/>
      <c r="V11" s="1041" t="s">
        <v>40</v>
      </c>
      <c r="W11" s="1041" t="s">
        <v>40</v>
      </c>
      <c r="X11" s="1040"/>
      <c r="Y11" s="1040"/>
      <c r="Z11" s="1040"/>
      <c r="AA11" s="1040"/>
      <c r="AB11" s="1040"/>
      <c r="AC11" s="1041"/>
      <c r="AD11" s="1040" t="s">
        <v>64</v>
      </c>
      <c r="AE11" s="1040" t="s">
        <v>64</v>
      </c>
      <c r="AF11" s="1040"/>
      <c r="AG11" s="1040"/>
      <c r="AH11" s="1040"/>
      <c r="AI11" s="1040"/>
      <c r="AJ11" s="1040"/>
      <c r="AL11" s="374"/>
    </row>
    <row r="12" spans="1:39" s="373" customFormat="1" ht="13.5" customHeight="1">
      <c r="A12" s="1042"/>
      <c r="B12" s="1042"/>
      <c r="C12" s="1040"/>
      <c r="D12" s="1040"/>
      <c r="E12" s="1041" t="s">
        <v>41</v>
      </c>
      <c r="F12" s="1041" t="s">
        <v>41</v>
      </c>
      <c r="G12" s="1040"/>
      <c r="H12" s="1041" t="s">
        <v>41</v>
      </c>
      <c r="I12" s="1041" t="s">
        <v>41</v>
      </c>
      <c r="J12" s="1045"/>
      <c r="K12" s="1040"/>
      <c r="L12" s="1040"/>
      <c r="M12" s="1041"/>
      <c r="N12" s="1040"/>
      <c r="O12" s="1040"/>
      <c r="P12" s="1041"/>
      <c r="Q12" s="1037"/>
      <c r="R12" s="1037"/>
      <c r="S12" s="1023" t="s">
        <v>41</v>
      </c>
      <c r="T12" s="1023" t="s">
        <v>41</v>
      </c>
      <c r="U12" s="1037"/>
      <c r="V12" s="1041" t="s">
        <v>41</v>
      </c>
      <c r="W12" s="1041" t="s">
        <v>41</v>
      </c>
      <c r="X12" s="1040"/>
      <c r="Y12" s="1040"/>
      <c r="Z12" s="1040"/>
      <c r="AA12" s="1040"/>
      <c r="AB12" s="1040"/>
      <c r="AC12" s="1041"/>
      <c r="AD12" s="1040"/>
      <c r="AE12" s="1040"/>
      <c r="AF12" s="1040"/>
      <c r="AG12" s="1040"/>
      <c r="AH12" s="1040"/>
      <c r="AI12" s="1040"/>
      <c r="AJ12" s="1040"/>
      <c r="AL12" s="374"/>
    </row>
    <row r="13" spans="1:39" s="373" customFormat="1" ht="13.5" customHeight="1">
      <c r="A13" s="1042"/>
      <c r="B13" s="1042"/>
      <c r="C13" s="1040"/>
      <c r="D13" s="1040"/>
      <c r="E13" s="1041" t="s">
        <v>34</v>
      </c>
      <c r="F13" s="1041" t="s">
        <v>34</v>
      </c>
      <c r="G13" s="1040"/>
      <c r="H13" s="1041" t="s">
        <v>34</v>
      </c>
      <c r="I13" s="1041" t="s">
        <v>34</v>
      </c>
      <c r="J13" s="1046"/>
      <c r="K13" s="1040"/>
      <c r="L13" s="1040"/>
      <c r="M13" s="1041"/>
      <c r="N13" s="1040"/>
      <c r="O13" s="1040"/>
      <c r="P13" s="1041"/>
      <c r="Q13" s="1037"/>
      <c r="R13" s="1037"/>
      <c r="S13" s="1023" t="s">
        <v>34</v>
      </c>
      <c r="T13" s="1023" t="s">
        <v>34</v>
      </c>
      <c r="U13" s="1037"/>
      <c r="V13" s="1041" t="s">
        <v>34</v>
      </c>
      <c r="W13" s="1041" t="s">
        <v>34</v>
      </c>
      <c r="X13" s="1040"/>
      <c r="Y13" s="1040"/>
      <c r="Z13" s="1040"/>
      <c r="AA13" s="1040"/>
      <c r="AB13" s="1040"/>
      <c r="AC13" s="1041"/>
      <c r="AD13" s="1040"/>
      <c r="AE13" s="1040"/>
      <c r="AF13" s="1040"/>
      <c r="AG13" s="1040"/>
      <c r="AH13" s="1040"/>
      <c r="AI13" s="1040"/>
      <c r="AJ13" s="1040"/>
      <c r="AL13" s="374"/>
    </row>
    <row r="14" spans="1:39" s="377" customFormat="1" ht="15" customHeight="1">
      <c r="A14" s="375" t="s">
        <v>3</v>
      </c>
      <c r="B14" s="375" t="s">
        <v>4</v>
      </c>
      <c r="C14" s="375">
        <v>1</v>
      </c>
      <c r="D14" s="375">
        <v>2</v>
      </c>
      <c r="E14" s="375">
        <v>3</v>
      </c>
      <c r="F14" s="375">
        <v>4</v>
      </c>
      <c r="G14" s="375">
        <v>5</v>
      </c>
      <c r="H14" s="375">
        <v>6</v>
      </c>
      <c r="I14" s="375">
        <v>7</v>
      </c>
      <c r="J14" s="375">
        <v>8</v>
      </c>
      <c r="K14" s="375">
        <v>9</v>
      </c>
      <c r="L14" s="375">
        <v>10</v>
      </c>
      <c r="M14" s="375">
        <v>11</v>
      </c>
      <c r="N14" s="375">
        <v>12</v>
      </c>
      <c r="O14" s="375">
        <v>13</v>
      </c>
      <c r="P14" s="375">
        <v>14</v>
      </c>
      <c r="Q14" s="52">
        <v>14</v>
      </c>
      <c r="R14" s="52">
        <v>15</v>
      </c>
      <c r="S14" s="52">
        <v>16</v>
      </c>
      <c r="T14" s="52">
        <v>17</v>
      </c>
      <c r="U14" s="52">
        <v>18</v>
      </c>
      <c r="V14" s="375">
        <v>19</v>
      </c>
      <c r="W14" s="375">
        <v>20</v>
      </c>
      <c r="X14" s="375">
        <v>21</v>
      </c>
      <c r="Y14" s="375">
        <v>22</v>
      </c>
      <c r="Z14" s="375">
        <v>23</v>
      </c>
      <c r="AA14" s="375">
        <v>24</v>
      </c>
      <c r="AB14" s="375">
        <v>25</v>
      </c>
      <c r="AC14" s="375">
        <v>26</v>
      </c>
      <c r="AD14" s="375">
        <v>27</v>
      </c>
      <c r="AE14" s="375">
        <v>28</v>
      </c>
      <c r="AF14" s="376" t="s">
        <v>731</v>
      </c>
      <c r="AG14" s="376" t="s">
        <v>732</v>
      </c>
      <c r="AH14" s="376" t="s">
        <v>733</v>
      </c>
      <c r="AI14" s="376" t="s">
        <v>736</v>
      </c>
      <c r="AJ14" s="376" t="s">
        <v>737</v>
      </c>
      <c r="AL14" s="374"/>
    </row>
    <row r="15" spans="1:39" s="381" customFormat="1" ht="23.25" customHeight="1">
      <c r="A15" s="378"/>
      <c r="B15" s="379" t="s">
        <v>21</v>
      </c>
      <c r="C15" s="234">
        <f>SUM(C16:C34)</f>
        <v>147721000000</v>
      </c>
      <c r="D15" s="234">
        <f>SUM(D16:D34)</f>
        <v>2700000000</v>
      </c>
      <c r="E15" s="234">
        <f>SUM(E16:E34)</f>
        <v>0</v>
      </c>
      <c r="F15" s="234">
        <f t="shared" ref="F15:AE15" si="0">SUM(F16:F34)</f>
        <v>0</v>
      </c>
      <c r="G15" s="234">
        <f t="shared" si="0"/>
        <v>88312000000</v>
      </c>
      <c r="H15" s="234">
        <f t="shared" si="0"/>
        <v>1000000000</v>
      </c>
      <c r="I15" s="234">
        <f t="shared" si="0"/>
        <v>0</v>
      </c>
      <c r="J15" s="234">
        <f t="shared" si="0"/>
        <v>1859000000</v>
      </c>
      <c r="K15" s="234">
        <f>SUM(K16:K34)</f>
        <v>51645000000</v>
      </c>
      <c r="L15" s="234">
        <f>SUM(L16:L34)</f>
        <v>0</v>
      </c>
      <c r="M15" s="234">
        <f>SUM(M16:M34)</f>
        <v>51645000000</v>
      </c>
      <c r="N15" s="234">
        <f>SUM(N16:N34)</f>
        <v>3205000000</v>
      </c>
      <c r="O15" s="234">
        <f t="shared" si="0"/>
        <v>0</v>
      </c>
      <c r="P15" s="234">
        <f t="shared" si="0"/>
        <v>3205000000</v>
      </c>
      <c r="Q15" s="234">
        <f>SUM(Q16:Q34)</f>
        <v>140568867618</v>
      </c>
      <c r="R15" s="234">
        <f t="shared" si="0"/>
        <v>721001485</v>
      </c>
      <c r="S15" s="234">
        <f t="shared" si="0"/>
        <v>0</v>
      </c>
      <c r="T15" s="234">
        <f t="shared" si="0"/>
        <v>0</v>
      </c>
      <c r="U15" s="234">
        <f>SUM(U16:U34)</f>
        <v>101884136863</v>
      </c>
      <c r="V15" s="234">
        <f>SUM(V16:V34)</f>
        <v>743458900</v>
      </c>
      <c r="W15" s="234">
        <f t="shared" ref="W15:AC15" si="1">SUM(W16:W34)</f>
        <v>0</v>
      </c>
      <c r="X15" s="234">
        <f t="shared" si="1"/>
        <v>16817259550</v>
      </c>
      <c r="Y15" s="234">
        <f t="shared" si="1"/>
        <v>0</v>
      </c>
      <c r="Z15" s="380">
        <f t="shared" si="1"/>
        <v>16817259550</v>
      </c>
      <c r="AA15" s="234">
        <f t="shared" si="1"/>
        <v>3191662400</v>
      </c>
      <c r="AB15" s="234">
        <f t="shared" si="1"/>
        <v>0</v>
      </c>
      <c r="AC15" s="234">
        <f t="shared" si="1"/>
        <v>3191662400</v>
      </c>
      <c r="AD15" s="234">
        <f t="shared" si="0"/>
        <v>6703707642</v>
      </c>
      <c r="AE15" s="234">
        <f t="shared" si="0"/>
        <v>11251099678</v>
      </c>
      <c r="AF15" s="235">
        <f>Q15/C15</f>
        <v>0.95158350957548354</v>
      </c>
      <c r="AG15" s="244">
        <f>R15/D15</f>
        <v>0.26703758703703706</v>
      </c>
      <c r="AH15" s="235">
        <f>U15/G15</f>
        <v>1.1536839485347405</v>
      </c>
      <c r="AI15" s="235">
        <f>X15/K15</f>
        <v>0.32563190144254039</v>
      </c>
      <c r="AJ15" s="235">
        <f>AA15/N15</f>
        <v>0.99583850234009363</v>
      </c>
      <c r="AK15" s="191"/>
      <c r="AL15" s="191"/>
    </row>
    <row r="16" spans="1:39" s="386" customFormat="1" ht="23.25" customHeight="1">
      <c r="A16" s="236" t="s">
        <v>279</v>
      </c>
      <c r="B16" s="382" t="s">
        <v>848</v>
      </c>
      <c r="C16" s="237">
        <f>E16+N16+G16+K16+J16</f>
        <v>9218000000</v>
      </c>
      <c r="D16" s="383"/>
      <c r="E16" s="384"/>
      <c r="F16" s="237"/>
      <c r="G16" s="237">
        <v>6053000000</v>
      </c>
      <c r="H16" s="237">
        <v>55000000</v>
      </c>
      <c r="I16" s="237"/>
      <c r="J16" s="237">
        <v>124000000</v>
      </c>
      <c r="K16" s="237">
        <f>L16+M16</f>
        <v>2784000000</v>
      </c>
      <c r="L16" s="237"/>
      <c r="M16" s="237">
        <v>2784000000</v>
      </c>
      <c r="N16" s="237">
        <f>+O16+P16</f>
        <v>257000000</v>
      </c>
      <c r="O16" s="237"/>
      <c r="P16" s="237">
        <v>257000000</v>
      </c>
      <c r="Q16" s="237">
        <f>R16+AA16+U16+X16+AE16+AD16</f>
        <v>12292340569</v>
      </c>
      <c r="R16" s="237"/>
      <c r="S16" s="237"/>
      <c r="T16" s="237"/>
      <c r="U16" s="237">
        <v>7505875148</v>
      </c>
      <c r="V16" s="237">
        <v>34420000</v>
      </c>
      <c r="W16" s="237"/>
      <c r="X16" s="237">
        <f>Y16+Z16</f>
        <v>1969900000</v>
      </c>
      <c r="Y16" s="238"/>
      <c r="Z16" s="385">
        <v>1969900000</v>
      </c>
      <c r="AA16" s="237">
        <v>248975000</v>
      </c>
      <c r="AB16" s="237"/>
      <c r="AC16" s="237">
        <v>257000000</v>
      </c>
      <c r="AD16" s="237">
        <v>473083200</v>
      </c>
      <c r="AE16" s="237">
        <v>2094507221</v>
      </c>
      <c r="AF16" s="389">
        <f t="shared" ref="AF16:AF22" si="2">Q16/C16</f>
        <v>1.3335149239531352</v>
      </c>
      <c r="AG16" s="239"/>
      <c r="AH16" s="389">
        <f t="shared" ref="AH16:AH22" si="3">U16/G16</f>
        <v>1.2400256315876426</v>
      </c>
      <c r="AI16" s="389">
        <f t="shared" ref="AI16:AI22" si="4">X16/K16</f>
        <v>0.70757902298850572</v>
      </c>
      <c r="AJ16" s="389">
        <f t="shared" ref="AJ16:AJ22" si="5">AA16/N16</f>
        <v>0.96877431906614786</v>
      </c>
      <c r="AK16" s="192"/>
      <c r="AL16" s="192"/>
      <c r="AM16" s="192"/>
    </row>
    <row r="17" spans="1:39" s="386" customFormat="1" ht="23.25" customHeight="1">
      <c r="A17" s="236" t="s">
        <v>280</v>
      </c>
      <c r="B17" s="382" t="s">
        <v>849</v>
      </c>
      <c r="C17" s="237">
        <f t="shared" ref="C17:C34" si="6">D17+N17+G17+K17+J17</f>
        <v>7656000000</v>
      </c>
      <c r="D17" s="237"/>
      <c r="E17" s="384"/>
      <c r="F17" s="237"/>
      <c r="G17" s="237">
        <v>4356000000</v>
      </c>
      <c r="H17" s="237">
        <v>55000000</v>
      </c>
      <c r="I17" s="237"/>
      <c r="J17" s="237">
        <v>89000000</v>
      </c>
      <c r="K17" s="237">
        <f t="shared" ref="K17:K34" si="7">L17+M17</f>
        <v>2816000000</v>
      </c>
      <c r="L17" s="237"/>
      <c r="M17" s="237">
        <v>2816000000</v>
      </c>
      <c r="N17" s="237">
        <f>+O17+P17</f>
        <v>395000000</v>
      </c>
      <c r="O17" s="237"/>
      <c r="P17" s="237">
        <v>395000000</v>
      </c>
      <c r="Q17" s="237">
        <f t="shared" ref="Q17:Q34" si="8">R17+AA17+U17+X17+AE17+AD17</f>
        <v>6746327584</v>
      </c>
      <c r="R17" s="237"/>
      <c r="S17" s="237"/>
      <c r="T17" s="237"/>
      <c r="U17" s="237">
        <v>4885509304</v>
      </c>
      <c r="V17" s="237">
        <v>72496000</v>
      </c>
      <c r="W17" s="237"/>
      <c r="X17" s="237">
        <f t="shared" ref="X17:X34" si="9">Y17+Z17</f>
        <v>548318000</v>
      </c>
      <c r="Y17" s="238"/>
      <c r="Z17" s="385">
        <v>548318000</v>
      </c>
      <c r="AA17" s="237">
        <v>395000000</v>
      </c>
      <c r="AB17" s="237"/>
      <c r="AC17" s="237">
        <v>395000000</v>
      </c>
      <c r="AD17" s="237">
        <v>308000000</v>
      </c>
      <c r="AE17" s="237">
        <v>609500280</v>
      </c>
      <c r="AF17" s="389">
        <f t="shared" si="2"/>
        <v>0.88118176384535007</v>
      </c>
      <c r="AG17" s="239"/>
      <c r="AH17" s="389">
        <f t="shared" si="3"/>
        <v>1.1215586097337007</v>
      </c>
      <c r="AI17" s="389">
        <f t="shared" si="4"/>
        <v>0.19471519886363636</v>
      </c>
      <c r="AJ17" s="389">
        <f t="shared" si="5"/>
        <v>1</v>
      </c>
      <c r="AK17" s="192"/>
      <c r="AL17" s="192"/>
      <c r="AM17" s="192"/>
    </row>
    <row r="18" spans="1:39" s="386" customFormat="1" ht="23.25" customHeight="1">
      <c r="A18" s="236" t="s">
        <v>850</v>
      </c>
      <c r="B18" s="382" t="s">
        <v>281</v>
      </c>
      <c r="C18" s="237">
        <f t="shared" si="6"/>
        <v>7291000000</v>
      </c>
      <c r="D18" s="237"/>
      <c r="E18" s="384"/>
      <c r="F18" s="237"/>
      <c r="G18" s="237">
        <v>4317000000</v>
      </c>
      <c r="H18" s="237">
        <v>55000000</v>
      </c>
      <c r="I18" s="237"/>
      <c r="J18" s="237">
        <v>88000000</v>
      </c>
      <c r="K18" s="237">
        <f t="shared" si="7"/>
        <v>2824000000</v>
      </c>
      <c r="L18" s="237"/>
      <c r="M18" s="237">
        <v>2824000000</v>
      </c>
      <c r="N18" s="237">
        <f t="shared" ref="N18:N34" si="10">+O18+P18</f>
        <v>62000000</v>
      </c>
      <c r="O18" s="237"/>
      <c r="P18" s="237">
        <v>62000000</v>
      </c>
      <c r="Q18" s="237">
        <f t="shared" si="8"/>
        <v>6601501533</v>
      </c>
      <c r="R18" s="237"/>
      <c r="S18" s="237"/>
      <c r="T18" s="237"/>
      <c r="U18" s="237">
        <v>4972900517</v>
      </c>
      <c r="V18" s="237">
        <v>30514000</v>
      </c>
      <c r="W18" s="237"/>
      <c r="X18" s="237">
        <f t="shared" si="9"/>
        <v>770917000</v>
      </c>
      <c r="Y18" s="238"/>
      <c r="Z18" s="385">
        <v>770917000</v>
      </c>
      <c r="AA18" s="237">
        <v>110578000</v>
      </c>
      <c r="AB18" s="237"/>
      <c r="AC18" s="237">
        <v>62000000</v>
      </c>
      <c r="AD18" s="237">
        <v>365331840</v>
      </c>
      <c r="AE18" s="237">
        <v>381774176</v>
      </c>
      <c r="AF18" s="389">
        <f t="shared" si="2"/>
        <v>0.90543156398299274</v>
      </c>
      <c r="AG18" s="239"/>
      <c r="AH18" s="389">
        <f t="shared" si="3"/>
        <v>1.1519343333333334</v>
      </c>
      <c r="AI18" s="389">
        <f t="shared" si="4"/>
        <v>0.27298760623229462</v>
      </c>
      <c r="AJ18" s="389">
        <f t="shared" si="5"/>
        <v>1.7835161290322581</v>
      </c>
      <c r="AK18" s="192"/>
      <c r="AL18" s="192"/>
      <c r="AM18" s="192"/>
    </row>
    <row r="19" spans="1:39" s="386" customFormat="1" ht="23.25" customHeight="1">
      <c r="A19" s="236" t="s">
        <v>282</v>
      </c>
      <c r="B19" s="382" t="s">
        <v>283</v>
      </c>
      <c r="C19" s="237">
        <f t="shared" si="6"/>
        <v>8512000000</v>
      </c>
      <c r="D19" s="237"/>
      <c r="E19" s="384"/>
      <c r="F19" s="237"/>
      <c r="G19" s="237">
        <v>5299000000</v>
      </c>
      <c r="H19" s="237">
        <v>55000000</v>
      </c>
      <c r="I19" s="237"/>
      <c r="J19" s="237">
        <v>108000000</v>
      </c>
      <c r="K19" s="237">
        <f t="shared" si="7"/>
        <v>2850000000</v>
      </c>
      <c r="L19" s="237"/>
      <c r="M19" s="237">
        <v>2850000000</v>
      </c>
      <c r="N19" s="237">
        <f t="shared" si="10"/>
        <v>255000000</v>
      </c>
      <c r="O19" s="237"/>
      <c r="P19" s="237">
        <v>255000000</v>
      </c>
      <c r="Q19" s="237">
        <f t="shared" si="8"/>
        <v>9110615444</v>
      </c>
      <c r="R19" s="237"/>
      <c r="S19" s="237"/>
      <c r="T19" s="237"/>
      <c r="U19" s="237">
        <v>6184566184</v>
      </c>
      <c r="V19" s="237">
        <v>20564000</v>
      </c>
      <c r="W19" s="237"/>
      <c r="X19" s="237">
        <f t="shared" si="9"/>
        <v>1859114000</v>
      </c>
      <c r="Y19" s="238"/>
      <c r="Z19" s="385">
        <v>1859114000</v>
      </c>
      <c r="AA19" s="237">
        <v>321069550</v>
      </c>
      <c r="AB19" s="237"/>
      <c r="AC19" s="237">
        <v>254622550</v>
      </c>
      <c r="AD19" s="237">
        <v>390953000</v>
      </c>
      <c r="AE19" s="237">
        <v>354912710</v>
      </c>
      <c r="AF19" s="389">
        <f t="shared" si="2"/>
        <v>1.0703260625</v>
      </c>
      <c r="AG19" s="239"/>
      <c r="AH19" s="389">
        <f t="shared" si="3"/>
        <v>1.1671194912247593</v>
      </c>
      <c r="AI19" s="389">
        <f t="shared" si="4"/>
        <v>0.65232070175438595</v>
      </c>
      <c r="AJ19" s="389">
        <f t="shared" si="5"/>
        <v>1.259096274509804</v>
      </c>
      <c r="AK19" s="192"/>
      <c r="AL19" s="192"/>
      <c r="AM19" s="192"/>
    </row>
    <row r="20" spans="1:39" s="386" customFormat="1" ht="23.25" customHeight="1">
      <c r="A20" s="236" t="s">
        <v>851</v>
      </c>
      <c r="B20" s="382" t="s">
        <v>852</v>
      </c>
      <c r="C20" s="237">
        <f t="shared" si="6"/>
        <v>7515000000</v>
      </c>
      <c r="D20" s="237"/>
      <c r="E20" s="384"/>
      <c r="F20" s="237"/>
      <c r="G20" s="237">
        <v>4507000000</v>
      </c>
      <c r="H20" s="237">
        <v>55000000</v>
      </c>
      <c r="I20" s="237"/>
      <c r="J20" s="237">
        <v>92000000</v>
      </c>
      <c r="K20" s="237">
        <f t="shared" si="7"/>
        <v>2916000000</v>
      </c>
      <c r="L20" s="237"/>
      <c r="M20" s="237">
        <v>2916000000</v>
      </c>
      <c r="N20" s="237">
        <f t="shared" si="10"/>
        <v>0</v>
      </c>
      <c r="O20" s="237"/>
      <c r="P20" s="237"/>
      <c r="Q20" s="237">
        <f t="shared" si="8"/>
        <v>6382664353</v>
      </c>
      <c r="R20" s="237"/>
      <c r="S20" s="237"/>
      <c r="T20" s="237"/>
      <c r="U20" s="237">
        <v>5052421353</v>
      </c>
      <c r="V20" s="237">
        <v>34104000</v>
      </c>
      <c r="W20" s="237"/>
      <c r="X20" s="237">
        <f t="shared" si="9"/>
        <v>823700000</v>
      </c>
      <c r="Y20" s="238"/>
      <c r="Z20" s="385">
        <v>823700000</v>
      </c>
      <c r="AA20" s="237">
        <v>0</v>
      </c>
      <c r="AB20" s="237"/>
      <c r="AC20" s="237">
        <v>0</v>
      </c>
      <c r="AD20" s="237">
        <v>352000000</v>
      </c>
      <c r="AE20" s="237">
        <v>154543000</v>
      </c>
      <c r="AF20" s="389">
        <f t="shared" si="2"/>
        <v>0.84932326719893547</v>
      </c>
      <c r="AG20" s="239"/>
      <c r="AH20" s="389">
        <f t="shared" si="3"/>
        <v>1.1210164972265364</v>
      </c>
      <c r="AI20" s="389">
        <f t="shared" si="4"/>
        <v>0.28247599451303157</v>
      </c>
      <c r="AJ20" s="389"/>
      <c r="AK20" s="192"/>
      <c r="AL20" s="192"/>
      <c r="AM20" s="192"/>
    </row>
    <row r="21" spans="1:39" s="386" customFormat="1" ht="23.25" customHeight="1">
      <c r="A21" s="236" t="s">
        <v>853</v>
      </c>
      <c r="B21" s="382" t="s">
        <v>854</v>
      </c>
      <c r="C21" s="237">
        <f t="shared" si="6"/>
        <v>7718000000</v>
      </c>
      <c r="D21" s="237">
        <v>2700000000</v>
      </c>
      <c r="E21" s="384"/>
      <c r="F21" s="237"/>
      <c r="G21" s="237">
        <v>4864000000</v>
      </c>
      <c r="H21" s="237">
        <v>55000000</v>
      </c>
      <c r="I21" s="237"/>
      <c r="J21" s="237">
        <v>154000000</v>
      </c>
      <c r="K21" s="237">
        <f t="shared" si="7"/>
        <v>0</v>
      </c>
      <c r="L21" s="237"/>
      <c r="M21" s="237"/>
      <c r="N21" s="237">
        <f t="shared" si="10"/>
        <v>0</v>
      </c>
      <c r="O21" s="237"/>
      <c r="P21" s="237"/>
      <c r="Q21" s="237">
        <f t="shared" si="8"/>
        <v>9618672992</v>
      </c>
      <c r="R21" s="237">
        <v>721001485</v>
      </c>
      <c r="S21" s="237"/>
      <c r="T21" s="237"/>
      <c r="U21" s="237">
        <v>5912549480</v>
      </c>
      <c r="V21" s="237">
        <v>37772500</v>
      </c>
      <c r="W21" s="237"/>
      <c r="X21" s="237">
        <f t="shared" si="9"/>
        <v>80000000</v>
      </c>
      <c r="Y21" s="238"/>
      <c r="Z21" s="385">
        <v>80000000</v>
      </c>
      <c r="AA21" s="237">
        <v>0</v>
      </c>
      <c r="AB21" s="237"/>
      <c r="AC21" s="237">
        <v>0</v>
      </c>
      <c r="AD21" s="237">
        <v>353363002</v>
      </c>
      <c r="AE21" s="237">
        <v>2551759025</v>
      </c>
      <c r="AF21" s="389">
        <f t="shared" si="2"/>
        <v>1.2462649639803058</v>
      </c>
      <c r="AG21" s="239">
        <f t="shared" ref="AG21" si="11">R21/D21</f>
        <v>0.26703758703703706</v>
      </c>
      <c r="AH21" s="389">
        <f t="shared" si="3"/>
        <v>1.2155734950657895</v>
      </c>
      <c r="AI21" s="389"/>
      <c r="AJ21" s="389"/>
      <c r="AK21" s="192"/>
      <c r="AL21" s="192"/>
      <c r="AM21" s="192"/>
    </row>
    <row r="22" spans="1:39" s="386" customFormat="1" ht="23.25" customHeight="1">
      <c r="A22" s="236" t="s">
        <v>855</v>
      </c>
      <c r="B22" s="382" t="s">
        <v>284</v>
      </c>
      <c r="C22" s="237">
        <f t="shared" si="6"/>
        <v>8428000000</v>
      </c>
      <c r="D22" s="237"/>
      <c r="E22" s="384"/>
      <c r="F22" s="237"/>
      <c r="G22" s="237">
        <v>5052000000</v>
      </c>
      <c r="H22" s="237">
        <v>55000000</v>
      </c>
      <c r="I22" s="237"/>
      <c r="J22" s="237">
        <v>103000000</v>
      </c>
      <c r="K22" s="237">
        <f t="shared" si="7"/>
        <v>2854000000</v>
      </c>
      <c r="L22" s="237"/>
      <c r="M22" s="237">
        <v>2854000000</v>
      </c>
      <c r="N22" s="237">
        <f t="shared" si="10"/>
        <v>419000000</v>
      </c>
      <c r="O22" s="237"/>
      <c r="P22" s="237">
        <v>419000000</v>
      </c>
      <c r="Q22" s="237">
        <f t="shared" si="8"/>
        <v>7950473175</v>
      </c>
      <c r="R22" s="237"/>
      <c r="S22" s="237"/>
      <c r="T22" s="237"/>
      <c r="U22" s="237">
        <v>5628563175</v>
      </c>
      <c r="V22" s="237">
        <v>35240000</v>
      </c>
      <c r="W22" s="237"/>
      <c r="X22" s="237">
        <f t="shared" si="9"/>
        <v>956600000</v>
      </c>
      <c r="Y22" s="238"/>
      <c r="Z22" s="385">
        <v>956600000</v>
      </c>
      <c r="AA22" s="237">
        <v>338750000</v>
      </c>
      <c r="AB22" s="237"/>
      <c r="AC22" s="237">
        <v>419000000</v>
      </c>
      <c r="AD22" s="237">
        <v>346000000</v>
      </c>
      <c r="AE22" s="237">
        <v>680560000</v>
      </c>
      <c r="AF22" s="389">
        <f t="shared" si="2"/>
        <v>0.94334043367346943</v>
      </c>
      <c r="AG22" s="239"/>
      <c r="AH22" s="389">
        <f t="shared" si="3"/>
        <v>1.1141257274346794</v>
      </c>
      <c r="AI22" s="389">
        <f t="shared" si="4"/>
        <v>0.33517869656622284</v>
      </c>
      <c r="AJ22" s="389">
        <f t="shared" si="5"/>
        <v>0.80847255369928406</v>
      </c>
      <c r="AK22" s="192"/>
      <c r="AL22" s="192"/>
      <c r="AM22" s="192"/>
    </row>
    <row r="23" spans="1:39" s="386" customFormat="1" ht="23.25" customHeight="1">
      <c r="A23" s="236" t="s">
        <v>856</v>
      </c>
      <c r="B23" s="382" t="s">
        <v>285</v>
      </c>
      <c r="C23" s="237">
        <f t="shared" si="6"/>
        <v>8195000000</v>
      </c>
      <c r="D23" s="237"/>
      <c r="E23" s="384"/>
      <c r="F23" s="237"/>
      <c r="G23" s="237">
        <v>5056000000</v>
      </c>
      <c r="H23" s="237">
        <v>55000000</v>
      </c>
      <c r="I23" s="237"/>
      <c r="J23" s="237">
        <v>103000000</v>
      </c>
      <c r="K23" s="237">
        <f t="shared" si="7"/>
        <v>2999000000</v>
      </c>
      <c r="L23" s="237"/>
      <c r="M23" s="237">
        <v>2999000000</v>
      </c>
      <c r="N23" s="237">
        <f t="shared" si="10"/>
        <v>37000000</v>
      </c>
      <c r="O23" s="237"/>
      <c r="P23" s="237">
        <v>37000000</v>
      </c>
      <c r="Q23" s="237">
        <f t="shared" si="8"/>
        <v>7390876570</v>
      </c>
      <c r="R23" s="237"/>
      <c r="S23" s="237"/>
      <c r="T23" s="237"/>
      <c r="U23" s="237">
        <v>5826543089</v>
      </c>
      <c r="V23" s="237">
        <v>40872000</v>
      </c>
      <c r="W23" s="237"/>
      <c r="X23" s="237">
        <f t="shared" si="9"/>
        <v>833712050</v>
      </c>
      <c r="Y23" s="238"/>
      <c r="Z23" s="385">
        <v>833712050</v>
      </c>
      <c r="AA23" s="237">
        <v>36540000</v>
      </c>
      <c r="AB23" s="237"/>
      <c r="AC23" s="237">
        <v>36540000</v>
      </c>
      <c r="AD23" s="237">
        <v>396000000</v>
      </c>
      <c r="AE23" s="237">
        <v>298081431</v>
      </c>
      <c r="AF23" s="389">
        <f t="shared" ref="AF23:AF34" si="12">Q23/C23</f>
        <v>0.90187633557046976</v>
      </c>
      <c r="AG23" s="239"/>
      <c r="AH23" s="389">
        <f t="shared" ref="AH23:AH34" si="13">U23/G23</f>
        <v>1.1524017185522153</v>
      </c>
      <c r="AI23" s="389">
        <f t="shared" ref="AI23:AI34" si="14">X23/K23</f>
        <v>0.27799668222740914</v>
      </c>
      <c r="AJ23" s="389">
        <f t="shared" ref="AJ23:AJ34" si="15">AA23/N23</f>
        <v>0.98756756756756758</v>
      </c>
      <c r="AK23" s="192"/>
      <c r="AL23" s="192"/>
      <c r="AM23" s="192"/>
    </row>
    <row r="24" spans="1:39" s="386" customFormat="1" ht="23.25" customHeight="1">
      <c r="A24" s="236" t="s">
        <v>857</v>
      </c>
      <c r="B24" s="382" t="s">
        <v>286</v>
      </c>
      <c r="C24" s="237">
        <f t="shared" si="6"/>
        <v>7936000000</v>
      </c>
      <c r="D24" s="237"/>
      <c r="E24" s="384"/>
      <c r="F24" s="237"/>
      <c r="G24" s="237">
        <v>4746000000</v>
      </c>
      <c r="H24" s="237">
        <v>50000000</v>
      </c>
      <c r="I24" s="237"/>
      <c r="J24" s="237">
        <v>97000000</v>
      </c>
      <c r="K24" s="237">
        <f t="shared" si="7"/>
        <v>2897000000</v>
      </c>
      <c r="L24" s="237"/>
      <c r="M24" s="237">
        <v>2897000000</v>
      </c>
      <c r="N24" s="237">
        <f t="shared" si="10"/>
        <v>196000000</v>
      </c>
      <c r="O24" s="237"/>
      <c r="P24" s="237">
        <v>196000000</v>
      </c>
      <c r="Q24" s="237">
        <f t="shared" si="8"/>
        <v>7637665788</v>
      </c>
      <c r="R24" s="237"/>
      <c r="S24" s="237"/>
      <c r="T24" s="237"/>
      <c r="U24" s="237">
        <v>5717325200</v>
      </c>
      <c r="V24" s="237">
        <v>40697000</v>
      </c>
      <c r="W24" s="237"/>
      <c r="X24" s="237">
        <f t="shared" si="9"/>
        <v>1033072000</v>
      </c>
      <c r="Y24" s="238"/>
      <c r="Z24" s="385">
        <v>1033072000</v>
      </c>
      <c r="AA24" s="237">
        <v>192439500</v>
      </c>
      <c r="AB24" s="237"/>
      <c r="AC24" s="237">
        <v>192439500</v>
      </c>
      <c r="AD24" s="237">
        <v>366923600</v>
      </c>
      <c r="AE24" s="237">
        <v>327905488</v>
      </c>
      <c r="AF24" s="389">
        <f t="shared" si="12"/>
        <v>0.96240748336693549</v>
      </c>
      <c r="AG24" s="239"/>
      <c r="AH24" s="389">
        <f t="shared" si="13"/>
        <v>1.2046618626211547</v>
      </c>
      <c r="AI24" s="389">
        <f t="shared" si="14"/>
        <v>0.35660062133241283</v>
      </c>
      <c r="AJ24" s="389">
        <f t="shared" si="15"/>
        <v>0.98183418367346942</v>
      </c>
      <c r="AK24" s="192"/>
      <c r="AL24" s="192"/>
      <c r="AM24" s="192"/>
    </row>
    <row r="25" spans="1:39" s="386" customFormat="1" ht="23.25" customHeight="1">
      <c r="A25" s="236" t="s">
        <v>858</v>
      </c>
      <c r="B25" s="382" t="s">
        <v>287</v>
      </c>
      <c r="C25" s="237">
        <f t="shared" si="6"/>
        <v>7819000000</v>
      </c>
      <c r="D25" s="237"/>
      <c r="E25" s="384"/>
      <c r="F25" s="237"/>
      <c r="G25" s="237">
        <v>4394000000</v>
      </c>
      <c r="H25" s="237">
        <v>55000000</v>
      </c>
      <c r="I25" s="237"/>
      <c r="J25" s="237">
        <v>90000000</v>
      </c>
      <c r="K25" s="237">
        <f t="shared" si="7"/>
        <v>2836000000</v>
      </c>
      <c r="L25" s="237"/>
      <c r="M25" s="237">
        <v>2836000000</v>
      </c>
      <c r="N25" s="237">
        <f t="shared" si="10"/>
        <v>499000000</v>
      </c>
      <c r="O25" s="237"/>
      <c r="P25" s="237">
        <v>499000000</v>
      </c>
      <c r="Q25" s="237">
        <f t="shared" si="8"/>
        <v>7175681281</v>
      </c>
      <c r="R25" s="237"/>
      <c r="S25" s="237"/>
      <c r="T25" s="237"/>
      <c r="U25" s="237">
        <v>4962857431</v>
      </c>
      <c r="V25" s="237">
        <v>65152400</v>
      </c>
      <c r="W25" s="237"/>
      <c r="X25" s="237">
        <f t="shared" si="9"/>
        <v>913200000</v>
      </c>
      <c r="Y25" s="238"/>
      <c r="Z25" s="385">
        <v>913200000</v>
      </c>
      <c r="AA25" s="237">
        <v>472035850</v>
      </c>
      <c r="AB25" s="237"/>
      <c r="AC25" s="237">
        <v>498785850</v>
      </c>
      <c r="AD25" s="237">
        <v>332000000</v>
      </c>
      <c r="AE25" s="237">
        <v>495588000</v>
      </c>
      <c r="AF25" s="389">
        <f t="shared" si="12"/>
        <v>0.91772365788463994</v>
      </c>
      <c r="AG25" s="239"/>
      <c r="AH25" s="389">
        <f t="shared" si="13"/>
        <v>1.1294623192990441</v>
      </c>
      <c r="AI25" s="389">
        <f t="shared" si="14"/>
        <v>0.32200282087447107</v>
      </c>
      <c r="AJ25" s="389">
        <f t="shared" si="15"/>
        <v>0.945963627254509</v>
      </c>
      <c r="AK25" s="192"/>
      <c r="AL25" s="192"/>
      <c r="AM25" s="192"/>
    </row>
    <row r="26" spans="1:39" s="386" customFormat="1" ht="23.25" customHeight="1">
      <c r="A26" s="236" t="s">
        <v>859</v>
      </c>
      <c r="B26" s="382" t="s">
        <v>288</v>
      </c>
      <c r="C26" s="237">
        <f t="shared" si="6"/>
        <v>7294000000</v>
      </c>
      <c r="D26" s="237"/>
      <c r="E26" s="384"/>
      <c r="F26" s="237"/>
      <c r="G26" s="237">
        <v>4286000000</v>
      </c>
      <c r="H26" s="237">
        <v>55000000</v>
      </c>
      <c r="I26" s="237"/>
      <c r="J26" s="237">
        <v>87000000</v>
      </c>
      <c r="K26" s="237">
        <f t="shared" si="7"/>
        <v>2921000000</v>
      </c>
      <c r="L26" s="237"/>
      <c r="M26" s="237">
        <v>2921000000</v>
      </c>
      <c r="N26" s="237">
        <f t="shared" si="10"/>
        <v>0</v>
      </c>
      <c r="O26" s="237"/>
      <c r="P26" s="237"/>
      <c r="Q26" s="237">
        <f t="shared" si="8"/>
        <v>6443409716</v>
      </c>
      <c r="R26" s="237"/>
      <c r="S26" s="237"/>
      <c r="T26" s="237"/>
      <c r="U26" s="237">
        <v>4979030568</v>
      </c>
      <c r="V26" s="237">
        <v>37768000</v>
      </c>
      <c r="W26" s="237"/>
      <c r="X26" s="237">
        <f t="shared" si="9"/>
        <v>911890000</v>
      </c>
      <c r="Y26" s="238"/>
      <c r="Z26" s="385">
        <v>911890000</v>
      </c>
      <c r="AA26" s="237">
        <v>0</v>
      </c>
      <c r="AB26" s="237"/>
      <c r="AC26" s="237">
        <v>0</v>
      </c>
      <c r="AD26" s="237">
        <v>330000000</v>
      </c>
      <c r="AE26" s="237">
        <v>222489148</v>
      </c>
      <c r="AF26" s="389">
        <f t="shared" si="12"/>
        <v>0.88338493501508086</v>
      </c>
      <c r="AG26" s="239"/>
      <c r="AH26" s="389">
        <f t="shared" si="13"/>
        <v>1.1616963527764816</v>
      </c>
      <c r="AI26" s="389">
        <f t="shared" si="14"/>
        <v>0.31218418349880178</v>
      </c>
      <c r="AJ26" s="389"/>
      <c r="AK26" s="192"/>
      <c r="AL26" s="192"/>
      <c r="AM26" s="192"/>
    </row>
    <row r="27" spans="1:39" s="386" customFormat="1" ht="23.25" customHeight="1">
      <c r="A27" s="236" t="s">
        <v>860</v>
      </c>
      <c r="B27" s="382" t="s">
        <v>289</v>
      </c>
      <c r="C27" s="237">
        <f t="shared" si="6"/>
        <v>7245000000</v>
      </c>
      <c r="D27" s="237"/>
      <c r="E27" s="384"/>
      <c r="F27" s="237"/>
      <c r="G27" s="237">
        <v>4145000000</v>
      </c>
      <c r="H27" s="237">
        <v>50000000</v>
      </c>
      <c r="I27" s="237"/>
      <c r="J27" s="237">
        <v>85000000</v>
      </c>
      <c r="K27" s="237">
        <f t="shared" si="7"/>
        <v>2942000000</v>
      </c>
      <c r="L27" s="237"/>
      <c r="M27" s="237">
        <v>2942000000</v>
      </c>
      <c r="N27" s="237">
        <f t="shared" si="10"/>
        <v>73000000</v>
      </c>
      <c r="O27" s="237"/>
      <c r="P27" s="237">
        <v>73000000</v>
      </c>
      <c r="Q27" s="237">
        <f t="shared" si="8"/>
        <v>6168668969</v>
      </c>
      <c r="R27" s="237"/>
      <c r="S27" s="237"/>
      <c r="T27" s="237"/>
      <c r="U27" s="237">
        <v>4733521469</v>
      </c>
      <c r="V27" s="237">
        <v>28050000</v>
      </c>
      <c r="W27" s="237"/>
      <c r="X27" s="237">
        <f t="shared" si="9"/>
        <v>831895500</v>
      </c>
      <c r="Y27" s="238"/>
      <c r="Z27" s="385">
        <v>831895500</v>
      </c>
      <c r="AA27" s="237">
        <v>73000000</v>
      </c>
      <c r="AB27" s="237"/>
      <c r="AC27" s="237">
        <v>73000000</v>
      </c>
      <c r="AD27" s="237">
        <v>330000000</v>
      </c>
      <c r="AE27" s="237">
        <v>200252000</v>
      </c>
      <c r="AF27" s="389">
        <f t="shared" si="12"/>
        <v>0.85143809095928225</v>
      </c>
      <c r="AG27" s="239"/>
      <c r="AH27" s="389">
        <f t="shared" si="13"/>
        <v>1.1419834665862485</v>
      </c>
      <c r="AI27" s="389">
        <f t="shared" si="14"/>
        <v>0.28276529571719916</v>
      </c>
      <c r="AJ27" s="389">
        <f t="shared" si="15"/>
        <v>1</v>
      </c>
      <c r="AK27" s="192"/>
      <c r="AL27" s="192"/>
      <c r="AM27" s="192"/>
    </row>
    <row r="28" spans="1:39" s="386" customFormat="1" ht="23.25" customHeight="1">
      <c r="A28" s="236" t="s">
        <v>861</v>
      </c>
      <c r="B28" s="382" t="s">
        <v>290</v>
      </c>
      <c r="C28" s="237">
        <f t="shared" si="6"/>
        <v>7352000000</v>
      </c>
      <c r="D28" s="237"/>
      <c r="E28" s="384"/>
      <c r="F28" s="237"/>
      <c r="G28" s="237">
        <v>4399000000</v>
      </c>
      <c r="H28" s="237">
        <v>50000000</v>
      </c>
      <c r="I28" s="237"/>
      <c r="J28" s="237">
        <v>90000000</v>
      </c>
      <c r="K28" s="237">
        <f t="shared" si="7"/>
        <v>2827000000</v>
      </c>
      <c r="L28" s="237"/>
      <c r="M28" s="237">
        <v>2827000000</v>
      </c>
      <c r="N28" s="237">
        <f t="shared" si="10"/>
        <v>36000000</v>
      </c>
      <c r="O28" s="237"/>
      <c r="P28" s="237">
        <v>36000000</v>
      </c>
      <c r="Q28" s="237">
        <f t="shared" si="8"/>
        <v>6482644415</v>
      </c>
      <c r="R28" s="237"/>
      <c r="S28" s="237"/>
      <c r="T28" s="237"/>
      <c r="U28" s="237">
        <v>5064441410</v>
      </c>
      <c r="V28" s="237">
        <v>41554000</v>
      </c>
      <c r="W28" s="237"/>
      <c r="X28" s="237">
        <f t="shared" si="9"/>
        <v>854750000</v>
      </c>
      <c r="Y28" s="238"/>
      <c r="Z28" s="385">
        <v>854750000</v>
      </c>
      <c r="AA28" s="237">
        <v>35470500</v>
      </c>
      <c r="AB28" s="237"/>
      <c r="AC28" s="237">
        <v>35470500</v>
      </c>
      <c r="AD28" s="237">
        <v>330000000</v>
      </c>
      <c r="AE28" s="237">
        <v>197982505</v>
      </c>
      <c r="AF28" s="389">
        <f t="shared" si="12"/>
        <v>0.8817525047606094</v>
      </c>
      <c r="AG28" s="239"/>
      <c r="AH28" s="389">
        <f t="shared" si="13"/>
        <v>1.151271063878154</v>
      </c>
      <c r="AI28" s="389">
        <f t="shared" si="14"/>
        <v>0.30235231694375664</v>
      </c>
      <c r="AJ28" s="389">
        <f t="shared" si="15"/>
        <v>0.98529166666666668</v>
      </c>
      <c r="AK28" s="192"/>
      <c r="AL28" s="192"/>
      <c r="AM28" s="192"/>
    </row>
    <row r="29" spans="1:39" s="386" customFormat="1" ht="23.25" customHeight="1">
      <c r="A29" s="236" t="s">
        <v>862</v>
      </c>
      <c r="B29" s="382" t="s">
        <v>863</v>
      </c>
      <c r="C29" s="237">
        <f t="shared" si="6"/>
        <v>7425000000</v>
      </c>
      <c r="D29" s="237"/>
      <c r="E29" s="384"/>
      <c r="F29" s="237"/>
      <c r="G29" s="237">
        <v>4388000000</v>
      </c>
      <c r="H29" s="237">
        <v>50000000</v>
      </c>
      <c r="I29" s="237"/>
      <c r="J29" s="237">
        <v>90000000</v>
      </c>
      <c r="K29" s="237">
        <f t="shared" si="7"/>
        <v>2794000000</v>
      </c>
      <c r="L29" s="237"/>
      <c r="M29" s="237">
        <v>2794000000</v>
      </c>
      <c r="N29" s="237">
        <f t="shared" si="10"/>
        <v>153000000</v>
      </c>
      <c r="O29" s="237"/>
      <c r="P29" s="237">
        <v>153000000</v>
      </c>
      <c r="Q29" s="237">
        <f t="shared" si="8"/>
        <v>6765175910</v>
      </c>
      <c r="R29" s="237"/>
      <c r="S29" s="237"/>
      <c r="T29" s="237"/>
      <c r="U29" s="237">
        <v>5135317710</v>
      </c>
      <c r="V29" s="237">
        <v>56574000</v>
      </c>
      <c r="W29" s="237"/>
      <c r="X29" s="237">
        <f t="shared" si="9"/>
        <v>841473000</v>
      </c>
      <c r="Y29" s="238"/>
      <c r="Z29" s="385">
        <v>841473000</v>
      </c>
      <c r="AA29" s="237">
        <v>149318500</v>
      </c>
      <c r="AB29" s="237"/>
      <c r="AC29" s="237">
        <v>149318500</v>
      </c>
      <c r="AD29" s="237">
        <v>320000000</v>
      </c>
      <c r="AE29" s="237">
        <v>319066700</v>
      </c>
      <c r="AF29" s="389">
        <f t="shared" si="12"/>
        <v>0.9111348026936027</v>
      </c>
      <c r="AG29" s="239"/>
      <c r="AH29" s="389">
        <f t="shared" si="13"/>
        <v>1.1703094143117594</v>
      </c>
      <c r="AI29" s="389">
        <f t="shared" si="14"/>
        <v>0.30117143879742303</v>
      </c>
      <c r="AJ29" s="389">
        <f t="shared" si="15"/>
        <v>0.97593790849673201</v>
      </c>
      <c r="AK29" s="192"/>
      <c r="AL29" s="192"/>
      <c r="AM29" s="192"/>
    </row>
    <row r="30" spans="1:39" s="386" customFormat="1" ht="23.25" customHeight="1">
      <c r="A30" s="236" t="s">
        <v>864</v>
      </c>
      <c r="B30" s="382" t="s">
        <v>291</v>
      </c>
      <c r="C30" s="237">
        <f t="shared" si="6"/>
        <v>7830000000</v>
      </c>
      <c r="D30" s="237"/>
      <c r="E30" s="384"/>
      <c r="F30" s="237"/>
      <c r="G30" s="237">
        <v>4650000000</v>
      </c>
      <c r="H30" s="237">
        <v>50000000</v>
      </c>
      <c r="I30" s="237"/>
      <c r="J30" s="237">
        <v>95000000</v>
      </c>
      <c r="K30" s="237">
        <f t="shared" si="7"/>
        <v>3036000000</v>
      </c>
      <c r="L30" s="237"/>
      <c r="M30" s="237">
        <v>3036000000</v>
      </c>
      <c r="N30" s="237">
        <f t="shared" si="10"/>
        <v>49000000</v>
      </c>
      <c r="O30" s="237"/>
      <c r="P30" s="237">
        <v>49000000</v>
      </c>
      <c r="Q30" s="237">
        <f t="shared" si="8"/>
        <v>6580953861</v>
      </c>
      <c r="R30" s="237"/>
      <c r="S30" s="237"/>
      <c r="T30" s="237"/>
      <c r="U30" s="237">
        <v>4924973060</v>
      </c>
      <c r="V30" s="237">
        <v>37433000</v>
      </c>
      <c r="W30" s="237"/>
      <c r="X30" s="237">
        <f t="shared" si="9"/>
        <v>295800000</v>
      </c>
      <c r="Y30" s="238"/>
      <c r="Z30" s="385">
        <v>295800000</v>
      </c>
      <c r="AA30" s="237">
        <v>45350000</v>
      </c>
      <c r="AB30" s="237"/>
      <c r="AC30" s="237">
        <v>45350000</v>
      </c>
      <c r="AD30" s="237">
        <v>348000000</v>
      </c>
      <c r="AE30" s="237">
        <v>966830801</v>
      </c>
      <c r="AF30" s="389">
        <f t="shared" si="12"/>
        <v>0.84047942030651346</v>
      </c>
      <c r="AG30" s="239"/>
      <c r="AH30" s="389">
        <f t="shared" si="13"/>
        <v>1.0591339913978495</v>
      </c>
      <c r="AI30" s="389">
        <f t="shared" si="14"/>
        <v>9.7430830039525698E-2</v>
      </c>
      <c r="AJ30" s="389">
        <f t="shared" si="15"/>
        <v>0.92551020408163265</v>
      </c>
      <c r="AK30" s="192"/>
      <c r="AL30" s="192"/>
      <c r="AM30" s="192"/>
    </row>
    <row r="31" spans="1:39" s="386" customFormat="1" ht="23.25" customHeight="1">
      <c r="A31" s="236" t="s">
        <v>865</v>
      </c>
      <c r="B31" s="382" t="s">
        <v>292</v>
      </c>
      <c r="C31" s="237">
        <f t="shared" si="6"/>
        <v>7081000000</v>
      </c>
      <c r="D31" s="237"/>
      <c r="E31" s="384"/>
      <c r="F31" s="237"/>
      <c r="G31" s="237">
        <v>3898000000</v>
      </c>
      <c r="H31" s="237">
        <v>50000000</v>
      </c>
      <c r="I31" s="237"/>
      <c r="J31" s="237">
        <v>80000000</v>
      </c>
      <c r="K31" s="237">
        <f t="shared" si="7"/>
        <v>2935000000</v>
      </c>
      <c r="L31" s="237"/>
      <c r="M31" s="237">
        <v>2935000000</v>
      </c>
      <c r="N31" s="237">
        <f>+O31+P31</f>
        <v>168000000</v>
      </c>
      <c r="O31" s="237"/>
      <c r="P31" s="237">
        <v>168000000</v>
      </c>
      <c r="Q31" s="237">
        <f t="shared" si="8"/>
        <v>5877333289</v>
      </c>
      <c r="R31" s="237"/>
      <c r="S31" s="237"/>
      <c r="T31" s="237"/>
      <c r="U31" s="237">
        <v>4561803289</v>
      </c>
      <c r="V31" s="237">
        <v>46500000</v>
      </c>
      <c r="W31" s="237"/>
      <c r="X31" s="237">
        <f t="shared" si="9"/>
        <v>640528000</v>
      </c>
      <c r="Y31" s="238"/>
      <c r="Z31" s="385">
        <v>640528000</v>
      </c>
      <c r="AA31" s="237">
        <v>167477000</v>
      </c>
      <c r="AB31" s="237"/>
      <c r="AC31" s="237">
        <v>167477000</v>
      </c>
      <c r="AD31" s="237">
        <v>328053000</v>
      </c>
      <c r="AE31" s="237">
        <v>179472000</v>
      </c>
      <c r="AF31" s="389">
        <f t="shared" si="12"/>
        <v>0.83001458678152806</v>
      </c>
      <c r="AG31" s="239"/>
      <c r="AH31" s="389">
        <f t="shared" si="13"/>
        <v>1.1702933014366341</v>
      </c>
      <c r="AI31" s="389">
        <f t="shared" si="14"/>
        <v>0.21823781942078366</v>
      </c>
      <c r="AJ31" s="389">
        <f t="shared" si="15"/>
        <v>0.99688690476190478</v>
      </c>
      <c r="AK31" s="192"/>
      <c r="AL31" s="192"/>
      <c r="AM31" s="192"/>
    </row>
    <row r="32" spans="1:39" s="386" customFormat="1" ht="23.25" customHeight="1">
      <c r="A32" s="236" t="s">
        <v>866</v>
      </c>
      <c r="B32" s="382" t="s">
        <v>867</v>
      </c>
      <c r="C32" s="237">
        <f t="shared" si="6"/>
        <v>7425000000</v>
      </c>
      <c r="D32" s="237"/>
      <c r="E32" s="384"/>
      <c r="F32" s="237"/>
      <c r="G32" s="237">
        <v>4455000000</v>
      </c>
      <c r="H32" s="237">
        <v>50000000</v>
      </c>
      <c r="I32" s="237"/>
      <c r="J32" s="237">
        <v>91000000</v>
      </c>
      <c r="K32" s="237">
        <f t="shared" si="7"/>
        <v>2778000000</v>
      </c>
      <c r="L32" s="237"/>
      <c r="M32" s="237">
        <v>2778000000</v>
      </c>
      <c r="N32" s="237">
        <f t="shared" si="10"/>
        <v>101000000</v>
      </c>
      <c r="O32" s="237"/>
      <c r="P32" s="237">
        <v>101000000</v>
      </c>
      <c r="Q32" s="237">
        <f t="shared" si="8"/>
        <v>6284066434</v>
      </c>
      <c r="R32" s="237"/>
      <c r="S32" s="237"/>
      <c r="T32" s="237"/>
      <c r="U32" s="237">
        <v>4923214212</v>
      </c>
      <c r="V32" s="237">
        <v>19740000</v>
      </c>
      <c r="W32" s="237"/>
      <c r="X32" s="237">
        <f t="shared" si="9"/>
        <v>579000000</v>
      </c>
      <c r="Y32" s="238"/>
      <c r="Z32" s="385">
        <v>579000000</v>
      </c>
      <c r="AA32" s="237">
        <v>100840000</v>
      </c>
      <c r="AB32" s="237"/>
      <c r="AC32" s="237">
        <v>100840000</v>
      </c>
      <c r="AD32" s="237">
        <v>320000000</v>
      </c>
      <c r="AE32" s="237">
        <v>361012222</v>
      </c>
      <c r="AF32" s="389">
        <f t="shared" si="12"/>
        <v>0.84633891367003367</v>
      </c>
      <c r="AG32" s="239"/>
      <c r="AH32" s="389">
        <f t="shared" si="13"/>
        <v>1.1050985885521885</v>
      </c>
      <c r="AI32" s="389">
        <f t="shared" si="14"/>
        <v>0.20842332613390929</v>
      </c>
      <c r="AJ32" s="389">
        <f t="shared" si="15"/>
        <v>0.99841584158415841</v>
      </c>
      <c r="AK32" s="192"/>
      <c r="AL32" s="192"/>
      <c r="AM32" s="192"/>
    </row>
    <row r="33" spans="1:39" s="386" customFormat="1" ht="23.25" customHeight="1">
      <c r="A33" s="236" t="s">
        <v>868</v>
      </c>
      <c r="B33" s="382" t="s">
        <v>293</v>
      </c>
      <c r="C33" s="237">
        <f t="shared" si="6"/>
        <v>8382000000</v>
      </c>
      <c r="D33" s="237"/>
      <c r="E33" s="384"/>
      <c r="F33" s="237"/>
      <c r="G33" s="237">
        <v>5122000000</v>
      </c>
      <c r="H33" s="237">
        <v>50000000</v>
      </c>
      <c r="I33" s="237"/>
      <c r="J33" s="237">
        <v>105000000</v>
      </c>
      <c r="K33" s="237">
        <f t="shared" si="7"/>
        <v>2853000000</v>
      </c>
      <c r="L33" s="237"/>
      <c r="M33" s="237">
        <v>2853000000</v>
      </c>
      <c r="N33" s="237">
        <f t="shared" si="10"/>
        <v>302000000</v>
      </c>
      <c r="O33" s="237"/>
      <c r="P33" s="237">
        <v>302000000</v>
      </c>
      <c r="Q33" s="237">
        <f t="shared" si="8"/>
        <v>8155958487</v>
      </c>
      <c r="R33" s="237"/>
      <c r="S33" s="237"/>
      <c r="T33" s="237"/>
      <c r="U33" s="237">
        <v>5959705516</v>
      </c>
      <c r="V33" s="237">
        <v>50190000</v>
      </c>
      <c r="W33" s="237"/>
      <c r="X33" s="237">
        <f t="shared" si="9"/>
        <v>1297890000</v>
      </c>
      <c r="Y33" s="238"/>
      <c r="Z33" s="385">
        <v>1297890000</v>
      </c>
      <c r="AA33" s="237">
        <v>302000000</v>
      </c>
      <c r="AB33" s="237"/>
      <c r="AC33" s="237">
        <v>302000000</v>
      </c>
      <c r="AD33" s="237">
        <v>384000000</v>
      </c>
      <c r="AE33" s="237">
        <v>212362971</v>
      </c>
      <c r="AF33" s="389">
        <f t="shared" si="12"/>
        <v>0.97303250858983537</v>
      </c>
      <c r="AG33" s="239"/>
      <c r="AH33" s="389">
        <f t="shared" si="13"/>
        <v>1.1635504716907459</v>
      </c>
      <c r="AI33" s="389">
        <f t="shared" si="14"/>
        <v>0.45492113564668768</v>
      </c>
      <c r="AJ33" s="389">
        <f t="shared" si="15"/>
        <v>1</v>
      </c>
      <c r="AK33" s="192"/>
      <c r="AL33" s="192"/>
      <c r="AM33" s="192"/>
    </row>
    <row r="34" spans="1:39" s="386" customFormat="1" ht="23.25" customHeight="1">
      <c r="A34" s="240" t="s">
        <v>869</v>
      </c>
      <c r="B34" s="387" t="s">
        <v>870</v>
      </c>
      <c r="C34" s="241">
        <f t="shared" si="6"/>
        <v>7399000000</v>
      </c>
      <c r="D34" s="241"/>
      <c r="E34" s="388"/>
      <c r="F34" s="241"/>
      <c r="G34" s="241">
        <v>4325000000</v>
      </c>
      <c r="H34" s="241">
        <v>50000000</v>
      </c>
      <c r="I34" s="241"/>
      <c r="J34" s="241">
        <v>88000000</v>
      </c>
      <c r="K34" s="237">
        <f t="shared" si="7"/>
        <v>2783000000</v>
      </c>
      <c r="L34" s="241"/>
      <c r="M34" s="241">
        <v>2783000000</v>
      </c>
      <c r="N34" s="241">
        <f t="shared" si="10"/>
        <v>203000000</v>
      </c>
      <c r="O34" s="241"/>
      <c r="P34" s="241">
        <v>203000000</v>
      </c>
      <c r="Q34" s="241">
        <f t="shared" si="8"/>
        <v>6903837248</v>
      </c>
      <c r="R34" s="241"/>
      <c r="S34" s="241"/>
      <c r="T34" s="241"/>
      <c r="U34" s="241">
        <v>4953018748</v>
      </c>
      <c r="V34" s="241">
        <v>13818000</v>
      </c>
      <c r="W34" s="241"/>
      <c r="X34" s="237">
        <f t="shared" si="9"/>
        <v>775500000</v>
      </c>
      <c r="Y34" s="242"/>
      <c r="Z34" s="385">
        <v>775500000</v>
      </c>
      <c r="AA34" s="237">
        <v>202818500</v>
      </c>
      <c r="AB34" s="241"/>
      <c r="AC34" s="241">
        <v>202818500</v>
      </c>
      <c r="AD34" s="241">
        <v>330000000</v>
      </c>
      <c r="AE34" s="241">
        <v>642500000</v>
      </c>
      <c r="AF34" s="390">
        <f t="shared" si="12"/>
        <v>0.93307707095553449</v>
      </c>
      <c r="AG34" s="243"/>
      <c r="AH34" s="390">
        <f t="shared" si="13"/>
        <v>1.1452066469364162</v>
      </c>
      <c r="AI34" s="390">
        <f t="shared" si="14"/>
        <v>0.27865612648221344</v>
      </c>
      <c r="AJ34" s="390">
        <f t="shared" si="15"/>
        <v>0.99910591133004922</v>
      </c>
      <c r="AK34" s="192"/>
      <c r="AL34" s="192"/>
      <c r="AM34" s="192"/>
    </row>
    <row r="35" spans="1:39" ht="18.7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row>
    <row r="36" spans="1:39" ht="18.75">
      <c r="A36" s="5"/>
      <c r="B36" s="5"/>
      <c r="C36" s="5"/>
      <c r="D36" s="5"/>
      <c r="E36" s="5"/>
      <c r="F36" s="5"/>
      <c r="G36" s="5"/>
      <c r="H36" s="5"/>
      <c r="I36" s="5"/>
      <c r="J36" s="5"/>
      <c r="K36" s="5"/>
      <c r="L36" s="5"/>
      <c r="M36" s="5"/>
      <c r="N36" s="54"/>
      <c r="O36" s="5"/>
      <c r="P36" s="5"/>
      <c r="Q36" s="5"/>
      <c r="R36" s="5"/>
      <c r="S36" s="5"/>
      <c r="T36" s="5"/>
      <c r="U36" s="5"/>
      <c r="V36" s="5"/>
      <c r="W36" s="5"/>
      <c r="X36" s="5"/>
      <c r="Y36" s="5"/>
      <c r="Z36" s="5"/>
      <c r="AA36" s="5"/>
      <c r="AB36" s="5"/>
      <c r="AC36" s="5"/>
      <c r="AD36" s="5"/>
      <c r="AE36" s="5"/>
      <c r="AF36" s="5"/>
      <c r="AG36" s="5"/>
      <c r="AH36" s="5"/>
      <c r="AI36" s="5"/>
      <c r="AJ36" s="5"/>
    </row>
    <row r="37" spans="1:39" ht="18.7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row>
    <row r="38" spans="1:39" ht="18.7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row>
    <row r="39" spans="1:39" ht="18.7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row>
    <row r="40" spans="1:39" ht="2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row>
    <row r="41" spans="1:39" ht="18.7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row>
    <row r="42" spans="1:39" ht="18.7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row>
    <row r="43" spans="1:39" ht="18.7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row>
    <row r="44" spans="1:39" ht="18.7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row>
  </sheetData>
  <mergeCells count="57">
    <mergeCell ref="K7:K13"/>
    <mergeCell ref="AG6:AG13"/>
    <mergeCell ref="AH6:AH13"/>
    <mergeCell ref="X7:X13"/>
    <mergeCell ref="Y7:Z7"/>
    <mergeCell ref="AB8:AB13"/>
    <mergeCell ref="AC8:AC13"/>
    <mergeCell ref="AA6:AC6"/>
    <mergeCell ref="AE6:AE13"/>
    <mergeCell ref="AF6:AF13"/>
    <mergeCell ref="AA7:AA13"/>
    <mergeCell ref="AB7:AC7"/>
    <mergeCell ref="Z8:Z13"/>
    <mergeCell ref="N6:P6"/>
    <mergeCell ref="L7:M7"/>
    <mergeCell ref="R7:R13"/>
    <mergeCell ref="S7:T7"/>
    <mergeCell ref="Y8:Y13"/>
    <mergeCell ref="U7:U13"/>
    <mergeCell ref="V7:W7"/>
    <mergeCell ref="X6:Z6"/>
    <mergeCell ref="O8:O13"/>
    <mergeCell ref="P8:P13"/>
    <mergeCell ref="L8:L13"/>
    <mergeCell ref="M8:M13"/>
    <mergeCell ref="AI6:AI13"/>
    <mergeCell ref="AJ6:AJ13"/>
    <mergeCell ref="D7:D13"/>
    <mergeCell ref="E7:F7"/>
    <mergeCell ref="G7:G13"/>
    <mergeCell ref="H7:I7"/>
    <mergeCell ref="N7:N13"/>
    <mergeCell ref="J6:J13"/>
    <mergeCell ref="H8:H13"/>
    <mergeCell ref="I8:I13"/>
    <mergeCell ref="K6:M6"/>
    <mergeCell ref="D6:F6"/>
    <mergeCell ref="G6:I6"/>
    <mergeCell ref="O7:P7"/>
    <mergeCell ref="V8:V13"/>
    <mergeCell ref="W8:W13"/>
    <mergeCell ref="A2:AJ2"/>
    <mergeCell ref="A3:AJ3"/>
    <mergeCell ref="Q6:Q13"/>
    <mergeCell ref="R6:T6"/>
    <mergeCell ref="U6:W6"/>
    <mergeCell ref="E8:E13"/>
    <mergeCell ref="F8:F13"/>
    <mergeCell ref="A5:A13"/>
    <mergeCell ref="B5:B13"/>
    <mergeCell ref="C5:P5"/>
    <mergeCell ref="AD6:AD13"/>
    <mergeCell ref="Q5:AE5"/>
    <mergeCell ref="AF5:AJ5"/>
    <mergeCell ref="C6:C13"/>
    <mergeCell ref="S8:S13"/>
    <mergeCell ref="T8:T13"/>
  </mergeCells>
  <pageMargins left="0.196850393700787" right="0.196850393700787" top="0.683070866" bottom="0.82677165354330695" header="0.196850393700787" footer="0.31496062992126"/>
  <pageSetup paperSize="9" scale="39" fitToHeight="0" orientation="landscape"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AB48"/>
  <sheetViews>
    <sheetView showZeros="0" view="pageBreakPreview" zoomScale="85" zoomScaleNormal="100" zoomScaleSheetLayoutView="85" workbookViewId="0">
      <selection activeCell="Q19" sqref="Q19"/>
    </sheetView>
  </sheetViews>
  <sheetFormatPr defaultColWidth="9" defaultRowHeight="15.75"/>
  <cols>
    <col min="1" max="1" width="5.75" style="48" customWidth="1"/>
    <col min="2" max="2" width="14.75" style="48" customWidth="1"/>
    <col min="3" max="3" width="13" style="48" customWidth="1"/>
    <col min="4" max="4" width="11.875" style="48" customWidth="1"/>
    <col min="5" max="5" width="12.375" style="48" customWidth="1"/>
    <col min="6" max="6" width="5.25" style="48" customWidth="1"/>
    <col min="7" max="7" width="11.75" style="48" customWidth="1"/>
    <col min="8" max="8" width="6.375" style="48" customWidth="1"/>
    <col min="9" max="9" width="11" style="48" customWidth="1"/>
    <col min="10" max="10" width="13" style="48" customWidth="1"/>
    <col min="11" max="11" width="13.25" style="48" customWidth="1"/>
    <col min="12" max="12" width="12.125" style="48" customWidth="1"/>
    <col min="13" max="13" width="11.75" style="48" customWidth="1"/>
    <col min="14" max="14" width="5.25" style="48" customWidth="1"/>
    <col min="15" max="15" width="12.25" style="48" customWidth="1"/>
    <col min="16" max="16" width="6.25" style="48" customWidth="1"/>
    <col min="17" max="17" width="12.625" style="48" customWidth="1"/>
    <col min="18" max="18" width="12.25" style="48" customWidth="1"/>
    <col min="19" max="20" width="6" style="48" customWidth="1"/>
    <col min="21" max="21" width="6.75" style="48" customWidth="1"/>
    <col min="22" max="22" width="6.25" style="48" customWidth="1"/>
    <col min="23" max="23" width="6.875" style="48" customWidth="1"/>
    <col min="24" max="24" width="6.5" style="48" customWidth="1"/>
    <col min="25" max="25" width="7.125" style="48" customWidth="1"/>
    <col min="26" max="26" width="6" style="48" customWidth="1"/>
    <col min="27" max="16384" width="9" style="48"/>
  </cols>
  <sheetData>
    <row r="1" spans="1:28" ht="18.75">
      <c r="A1" s="428"/>
      <c r="B1" s="428"/>
      <c r="C1" s="429"/>
      <c r="D1" s="429"/>
      <c r="E1" s="430"/>
      <c r="F1" s="430"/>
      <c r="G1" s="430"/>
      <c r="H1" s="430"/>
      <c r="I1" s="604"/>
      <c r="J1" s="88"/>
      <c r="K1" s="604"/>
      <c r="L1" s="604"/>
      <c r="M1" s="88"/>
      <c r="N1" s="430"/>
      <c r="O1" s="430"/>
      <c r="P1" s="430"/>
      <c r="Q1" s="430"/>
      <c r="R1" s="429"/>
      <c r="S1" s="429"/>
      <c r="T1" s="430"/>
      <c r="U1" s="430"/>
      <c r="V1" s="430"/>
      <c r="W1" s="430"/>
      <c r="X1" s="630" t="s">
        <v>114</v>
      </c>
      <c r="Y1" s="604"/>
      <c r="Z1" s="630"/>
    </row>
    <row r="2" spans="1:28" s="5" customFormat="1" ht="27" customHeight="1">
      <c r="A2" s="1048" t="s">
        <v>841</v>
      </c>
      <c r="B2" s="1048"/>
      <c r="C2" s="1048"/>
      <c r="D2" s="1048"/>
      <c r="E2" s="1048"/>
      <c r="F2" s="1048"/>
      <c r="G2" s="1048"/>
      <c r="H2" s="1048"/>
      <c r="I2" s="1048"/>
      <c r="J2" s="1048"/>
      <c r="K2" s="1048"/>
      <c r="L2" s="1048"/>
      <c r="M2" s="1048"/>
      <c r="N2" s="1048"/>
      <c r="O2" s="1048"/>
      <c r="P2" s="1048"/>
      <c r="Q2" s="1048"/>
      <c r="R2" s="1048"/>
      <c r="S2" s="1048"/>
      <c r="T2" s="1048"/>
      <c r="U2" s="1048"/>
      <c r="V2" s="1048"/>
      <c r="W2" s="1048"/>
      <c r="X2" s="1048"/>
      <c r="Y2" s="1048"/>
      <c r="Z2" s="1048"/>
    </row>
    <row r="3" spans="1:28" ht="21.75" customHeight="1">
      <c r="A3" s="1049" t="str">
        <f>'Biểu 58-xã'!A3:AJ3</f>
        <v>(Kèm theo Báo cáo số  289/BC-UBND ngày  17 /6 /2024 của UBND huyện Tuần Giáo)</v>
      </c>
      <c r="B3" s="1049"/>
      <c r="C3" s="1049"/>
      <c r="D3" s="1049"/>
      <c r="E3" s="1049"/>
      <c r="F3" s="1049"/>
      <c r="G3" s="1049"/>
      <c r="H3" s="1049"/>
      <c r="I3" s="1049"/>
      <c r="J3" s="1049"/>
      <c r="K3" s="1049"/>
      <c r="L3" s="1049"/>
      <c r="M3" s="1049"/>
      <c r="N3" s="1049"/>
      <c r="O3" s="1049"/>
      <c r="P3" s="1049"/>
      <c r="Q3" s="1049"/>
      <c r="R3" s="1049"/>
      <c r="S3" s="1049"/>
      <c r="T3" s="1049"/>
      <c r="U3" s="1049"/>
      <c r="V3" s="1049"/>
      <c r="W3" s="1049"/>
      <c r="X3" s="1049"/>
      <c r="Y3" s="1049"/>
      <c r="Z3" s="1049"/>
      <c r="AB3" s="49"/>
    </row>
    <row r="4" spans="1:28" ht="21.75" customHeight="1">
      <c r="A4" s="433"/>
      <c r="B4" s="433"/>
      <c r="C4" s="688"/>
      <c r="D4" s="688"/>
      <c r="E4" s="689"/>
      <c r="F4" s="690"/>
      <c r="G4" s="690"/>
      <c r="H4" s="690"/>
      <c r="I4" s="690"/>
      <c r="J4" s="637"/>
      <c r="K4" s="691"/>
      <c r="L4" s="604"/>
      <c r="M4" s="637"/>
      <c r="N4" s="690"/>
      <c r="O4" s="690"/>
      <c r="P4" s="690"/>
      <c r="Q4" s="690"/>
      <c r="R4" s="690"/>
      <c r="S4" s="545"/>
      <c r="T4" s="637"/>
      <c r="U4" s="637"/>
      <c r="V4" s="637"/>
      <c r="W4" s="637"/>
      <c r="X4" s="692" t="s">
        <v>296</v>
      </c>
      <c r="Y4" s="604"/>
      <c r="Z4" s="637"/>
    </row>
    <row r="5" spans="1:28" s="47" customFormat="1" ht="19.5" customHeight="1">
      <c r="A5" s="1040" t="s">
        <v>51</v>
      </c>
      <c r="B5" s="1040" t="s">
        <v>151</v>
      </c>
      <c r="C5" s="1042" t="s">
        <v>2</v>
      </c>
      <c r="D5" s="1042"/>
      <c r="E5" s="1042"/>
      <c r="F5" s="1042"/>
      <c r="G5" s="1042"/>
      <c r="H5" s="1042"/>
      <c r="I5" s="1042"/>
      <c r="J5" s="1042"/>
      <c r="K5" s="1042" t="s">
        <v>50</v>
      </c>
      <c r="L5" s="1042"/>
      <c r="M5" s="1042"/>
      <c r="N5" s="1042"/>
      <c r="O5" s="1042"/>
      <c r="P5" s="1042"/>
      <c r="Q5" s="1042"/>
      <c r="R5" s="1042"/>
      <c r="S5" s="1042" t="s">
        <v>75</v>
      </c>
      <c r="T5" s="1042"/>
      <c r="U5" s="1042"/>
      <c r="V5" s="1042"/>
      <c r="W5" s="1042"/>
      <c r="X5" s="1042"/>
      <c r="Y5" s="1042"/>
      <c r="Z5" s="1042"/>
    </row>
    <row r="6" spans="1:28" s="47" customFormat="1" ht="19.5" customHeight="1">
      <c r="A6" s="1040"/>
      <c r="B6" s="1040"/>
      <c r="C6" s="1040" t="s">
        <v>67</v>
      </c>
      <c r="D6" s="1040" t="s">
        <v>478</v>
      </c>
      <c r="E6" s="1040" t="s">
        <v>76</v>
      </c>
      <c r="F6" s="1040"/>
      <c r="G6" s="1040"/>
      <c r="H6" s="1040"/>
      <c r="I6" s="1040"/>
      <c r="J6" s="1040"/>
      <c r="K6" s="1040" t="s">
        <v>67</v>
      </c>
      <c r="L6" s="1040" t="s">
        <v>478</v>
      </c>
      <c r="M6" s="1040" t="s">
        <v>76</v>
      </c>
      <c r="N6" s="1040"/>
      <c r="O6" s="1040"/>
      <c r="P6" s="1040"/>
      <c r="Q6" s="1040"/>
      <c r="R6" s="1040"/>
      <c r="S6" s="1040" t="s">
        <v>67</v>
      </c>
      <c r="T6" s="1040" t="s">
        <v>0</v>
      </c>
      <c r="U6" s="1040" t="s">
        <v>76</v>
      </c>
      <c r="V6" s="1040"/>
      <c r="W6" s="1040"/>
      <c r="X6" s="1040"/>
      <c r="Y6" s="1040"/>
      <c r="Z6" s="1040"/>
    </row>
    <row r="7" spans="1:28" s="47" customFormat="1" ht="26.25" customHeight="1">
      <c r="A7" s="1040"/>
      <c r="B7" s="1040"/>
      <c r="C7" s="1040"/>
      <c r="D7" s="1040"/>
      <c r="E7" s="1040" t="s">
        <v>67</v>
      </c>
      <c r="F7" s="1040" t="s">
        <v>78</v>
      </c>
      <c r="G7" s="1040"/>
      <c r="H7" s="1040" t="s">
        <v>477</v>
      </c>
      <c r="I7" s="1040" t="s">
        <v>738</v>
      </c>
      <c r="J7" s="1040" t="s">
        <v>110</v>
      </c>
      <c r="K7" s="1040"/>
      <c r="L7" s="1040"/>
      <c r="M7" s="1040" t="s">
        <v>67</v>
      </c>
      <c r="N7" s="1040" t="s">
        <v>78</v>
      </c>
      <c r="O7" s="1040"/>
      <c r="P7" s="1040" t="s">
        <v>477</v>
      </c>
      <c r="Q7" s="1037" t="s">
        <v>738</v>
      </c>
      <c r="R7" s="1037" t="s">
        <v>110</v>
      </c>
      <c r="S7" s="1040"/>
      <c r="T7" s="1040"/>
      <c r="U7" s="1040" t="s">
        <v>67</v>
      </c>
      <c r="V7" s="1040" t="s">
        <v>78</v>
      </c>
      <c r="W7" s="1040"/>
      <c r="X7" s="1040" t="s">
        <v>477</v>
      </c>
      <c r="Y7" s="1040" t="s">
        <v>738</v>
      </c>
      <c r="Z7" s="1040" t="s">
        <v>110</v>
      </c>
    </row>
    <row r="8" spans="1:28" s="47" customFormat="1" ht="12.75" customHeight="1">
      <c r="A8" s="1040"/>
      <c r="B8" s="1040"/>
      <c r="C8" s="1040"/>
      <c r="D8" s="1040"/>
      <c r="E8" s="1040"/>
      <c r="F8" s="1040" t="s">
        <v>18</v>
      </c>
      <c r="G8" s="1040" t="s">
        <v>60</v>
      </c>
      <c r="H8" s="1040"/>
      <c r="I8" s="1040"/>
      <c r="J8" s="1040"/>
      <c r="K8" s="1040"/>
      <c r="L8" s="1040"/>
      <c r="M8" s="1040"/>
      <c r="N8" s="1040" t="s">
        <v>18</v>
      </c>
      <c r="O8" s="1040" t="s">
        <v>60</v>
      </c>
      <c r="P8" s="1040"/>
      <c r="Q8" s="1037"/>
      <c r="R8" s="1037"/>
      <c r="S8" s="1040"/>
      <c r="T8" s="1040"/>
      <c r="U8" s="1040"/>
      <c r="V8" s="1040" t="s">
        <v>18</v>
      </c>
      <c r="W8" s="1040" t="s">
        <v>60</v>
      </c>
      <c r="X8" s="1040"/>
      <c r="Y8" s="1040"/>
      <c r="Z8" s="1040"/>
    </row>
    <row r="9" spans="1:28" s="47" customFormat="1" ht="12.75">
      <c r="A9" s="1040"/>
      <c r="B9" s="1040"/>
      <c r="C9" s="1040"/>
      <c r="D9" s="1040"/>
      <c r="E9" s="1040"/>
      <c r="F9" s="1040"/>
      <c r="G9" s="1040"/>
      <c r="H9" s="1040"/>
      <c r="I9" s="1040"/>
      <c r="J9" s="1040"/>
      <c r="K9" s="1040"/>
      <c r="L9" s="1040"/>
      <c r="M9" s="1040"/>
      <c r="N9" s="1040"/>
      <c r="O9" s="1040"/>
      <c r="P9" s="1040"/>
      <c r="Q9" s="1037"/>
      <c r="R9" s="1037"/>
      <c r="S9" s="1040"/>
      <c r="T9" s="1040"/>
      <c r="U9" s="1040"/>
      <c r="V9" s="1040"/>
      <c r="W9" s="1040"/>
      <c r="X9" s="1040"/>
      <c r="Y9" s="1040"/>
      <c r="Z9" s="1040"/>
    </row>
    <row r="10" spans="1:28" s="47" customFormat="1" ht="12.75">
      <c r="A10" s="1040"/>
      <c r="B10" s="1040"/>
      <c r="C10" s="1040"/>
      <c r="D10" s="1040"/>
      <c r="E10" s="1040"/>
      <c r="F10" s="1040"/>
      <c r="G10" s="1040"/>
      <c r="H10" s="1040"/>
      <c r="I10" s="1040"/>
      <c r="J10" s="1040"/>
      <c r="K10" s="1040"/>
      <c r="L10" s="1040"/>
      <c r="M10" s="1040"/>
      <c r="N10" s="1040"/>
      <c r="O10" s="1040"/>
      <c r="P10" s="1040"/>
      <c r="Q10" s="1037"/>
      <c r="R10" s="1037"/>
      <c r="S10" s="1040"/>
      <c r="T10" s="1040"/>
      <c r="U10" s="1040"/>
      <c r="V10" s="1040"/>
      <c r="W10" s="1040"/>
      <c r="X10" s="1040"/>
      <c r="Y10" s="1040"/>
      <c r="Z10" s="1040"/>
    </row>
    <row r="11" spans="1:28" s="47" customFormat="1" ht="12.75">
      <c r="A11" s="1040"/>
      <c r="B11" s="1040"/>
      <c r="C11" s="1040"/>
      <c r="D11" s="1040"/>
      <c r="E11" s="1040"/>
      <c r="F11" s="1040"/>
      <c r="G11" s="1040"/>
      <c r="H11" s="1040"/>
      <c r="I11" s="1040"/>
      <c r="J11" s="1040"/>
      <c r="K11" s="1040"/>
      <c r="L11" s="1040"/>
      <c r="M11" s="1040"/>
      <c r="N11" s="1040"/>
      <c r="O11" s="1040"/>
      <c r="P11" s="1040"/>
      <c r="Q11" s="1037"/>
      <c r="R11" s="1037"/>
      <c r="S11" s="1040"/>
      <c r="T11" s="1040"/>
      <c r="U11" s="1040"/>
      <c r="V11" s="1040"/>
      <c r="W11" s="1040"/>
      <c r="X11" s="1040"/>
      <c r="Y11" s="1040"/>
      <c r="Z11" s="1040"/>
    </row>
    <row r="12" spans="1:28" s="47" customFormat="1" ht="26.25" customHeight="1">
      <c r="A12" s="1040"/>
      <c r="B12" s="1040"/>
      <c r="C12" s="1040"/>
      <c r="D12" s="1040"/>
      <c r="E12" s="1040"/>
      <c r="F12" s="1040"/>
      <c r="G12" s="1040"/>
      <c r="H12" s="1040"/>
      <c r="I12" s="1040"/>
      <c r="J12" s="1040"/>
      <c r="K12" s="1040"/>
      <c r="L12" s="1040"/>
      <c r="M12" s="1040"/>
      <c r="N12" s="1040"/>
      <c r="O12" s="1040"/>
      <c r="P12" s="1040"/>
      <c r="Q12" s="1037"/>
      <c r="R12" s="1037"/>
      <c r="S12" s="1040"/>
      <c r="T12" s="1040"/>
      <c r="U12" s="1040"/>
      <c r="V12" s="1040"/>
      <c r="W12" s="1040"/>
      <c r="X12" s="1040"/>
      <c r="Y12" s="1040"/>
      <c r="Z12" s="1040"/>
    </row>
    <row r="13" spans="1:28" s="359" customFormat="1" ht="21.75" customHeight="1">
      <c r="A13" s="371" t="s">
        <v>3</v>
      </c>
      <c r="B13" s="371" t="s">
        <v>4</v>
      </c>
      <c r="C13" s="371">
        <v>1</v>
      </c>
      <c r="D13" s="371">
        <f>C13+1</f>
        <v>2</v>
      </c>
      <c r="E13" s="371" t="s">
        <v>79</v>
      </c>
      <c r="F13" s="371">
        <v>4</v>
      </c>
      <c r="G13" s="371">
        <f t="shared" ref="G13:L13" si="0">F13+1</f>
        <v>5</v>
      </c>
      <c r="H13" s="371">
        <f t="shared" si="0"/>
        <v>6</v>
      </c>
      <c r="I13" s="371">
        <f>H13+1</f>
        <v>7</v>
      </c>
      <c r="J13" s="371">
        <f>I13+1</f>
        <v>8</v>
      </c>
      <c r="K13" s="371">
        <f t="shared" si="0"/>
        <v>9</v>
      </c>
      <c r="L13" s="371">
        <f t="shared" si="0"/>
        <v>10</v>
      </c>
      <c r="M13" s="371" t="s">
        <v>88</v>
      </c>
      <c r="N13" s="371">
        <v>12</v>
      </c>
      <c r="O13" s="371">
        <f>N13+1</f>
        <v>13</v>
      </c>
      <c r="P13" s="371">
        <f>O13+1</f>
        <v>14</v>
      </c>
      <c r="Q13" s="87">
        <f>P13+1</f>
        <v>15</v>
      </c>
      <c r="R13" s="87">
        <f>Q13+1</f>
        <v>16</v>
      </c>
      <c r="S13" s="372" t="s">
        <v>80</v>
      </c>
      <c r="T13" s="372" t="s">
        <v>81</v>
      </c>
      <c r="U13" s="372" t="s">
        <v>82</v>
      </c>
      <c r="V13" s="372" t="s">
        <v>83</v>
      </c>
      <c r="W13" s="372" t="s">
        <v>84</v>
      </c>
      <c r="X13" s="372" t="s">
        <v>85</v>
      </c>
      <c r="Y13" s="372" t="s">
        <v>86</v>
      </c>
      <c r="Z13" s="372" t="s">
        <v>87</v>
      </c>
    </row>
    <row r="14" spans="1:28" s="360" customFormat="1" ht="24.75" customHeight="1">
      <c r="A14" s="693"/>
      <c r="B14" s="694" t="s">
        <v>21</v>
      </c>
      <c r="C14" s="234">
        <f>SUM(C15:C33)</f>
        <v>143741000000</v>
      </c>
      <c r="D14" s="234">
        <f>SUM(D15:D33)</f>
        <v>88891000000</v>
      </c>
      <c r="E14" s="234">
        <f t="shared" ref="E14:J14" si="1">SUM(E15:E33)</f>
        <v>54850000000</v>
      </c>
      <c r="F14" s="234">
        <f t="shared" si="1"/>
        <v>0</v>
      </c>
      <c r="G14" s="234">
        <f t="shared" si="1"/>
        <v>54850000000</v>
      </c>
      <c r="H14" s="234">
        <f t="shared" si="1"/>
        <v>0</v>
      </c>
      <c r="I14" s="234">
        <f t="shared" si="1"/>
        <v>3205000000</v>
      </c>
      <c r="J14" s="234">
        <f t="shared" si="1"/>
        <v>51645000000</v>
      </c>
      <c r="K14" s="234">
        <f>SUM(K15:K33)</f>
        <v>125611939829</v>
      </c>
      <c r="L14" s="234">
        <f>SUM(L15:L33)</f>
        <v>85389175358</v>
      </c>
      <c r="M14" s="234">
        <f t="shared" ref="M14:R14" si="2">SUM(M15:M33)</f>
        <v>40222764471</v>
      </c>
      <c r="N14" s="234">
        <f t="shared" si="2"/>
        <v>0</v>
      </c>
      <c r="O14" s="234">
        <f t="shared" si="2"/>
        <v>40222764471</v>
      </c>
      <c r="P14" s="234">
        <f t="shared" si="2"/>
        <v>0</v>
      </c>
      <c r="Q14" s="234">
        <f t="shared" si="2"/>
        <v>18811764471</v>
      </c>
      <c r="R14" s="234">
        <f t="shared" si="2"/>
        <v>21411000000</v>
      </c>
      <c r="S14" s="695">
        <f>K14/C14</f>
        <v>0.87387690240780291</v>
      </c>
      <c r="T14" s="695">
        <f>L14/D14</f>
        <v>0.96060540839905051</v>
      </c>
      <c r="U14" s="695">
        <f>M14/E14</f>
        <v>0.73332296209662717</v>
      </c>
      <c r="V14" s="695"/>
      <c r="W14" s="695">
        <f>O14/G14</f>
        <v>0.73332296209662717</v>
      </c>
      <c r="X14" s="695"/>
      <c r="Y14" s="695">
        <f>Q14/I14</f>
        <v>5.8695052951638065</v>
      </c>
      <c r="Z14" s="695">
        <f>R14/J14</f>
        <v>0.41458030787104272</v>
      </c>
    </row>
    <row r="15" spans="1:28" s="361" customFormat="1" ht="18.75">
      <c r="A15" s="696" t="s">
        <v>279</v>
      </c>
      <c r="B15" s="697" t="s">
        <v>848</v>
      </c>
      <c r="C15" s="237">
        <f>D15+E15</f>
        <v>9113000000</v>
      </c>
      <c r="D15" s="237">
        <v>6072000000</v>
      </c>
      <c r="E15" s="237">
        <f>+F15+G15</f>
        <v>3041000000</v>
      </c>
      <c r="F15" s="237"/>
      <c r="G15" s="237">
        <f>SUM(H15:J15)</f>
        <v>3041000000</v>
      </c>
      <c r="H15" s="237"/>
      <c r="I15" s="237">
        <v>257000000</v>
      </c>
      <c r="J15" s="237">
        <v>2784000000</v>
      </c>
      <c r="K15" s="237">
        <f>L15+M15</f>
        <v>10129053148</v>
      </c>
      <c r="L15" s="237">
        <v>5902261000</v>
      </c>
      <c r="M15" s="237">
        <f>+N15+O15</f>
        <v>4226792148</v>
      </c>
      <c r="N15" s="237"/>
      <c r="O15" s="237">
        <f>SUM(P15:R15)</f>
        <v>4226792148</v>
      </c>
      <c r="P15" s="237"/>
      <c r="Q15" s="237">
        <v>1771792148</v>
      </c>
      <c r="R15" s="237">
        <v>2455000000</v>
      </c>
      <c r="S15" s="698">
        <f t="shared" ref="S15:T29" si="3">K15/C15</f>
        <v>1.1114949136398551</v>
      </c>
      <c r="T15" s="698">
        <f t="shared" si="3"/>
        <v>0.97204561923583666</v>
      </c>
      <c r="U15" s="699">
        <f t="shared" ref="U15:U33" si="4">M15/E15</f>
        <v>1.3899349385070701</v>
      </c>
      <c r="V15" s="699"/>
      <c r="W15" s="699">
        <f t="shared" ref="W15:W33" si="5">O15/G15</f>
        <v>1.3899349385070701</v>
      </c>
      <c r="X15" s="699"/>
      <c r="Y15" s="699">
        <f t="shared" ref="Y15:Y33" si="6">Q15/I15</f>
        <v>6.8941328715953309</v>
      </c>
      <c r="Z15" s="699">
        <f t="shared" ref="Z15:Z33" si="7">R15/J15</f>
        <v>0.88182471264367812</v>
      </c>
    </row>
    <row r="16" spans="1:28" s="361" customFormat="1" ht="18.75">
      <c r="A16" s="696" t="s">
        <v>280</v>
      </c>
      <c r="B16" s="697" t="s">
        <v>849</v>
      </c>
      <c r="C16" s="237">
        <f t="shared" ref="C16:C33" si="8">D16+E16</f>
        <v>7628000000</v>
      </c>
      <c r="D16" s="237">
        <v>4417000000</v>
      </c>
      <c r="E16" s="237">
        <f t="shared" ref="E16:E33" si="9">+F16+G16</f>
        <v>3211000000</v>
      </c>
      <c r="F16" s="237"/>
      <c r="G16" s="237">
        <f t="shared" ref="G16:G33" si="10">SUM(H16:J16)</f>
        <v>3211000000</v>
      </c>
      <c r="H16" s="237"/>
      <c r="I16" s="237">
        <v>395000000</v>
      </c>
      <c r="J16" s="237">
        <v>2816000000</v>
      </c>
      <c r="K16" s="237">
        <f t="shared" ref="K16:K33" si="11">L16+M16</f>
        <v>6426460800</v>
      </c>
      <c r="L16" s="237">
        <v>4218456900</v>
      </c>
      <c r="M16" s="237">
        <f>+N16+O16</f>
        <v>2208003900</v>
      </c>
      <c r="N16" s="237"/>
      <c r="O16" s="237">
        <f t="shared" ref="O16:O33" si="12">SUM(P16:R16)</f>
        <v>2208003900</v>
      </c>
      <c r="P16" s="237"/>
      <c r="Q16" s="237">
        <v>1232003900</v>
      </c>
      <c r="R16" s="237">
        <v>976000000</v>
      </c>
      <c r="S16" s="698">
        <f t="shared" si="3"/>
        <v>0.84248306240167803</v>
      </c>
      <c r="T16" s="698">
        <f t="shared" si="3"/>
        <v>0.95505023771790809</v>
      </c>
      <c r="U16" s="699">
        <f t="shared" si="4"/>
        <v>0.68763746496418565</v>
      </c>
      <c r="V16" s="699"/>
      <c r="W16" s="699">
        <f t="shared" si="5"/>
        <v>0.68763746496418565</v>
      </c>
      <c r="X16" s="699"/>
      <c r="Y16" s="699">
        <f t="shared" si="6"/>
        <v>3.1189972151898733</v>
      </c>
      <c r="Z16" s="699">
        <f t="shared" si="7"/>
        <v>0.34659090909090912</v>
      </c>
    </row>
    <row r="17" spans="1:26" s="361" customFormat="1" ht="18.75">
      <c r="A17" s="696" t="s">
        <v>850</v>
      </c>
      <c r="B17" s="697" t="s">
        <v>281</v>
      </c>
      <c r="C17" s="237">
        <f t="shared" si="8"/>
        <v>7246000000</v>
      </c>
      <c r="D17" s="237">
        <v>4360000000</v>
      </c>
      <c r="E17" s="237">
        <f>+F17+G17</f>
        <v>2886000000</v>
      </c>
      <c r="F17" s="237"/>
      <c r="G17" s="237">
        <f t="shared" si="10"/>
        <v>2886000000</v>
      </c>
      <c r="H17" s="237"/>
      <c r="I17" s="237">
        <v>62000000</v>
      </c>
      <c r="J17" s="237">
        <v>2824000000</v>
      </c>
      <c r="K17" s="237">
        <f t="shared" si="11"/>
        <v>6030524520</v>
      </c>
      <c r="L17" s="237">
        <v>4204893850</v>
      </c>
      <c r="M17" s="237">
        <f>+N17+O17</f>
        <v>1825630670</v>
      </c>
      <c r="N17" s="237"/>
      <c r="O17" s="237">
        <f t="shared" si="12"/>
        <v>1825630670</v>
      </c>
      <c r="P17" s="237"/>
      <c r="Q17" s="237">
        <v>872630670</v>
      </c>
      <c r="R17" s="237">
        <v>953000000</v>
      </c>
      <c r="S17" s="698">
        <f t="shared" si="3"/>
        <v>0.83225566105437487</v>
      </c>
      <c r="T17" s="698">
        <f t="shared" si="3"/>
        <v>0.96442519495412848</v>
      </c>
      <c r="U17" s="699">
        <f t="shared" si="4"/>
        <v>0.6325816597366597</v>
      </c>
      <c r="V17" s="699"/>
      <c r="W17" s="699">
        <f t="shared" si="5"/>
        <v>0.6325816597366597</v>
      </c>
      <c r="X17" s="699"/>
      <c r="Y17" s="699">
        <f t="shared" si="6"/>
        <v>14.074688225806451</v>
      </c>
      <c r="Z17" s="699">
        <f t="shared" si="7"/>
        <v>0.33746458923512745</v>
      </c>
    </row>
    <row r="18" spans="1:26" s="361" customFormat="1" ht="18.75">
      <c r="A18" s="696" t="s">
        <v>282</v>
      </c>
      <c r="B18" s="697" t="s">
        <v>283</v>
      </c>
      <c r="C18" s="237">
        <f t="shared" si="8"/>
        <v>8417000000</v>
      </c>
      <c r="D18" s="237">
        <v>5312000000</v>
      </c>
      <c r="E18" s="237">
        <f t="shared" si="9"/>
        <v>3105000000</v>
      </c>
      <c r="F18" s="237"/>
      <c r="G18" s="237">
        <f t="shared" si="10"/>
        <v>3105000000</v>
      </c>
      <c r="H18" s="237"/>
      <c r="I18" s="237">
        <v>255000000</v>
      </c>
      <c r="J18" s="237">
        <v>2850000000</v>
      </c>
      <c r="K18" s="237">
        <f t="shared" si="11"/>
        <v>8530893174</v>
      </c>
      <c r="L18" s="237">
        <v>5089415960</v>
      </c>
      <c r="M18" s="237">
        <f t="shared" ref="M18:M33" si="13">+N18+O18</f>
        <v>3441477214</v>
      </c>
      <c r="N18" s="237"/>
      <c r="O18" s="237">
        <f t="shared" si="12"/>
        <v>3441477214</v>
      </c>
      <c r="P18" s="237"/>
      <c r="Q18" s="237">
        <v>1406477214</v>
      </c>
      <c r="R18" s="237">
        <v>2035000000</v>
      </c>
      <c r="S18" s="698">
        <f t="shared" si="3"/>
        <v>1.0135313263633123</v>
      </c>
      <c r="T18" s="698">
        <f t="shared" si="3"/>
        <v>0.9580978840361446</v>
      </c>
      <c r="U18" s="699">
        <f t="shared" si="4"/>
        <v>1.1083662524959743</v>
      </c>
      <c r="V18" s="699"/>
      <c r="W18" s="699">
        <f t="shared" si="5"/>
        <v>1.1083662524959743</v>
      </c>
      <c r="X18" s="699"/>
      <c r="Y18" s="699">
        <f t="shared" si="6"/>
        <v>5.5155969176470592</v>
      </c>
      <c r="Z18" s="699">
        <f t="shared" si="7"/>
        <v>0.71403508771929824</v>
      </c>
    </row>
    <row r="19" spans="1:26" s="361" customFormat="1" ht="18.75">
      <c r="A19" s="696" t="s">
        <v>851</v>
      </c>
      <c r="B19" s="697" t="s">
        <v>852</v>
      </c>
      <c r="C19" s="237">
        <f t="shared" si="8"/>
        <v>7465000000</v>
      </c>
      <c r="D19" s="237">
        <v>4549000000</v>
      </c>
      <c r="E19" s="237">
        <f t="shared" si="9"/>
        <v>2916000000</v>
      </c>
      <c r="F19" s="237"/>
      <c r="G19" s="237">
        <f t="shared" si="10"/>
        <v>2916000000</v>
      </c>
      <c r="H19" s="237"/>
      <c r="I19" s="237"/>
      <c r="J19" s="237">
        <v>2916000000</v>
      </c>
      <c r="K19" s="237">
        <f t="shared" si="11"/>
        <v>5952380169</v>
      </c>
      <c r="L19" s="237">
        <v>4340864000</v>
      </c>
      <c r="M19" s="237">
        <f t="shared" si="13"/>
        <v>1611516169</v>
      </c>
      <c r="N19" s="237"/>
      <c r="O19" s="237">
        <f t="shared" si="12"/>
        <v>1611516169</v>
      </c>
      <c r="P19" s="237"/>
      <c r="Q19" s="237">
        <v>633516169</v>
      </c>
      <c r="R19" s="237">
        <v>978000000</v>
      </c>
      <c r="S19" s="698">
        <f t="shared" si="3"/>
        <v>0.79737175740120558</v>
      </c>
      <c r="T19" s="698">
        <f t="shared" si="3"/>
        <v>0.95424576830072538</v>
      </c>
      <c r="U19" s="699">
        <f t="shared" si="4"/>
        <v>0.55264614849108362</v>
      </c>
      <c r="V19" s="699"/>
      <c r="W19" s="699">
        <f t="shared" si="5"/>
        <v>0.55264614849108362</v>
      </c>
      <c r="X19" s="699"/>
      <c r="Y19" s="699"/>
      <c r="Z19" s="699">
        <f t="shared" si="7"/>
        <v>0.33539094650205764</v>
      </c>
    </row>
    <row r="20" spans="1:26" s="361" customFormat="1" ht="18.75">
      <c r="A20" s="696" t="s">
        <v>853</v>
      </c>
      <c r="B20" s="697" t="s">
        <v>854</v>
      </c>
      <c r="C20" s="237">
        <f t="shared" si="8"/>
        <v>4473000000</v>
      </c>
      <c r="D20" s="237">
        <v>4473000000</v>
      </c>
      <c r="E20" s="237">
        <f t="shared" si="9"/>
        <v>0</v>
      </c>
      <c r="F20" s="237"/>
      <c r="G20" s="237">
        <f t="shared" si="10"/>
        <v>0</v>
      </c>
      <c r="H20" s="237"/>
      <c r="I20" s="237"/>
      <c r="J20" s="237"/>
      <c r="K20" s="237">
        <f t="shared" si="11"/>
        <v>5243317600</v>
      </c>
      <c r="L20" s="237">
        <v>4434516650</v>
      </c>
      <c r="M20" s="237">
        <f t="shared" si="13"/>
        <v>808800950</v>
      </c>
      <c r="N20" s="237"/>
      <c r="O20" s="237">
        <f t="shared" si="12"/>
        <v>808800950</v>
      </c>
      <c r="P20" s="237"/>
      <c r="Q20" s="237">
        <v>678800950</v>
      </c>
      <c r="R20" s="237">
        <v>130000000</v>
      </c>
      <c r="S20" s="698">
        <f t="shared" si="3"/>
        <v>1.1722149787614575</v>
      </c>
      <c r="T20" s="698">
        <f t="shared" si="3"/>
        <v>0.9913965235859602</v>
      </c>
      <c r="U20" s="699"/>
      <c r="V20" s="699"/>
      <c r="W20" s="699"/>
      <c r="X20" s="699"/>
      <c r="Y20" s="699"/>
      <c r="Z20" s="699"/>
    </row>
    <row r="21" spans="1:26" s="361" customFormat="1" ht="18.75">
      <c r="A21" s="696" t="s">
        <v>855</v>
      </c>
      <c r="B21" s="697" t="s">
        <v>284</v>
      </c>
      <c r="C21" s="237">
        <f t="shared" si="8"/>
        <v>8338000000</v>
      </c>
      <c r="D21" s="237">
        <v>5065000000</v>
      </c>
      <c r="E21" s="237">
        <f t="shared" si="9"/>
        <v>3273000000</v>
      </c>
      <c r="F21" s="237"/>
      <c r="G21" s="237">
        <f t="shared" si="10"/>
        <v>3273000000</v>
      </c>
      <c r="H21" s="237"/>
      <c r="I21" s="237">
        <v>419000000</v>
      </c>
      <c r="J21" s="237">
        <v>2854000000</v>
      </c>
      <c r="K21" s="237">
        <f t="shared" si="11"/>
        <v>7497504145</v>
      </c>
      <c r="L21" s="237">
        <v>4820484550</v>
      </c>
      <c r="M21" s="237">
        <f t="shared" si="13"/>
        <v>2677019595</v>
      </c>
      <c r="N21" s="237"/>
      <c r="O21" s="237">
        <f t="shared" si="12"/>
        <v>2677019595</v>
      </c>
      <c r="P21" s="237"/>
      <c r="Q21" s="237">
        <v>1283019595</v>
      </c>
      <c r="R21" s="237">
        <v>1394000000</v>
      </c>
      <c r="S21" s="698">
        <f t="shared" si="3"/>
        <v>0.89919694710961862</v>
      </c>
      <c r="T21" s="698">
        <f t="shared" si="3"/>
        <v>0.9517244916090819</v>
      </c>
      <c r="U21" s="699">
        <f t="shared" si="4"/>
        <v>0.81791005041246567</v>
      </c>
      <c r="V21" s="699"/>
      <c r="W21" s="699">
        <f t="shared" si="5"/>
        <v>0.81791005041246567</v>
      </c>
      <c r="X21" s="699"/>
      <c r="Y21" s="699">
        <f t="shared" si="6"/>
        <v>3.0620992720763724</v>
      </c>
      <c r="Z21" s="699">
        <f t="shared" si="7"/>
        <v>0.48843728100911005</v>
      </c>
    </row>
    <row r="22" spans="1:26" s="361" customFormat="1" ht="18.75">
      <c r="A22" s="696" t="s">
        <v>856</v>
      </c>
      <c r="B22" s="697" t="s">
        <v>285</v>
      </c>
      <c r="C22" s="237">
        <f t="shared" si="8"/>
        <v>8165000000</v>
      </c>
      <c r="D22" s="237">
        <v>5129000000</v>
      </c>
      <c r="E22" s="237">
        <f t="shared" si="9"/>
        <v>3036000000</v>
      </c>
      <c r="F22" s="237"/>
      <c r="G22" s="237">
        <f t="shared" si="10"/>
        <v>3036000000</v>
      </c>
      <c r="H22" s="237"/>
      <c r="I22" s="237">
        <v>37000000</v>
      </c>
      <c r="J22" s="237">
        <v>2999000000</v>
      </c>
      <c r="K22" s="237">
        <f t="shared" si="11"/>
        <v>6718547398</v>
      </c>
      <c r="L22" s="237">
        <v>4917507000</v>
      </c>
      <c r="M22" s="237">
        <f t="shared" si="13"/>
        <v>1801040398</v>
      </c>
      <c r="N22" s="237"/>
      <c r="O22" s="237">
        <f t="shared" si="12"/>
        <v>1801040398</v>
      </c>
      <c r="P22" s="237"/>
      <c r="Q22" s="237">
        <v>811040398</v>
      </c>
      <c r="R22" s="237">
        <v>990000000</v>
      </c>
      <c r="S22" s="698">
        <f t="shared" si="3"/>
        <v>0.82284720122473975</v>
      </c>
      <c r="T22" s="698">
        <f t="shared" si="3"/>
        <v>0.95876525638526033</v>
      </c>
      <c r="U22" s="699">
        <f t="shared" si="4"/>
        <v>0.59322806258234517</v>
      </c>
      <c r="V22" s="699"/>
      <c r="W22" s="699">
        <f t="shared" si="5"/>
        <v>0.59322806258234517</v>
      </c>
      <c r="X22" s="699"/>
      <c r="Y22" s="699">
        <f t="shared" si="6"/>
        <v>21.920010756756756</v>
      </c>
      <c r="Z22" s="699">
        <f t="shared" si="7"/>
        <v>0.33011003667889294</v>
      </c>
    </row>
    <row r="23" spans="1:26" s="361" customFormat="1" ht="18.75">
      <c r="A23" s="696" t="s">
        <v>857</v>
      </c>
      <c r="B23" s="697" t="s">
        <v>286</v>
      </c>
      <c r="C23" s="237">
        <f t="shared" si="8"/>
        <v>7896000000</v>
      </c>
      <c r="D23" s="237">
        <v>4803000000</v>
      </c>
      <c r="E23" s="237">
        <f t="shared" si="9"/>
        <v>3093000000</v>
      </c>
      <c r="F23" s="237"/>
      <c r="G23" s="237">
        <f t="shared" si="10"/>
        <v>3093000000</v>
      </c>
      <c r="H23" s="237"/>
      <c r="I23" s="237">
        <v>196000000</v>
      </c>
      <c r="J23" s="237">
        <v>2897000000</v>
      </c>
      <c r="K23" s="237">
        <f t="shared" si="11"/>
        <v>6885764700</v>
      </c>
      <c r="L23" s="237">
        <v>4624495300</v>
      </c>
      <c r="M23" s="237">
        <f t="shared" si="13"/>
        <v>2261269400</v>
      </c>
      <c r="N23" s="237"/>
      <c r="O23" s="237">
        <f t="shared" si="12"/>
        <v>2261269400</v>
      </c>
      <c r="P23" s="237"/>
      <c r="Q23" s="237">
        <v>1083269400</v>
      </c>
      <c r="R23" s="237">
        <v>1178000000</v>
      </c>
      <c r="S23" s="698">
        <f t="shared" si="3"/>
        <v>0.87205733282674769</v>
      </c>
      <c r="T23" s="698">
        <f t="shared" si="3"/>
        <v>0.96283474911513633</v>
      </c>
      <c r="U23" s="699">
        <f t="shared" si="4"/>
        <v>0.73109259618493372</v>
      </c>
      <c r="V23" s="699"/>
      <c r="W23" s="699">
        <f t="shared" si="5"/>
        <v>0.73109259618493372</v>
      </c>
      <c r="X23" s="699"/>
      <c r="Y23" s="699">
        <f t="shared" si="6"/>
        <v>5.5268846938775509</v>
      </c>
      <c r="Z23" s="699">
        <f t="shared" si="7"/>
        <v>0.4066275457369693</v>
      </c>
    </row>
    <row r="24" spans="1:26" s="361" customFormat="1" ht="18.75">
      <c r="A24" s="696" t="s">
        <v>858</v>
      </c>
      <c r="B24" s="697" t="s">
        <v>287</v>
      </c>
      <c r="C24" s="237">
        <f t="shared" si="8"/>
        <v>7799000000</v>
      </c>
      <c r="D24" s="237">
        <v>4464000000</v>
      </c>
      <c r="E24" s="237">
        <f t="shared" si="9"/>
        <v>3335000000</v>
      </c>
      <c r="F24" s="237"/>
      <c r="G24" s="237">
        <f t="shared" si="10"/>
        <v>3335000000</v>
      </c>
      <c r="H24" s="237"/>
      <c r="I24" s="237">
        <v>499000000</v>
      </c>
      <c r="J24" s="237">
        <v>2836000000</v>
      </c>
      <c r="K24" s="237">
        <f t="shared" si="11"/>
        <v>6706605460</v>
      </c>
      <c r="L24" s="237">
        <v>4314920000</v>
      </c>
      <c r="M24" s="237">
        <f t="shared" si="13"/>
        <v>2391685460</v>
      </c>
      <c r="N24" s="237"/>
      <c r="O24" s="237">
        <f t="shared" si="12"/>
        <v>2391685460</v>
      </c>
      <c r="P24" s="237"/>
      <c r="Q24" s="237">
        <v>1308685460</v>
      </c>
      <c r="R24" s="237">
        <v>1083000000</v>
      </c>
      <c r="S24" s="698">
        <f t="shared" si="3"/>
        <v>0.85993146044364666</v>
      </c>
      <c r="T24" s="698">
        <f t="shared" si="3"/>
        <v>0.96660394265232974</v>
      </c>
      <c r="U24" s="699">
        <f t="shared" si="4"/>
        <v>0.7171470644677661</v>
      </c>
      <c r="V24" s="699"/>
      <c r="W24" s="699">
        <f t="shared" si="5"/>
        <v>0.7171470644677661</v>
      </c>
      <c r="X24" s="699"/>
      <c r="Y24" s="699">
        <f t="shared" si="6"/>
        <v>2.6226161523046092</v>
      </c>
      <c r="Z24" s="699">
        <f t="shared" si="7"/>
        <v>0.38187588152327223</v>
      </c>
    </row>
    <row r="25" spans="1:26" s="361" customFormat="1" ht="18.75">
      <c r="A25" s="696" t="s">
        <v>859</v>
      </c>
      <c r="B25" s="697" t="s">
        <v>288</v>
      </c>
      <c r="C25" s="237">
        <f t="shared" si="8"/>
        <v>7264000000</v>
      </c>
      <c r="D25" s="237">
        <v>4343000000</v>
      </c>
      <c r="E25" s="237">
        <f t="shared" si="9"/>
        <v>2921000000</v>
      </c>
      <c r="F25" s="237"/>
      <c r="G25" s="237">
        <f t="shared" si="10"/>
        <v>2921000000</v>
      </c>
      <c r="H25" s="237"/>
      <c r="I25" s="237"/>
      <c r="J25" s="237">
        <v>2921000000</v>
      </c>
      <c r="K25" s="237">
        <f t="shared" si="11"/>
        <v>5981467568</v>
      </c>
      <c r="L25" s="237">
        <v>4189967500</v>
      </c>
      <c r="M25" s="237">
        <f t="shared" si="13"/>
        <v>1791500068</v>
      </c>
      <c r="N25" s="237"/>
      <c r="O25" s="237">
        <f t="shared" si="12"/>
        <v>1791500068</v>
      </c>
      <c r="P25" s="237"/>
      <c r="Q25" s="237">
        <v>671500068</v>
      </c>
      <c r="R25" s="237">
        <v>1120000000</v>
      </c>
      <c r="S25" s="698">
        <f t="shared" si="3"/>
        <v>0.82343991850220266</v>
      </c>
      <c r="T25" s="698">
        <f t="shared" si="3"/>
        <v>0.96476341238775043</v>
      </c>
      <c r="U25" s="699">
        <f t="shared" si="4"/>
        <v>0.61331738034919547</v>
      </c>
      <c r="V25" s="699"/>
      <c r="W25" s="699">
        <f t="shared" si="5"/>
        <v>0.61331738034919547</v>
      </c>
      <c r="X25" s="699"/>
      <c r="Y25" s="699"/>
      <c r="Z25" s="699">
        <f t="shared" si="7"/>
        <v>0.38343033207805544</v>
      </c>
    </row>
    <row r="26" spans="1:26" s="361" customFormat="1" ht="18.75">
      <c r="A26" s="696" t="s">
        <v>860</v>
      </c>
      <c r="B26" s="697" t="s">
        <v>289</v>
      </c>
      <c r="C26" s="237">
        <f t="shared" si="8"/>
        <v>7228000000</v>
      </c>
      <c r="D26" s="237">
        <v>4213000000</v>
      </c>
      <c r="E26" s="237">
        <f t="shared" si="9"/>
        <v>3015000000</v>
      </c>
      <c r="F26" s="237"/>
      <c r="G26" s="237">
        <f t="shared" si="10"/>
        <v>3015000000</v>
      </c>
      <c r="H26" s="237"/>
      <c r="I26" s="237">
        <v>73000000</v>
      </c>
      <c r="J26" s="237">
        <v>2942000000</v>
      </c>
      <c r="K26" s="237">
        <f t="shared" si="11"/>
        <v>5790240969</v>
      </c>
      <c r="L26" s="237">
        <v>4048911400</v>
      </c>
      <c r="M26" s="237">
        <f t="shared" si="13"/>
        <v>1741329569</v>
      </c>
      <c r="N26" s="237"/>
      <c r="O26" s="237">
        <f t="shared" si="12"/>
        <v>1741329569</v>
      </c>
      <c r="P26" s="237"/>
      <c r="Q26" s="237">
        <v>731329569</v>
      </c>
      <c r="R26" s="237">
        <v>1010000000</v>
      </c>
      <c r="S26" s="698">
        <f t="shared" si="3"/>
        <v>0.80108480478693966</v>
      </c>
      <c r="T26" s="698">
        <f t="shared" si="3"/>
        <v>0.96105183954426776</v>
      </c>
      <c r="U26" s="699">
        <f t="shared" si="4"/>
        <v>0.5775554126036484</v>
      </c>
      <c r="V26" s="699"/>
      <c r="W26" s="699">
        <f t="shared" si="5"/>
        <v>0.5775554126036484</v>
      </c>
      <c r="X26" s="699"/>
      <c r="Y26" s="699">
        <f t="shared" si="6"/>
        <v>10.018213273972602</v>
      </c>
      <c r="Z26" s="699">
        <f t="shared" si="7"/>
        <v>0.34330387491502379</v>
      </c>
    </row>
    <row r="27" spans="1:26" s="361" customFormat="1" ht="18.75">
      <c r="A27" s="696" t="s">
        <v>861</v>
      </c>
      <c r="B27" s="697" t="s">
        <v>290</v>
      </c>
      <c r="C27" s="237">
        <f t="shared" si="8"/>
        <v>7335000000</v>
      </c>
      <c r="D27" s="237">
        <v>4472000000</v>
      </c>
      <c r="E27" s="237">
        <f t="shared" si="9"/>
        <v>2863000000</v>
      </c>
      <c r="F27" s="237"/>
      <c r="G27" s="237">
        <f t="shared" si="10"/>
        <v>2863000000</v>
      </c>
      <c r="H27" s="237"/>
      <c r="I27" s="237">
        <v>36000000</v>
      </c>
      <c r="J27" s="237">
        <v>2827000000</v>
      </c>
      <c r="K27" s="237">
        <f t="shared" si="11"/>
        <v>6038160910</v>
      </c>
      <c r="L27" s="237">
        <v>4327514578</v>
      </c>
      <c r="M27" s="237">
        <f t="shared" si="13"/>
        <v>1710646332</v>
      </c>
      <c r="N27" s="237"/>
      <c r="O27" s="237">
        <f t="shared" si="12"/>
        <v>1710646332</v>
      </c>
      <c r="P27" s="237"/>
      <c r="Q27" s="237">
        <v>661646332</v>
      </c>
      <c r="R27" s="237">
        <v>1049000000</v>
      </c>
      <c r="S27" s="698">
        <f t="shared" si="3"/>
        <v>0.82319848807089302</v>
      </c>
      <c r="T27" s="698">
        <f t="shared" si="3"/>
        <v>0.96769109525939179</v>
      </c>
      <c r="U27" s="699">
        <f t="shared" si="4"/>
        <v>0.59750133845616482</v>
      </c>
      <c r="V27" s="699"/>
      <c r="W27" s="699">
        <f t="shared" si="5"/>
        <v>0.59750133845616482</v>
      </c>
      <c r="X27" s="699"/>
      <c r="Y27" s="699">
        <f t="shared" si="6"/>
        <v>18.379064777777778</v>
      </c>
      <c r="Z27" s="699">
        <f t="shared" si="7"/>
        <v>0.37106473293243719</v>
      </c>
    </row>
    <row r="28" spans="1:26" s="361" customFormat="1" ht="18.75">
      <c r="A28" s="696" t="s">
        <v>862</v>
      </c>
      <c r="B28" s="697" t="s">
        <v>863</v>
      </c>
      <c r="C28" s="237">
        <f t="shared" si="8"/>
        <v>7405000000</v>
      </c>
      <c r="D28" s="237">
        <v>4458000000</v>
      </c>
      <c r="E28" s="237">
        <f t="shared" si="9"/>
        <v>2947000000</v>
      </c>
      <c r="F28" s="237"/>
      <c r="G28" s="237">
        <f t="shared" si="10"/>
        <v>2947000000</v>
      </c>
      <c r="H28" s="237"/>
      <c r="I28" s="237">
        <v>153000000</v>
      </c>
      <c r="J28" s="237">
        <v>2794000000</v>
      </c>
      <c r="K28" s="237">
        <f t="shared" si="11"/>
        <v>6264399910</v>
      </c>
      <c r="L28" s="237">
        <v>4132701990</v>
      </c>
      <c r="M28" s="237">
        <f t="shared" si="13"/>
        <v>2131697920</v>
      </c>
      <c r="N28" s="237"/>
      <c r="O28" s="237">
        <f t="shared" si="12"/>
        <v>2131697920</v>
      </c>
      <c r="P28" s="237"/>
      <c r="Q28" s="237">
        <v>1147697920</v>
      </c>
      <c r="R28" s="237">
        <v>984000000</v>
      </c>
      <c r="S28" s="698">
        <f t="shared" si="3"/>
        <v>0.84596892775151922</v>
      </c>
      <c r="T28" s="698">
        <f t="shared" si="3"/>
        <v>0.92703050471063253</v>
      </c>
      <c r="U28" s="699">
        <f t="shared" si="4"/>
        <v>0.72334506956226674</v>
      </c>
      <c r="V28" s="699"/>
      <c r="W28" s="699">
        <f t="shared" si="5"/>
        <v>0.72334506956226674</v>
      </c>
      <c r="X28" s="699"/>
      <c r="Y28" s="699">
        <f t="shared" si="6"/>
        <v>7.5012935947712416</v>
      </c>
      <c r="Z28" s="699">
        <f t="shared" si="7"/>
        <v>0.3521832498210451</v>
      </c>
    </row>
    <row r="29" spans="1:26" s="361" customFormat="1" ht="18.75">
      <c r="A29" s="696" t="s">
        <v>864</v>
      </c>
      <c r="B29" s="697" t="s">
        <v>291</v>
      </c>
      <c r="C29" s="237">
        <f t="shared" si="8"/>
        <v>7815000000</v>
      </c>
      <c r="D29" s="237">
        <v>4730000000</v>
      </c>
      <c r="E29" s="237">
        <f t="shared" si="9"/>
        <v>3085000000</v>
      </c>
      <c r="F29" s="237"/>
      <c r="G29" s="237">
        <f t="shared" si="10"/>
        <v>3085000000</v>
      </c>
      <c r="H29" s="237"/>
      <c r="I29" s="237">
        <v>49000000</v>
      </c>
      <c r="J29" s="237">
        <v>3036000000</v>
      </c>
      <c r="K29" s="237">
        <f t="shared" si="11"/>
        <v>6066552140</v>
      </c>
      <c r="L29" s="237">
        <v>4558582000</v>
      </c>
      <c r="M29" s="237">
        <f t="shared" si="13"/>
        <v>1507970140</v>
      </c>
      <c r="N29" s="237"/>
      <c r="O29" s="237">
        <f t="shared" si="12"/>
        <v>1507970140</v>
      </c>
      <c r="P29" s="237"/>
      <c r="Q29" s="237">
        <v>648970140</v>
      </c>
      <c r="R29" s="237">
        <v>859000000</v>
      </c>
      <c r="S29" s="698">
        <f t="shared" si="3"/>
        <v>0.77627026743442096</v>
      </c>
      <c r="T29" s="698">
        <f t="shared" si="3"/>
        <v>0.96375940803382665</v>
      </c>
      <c r="U29" s="699">
        <f t="shared" si="4"/>
        <v>0.48880717666126416</v>
      </c>
      <c r="V29" s="699"/>
      <c r="W29" s="699">
        <f t="shared" si="5"/>
        <v>0.48880717666126416</v>
      </c>
      <c r="X29" s="699"/>
      <c r="Y29" s="699">
        <f t="shared" si="6"/>
        <v>13.244288571428571</v>
      </c>
      <c r="Z29" s="699">
        <f t="shared" si="7"/>
        <v>0.28293807641633728</v>
      </c>
    </row>
    <row r="30" spans="1:26" s="361" customFormat="1" ht="18.75">
      <c r="A30" s="696" t="s">
        <v>865</v>
      </c>
      <c r="B30" s="697" t="s">
        <v>292</v>
      </c>
      <c r="C30" s="237">
        <f t="shared" si="8"/>
        <v>7066000000</v>
      </c>
      <c r="D30" s="237">
        <v>3963000000</v>
      </c>
      <c r="E30" s="237">
        <f t="shared" si="9"/>
        <v>3103000000</v>
      </c>
      <c r="F30" s="237"/>
      <c r="G30" s="237">
        <f t="shared" si="10"/>
        <v>3103000000</v>
      </c>
      <c r="H30" s="237"/>
      <c r="I30" s="237">
        <v>168000000</v>
      </c>
      <c r="J30" s="237">
        <v>2935000000</v>
      </c>
      <c r="K30" s="237">
        <f t="shared" si="11"/>
        <v>5441958680</v>
      </c>
      <c r="L30" s="237">
        <v>3793287480</v>
      </c>
      <c r="M30" s="237">
        <f t="shared" si="13"/>
        <v>1648671200</v>
      </c>
      <c r="N30" s="237"/>
      <c r="O30" s="237">
        <f t="shared" si="12"/>
        <v>1648671200</v>
      </c>
      <c r="P30" s="237"/>
      <c r="Q30" s="237">
        <v>828671200</v>
      </c>
      <c r="R30" s="237">
        <v>820000000</v>
      </c>
      <c r="S30" s="698">
        <f t="shared" ref="S30:T33" si="14">K30/C30</f>
        <v>0.77016114916501555</v>
      </c>
      <c r="T30" s="698">
        <f t="shared" si="14"/>
        <v>0.95717574564723695</v>
      </c>
      <c r="U30" s="699">
        <f t="shared" si="4"/>
        <v>0.53131524331292301</v>
      </c>
      <c r="V30" s="699"/>
      <c r="W30" s="699">
        <f t="shared" si="5"/>
        <v>0.53131524331292301</v>
      </c>
      <c r="X30" s="699"/>
      <c r="Y30" s="699">
        <f t="shared" si="6"/>
        <v>4.9325666666666663</v>
      </c>
      <c r="Z30" s="699">
        <f t="shared" si="7"/>
        <v>0.27938671209540034</v>
      </c>
    </row>
    <row r="31" spans="1:26" s="361" customFormat="1" ht="18.75">
      <c r="A31" s="696" t="s">
        <v>866</v>
      </c>
      <c r="B31" s="697" t="s">
        <v>867</v>
      </c>
      <c r="C31" s="237">
        <f t="shared" si="8"/>
        <v>7402000000</v>
      </c>
      <c r="D31" s="237">
        <v>4523000000</v>
      </c>
      <c r="E31" s="237">
        <f t="shared" si="9"/>
        <v>2879000000</v>
      </c>
      <c r="F31" s="237"/>
      <c r="G31" s="237">
        <f t="shared" si="10"/>
        <v>2879000000</v>
      </c>
      <c r="H31" s="237"/>
      <c r="I31" s="237">
        <v>101000000</v>
      </c>
      <c r="J31" s="237">
        <v>2778000000</v>
      </c>
      <c r="K31" s="237">
        <f t="shared" si="11"/>
        <v>5855317054</v>
      </c>
      <c r="L31" s="237">
        <v>4354470000</v>
      </c>
      <c r="M31" s="237">
        <f t="shared" si="13"/>
        <v>1500847054</v>
      </c>
      <c r="N31" s="237"/>
      <c r="O31" s="237">
        <f t="shared" si="12"/>
        <v>1500847054</v>
      </c>
      <c r="P31" s="237"/>
      <c r="Q31" s="237">
        <v>764847054</v>
      </c>
      <c r="R31" s="237">
        <v>736000000</v>
      </c>
      <c r="S31" s="698">
        <f t="shared" si="14"/>
        <v>0.79104526533369357</v>
      </c>
      <c r="T31" s="698">
        <f t="shared" si="14"/>
        <v>0.96273933230156972</v>
      </c>
      <c r="U31" s="699">
        <f t="shared" si="4"/>
        <v>0.5213084591872178</v>
      </c>
      <c r="V31" s="699"/>
      <c r="W31" s="699">
        <f t="shared" si="5"/>
        <v>0.5213084591872178</v>
      </c>
      <c r="X31" s="699"/>
      <c r="Y31" s="699">
        <f t="shared" si="6"/>
        <v>7.572743108910891</v>
      </c>
      <c r="Z31" s="699">
        <f t="shared" si="7"/>
        <v>0.26493880489560834</v>
      </c>
    </row>
    <row r="32" spans="1:26" s="361" customFormat="1" ht="18.75">
      <c r="A32" s="696" t="s">
        <v>868</v>
      </c>
      <c r="B32" s="697" t="s">
        <v>293</v>
      </c>
      <c r="C32" s="237">
        <f t="shared" si="8"/>
        <v>8312000000</v>
      </c>
      <c r="D32" s="237">
        <v>5157000000</v>
      </c>
      <c r="E32" s="237">
        <f t="shared" si="9"/>
        <v>3155000000</v>
      </c>
      <c r="F32" s="237"/>
      <c r="G32" s="237">
        <f t="shared" si="10"/>
        <v>3155000000</v>
      </c>
      <c r="H32" s="237"/>
      <c r="I32" s="237">
        <v>302000000</v>
      </c>
      <c r="J32" s="237">
        <v>2853000000</v>
      </c>
      <c r="K32" s="237">
        <f t="shared" si="11"/>
        <v>7550205516</v>
      </c>
      <c r="L32" s="237">
        <v>4907877000</v>
      </c>
      <c r="M32" s="237">
        <f t="shared" si="13"/>
        <v>2642328516</v>
      </c>
      <c r="N32" s="237"/>
      <c r="O32" s="237">
        <f t="shared" si="12"/>
        <v>2642328516</v>
      </c>
      <c r="P32" s="237"/>
      <c r="Q32" s="237">
        <v>1221328516</v>
      </c>
      <c r="R32" s="237">
        <v>1421000000</v>
      </c>
      <c r="S32" s="698">
        <f t="shared" si="14"/>
        <v>0.90835003801732439</v>
      </c>
      <c r="T32" s="698">
        <f t="shared" si="14"/>
        <v>0.9516922629435719</v>
      </c>
      <c r="U32" s="699">
        <f t="shared" si="4"/>
        <v>0.83750507638668781</v>
      </c>
      <c r="V32" s="699"/>
      <c r="W32" s="699">
        <f t="shared" si="5"/>
        <v>0.83750507638668781</v>
      </c>
      <c r="X32" s="699"/>
      <c r="Y32" s="699">
        <f t="shared" si="6"/>
        <v>4.0441341589403974</v>
      </c>
      <c r="Z32" s="699">
        <f t="shared" si="7"/>
        <v>0.49807220469681035</v>
      </c>
    </row>
    <row r="33" spans="1:26" s="350" customFormat="1">
      <c r="A33" s="700" t="s">
        <v>869</v>
      </c>
      <c r="B33" s="701" t="s">
        <v>870</v>
      </c>
      <c r="C33" s="241">
        <f t="shared" si="8"/>
        <v>7374000000</v>
      </c>
      <c r="D33" s="241">
        <v>4388000000</v>
      </c>
      <c r="E33" s="241">
        <f t="shared" si="9"/>
        <v>2986000000</v>
      </c>
      <c r="F33" s="241"/>
      <c r="G33" s="241">
        <f t="shared" si="10"/>
        <v>2986000000</v>
      </c>
      <c r="H33" s="241"/>
      <c r="I33" s="241">
        <v>203000000</v>
      </c>
      <c r="J33" s="241">
        <v>2783000000</v>
      </c>
      <c r="K33" s="241">
        <f t="shared" si="11"/>
        <v>6502585968</v>
      </c>
      <c r="L33" s="241">
        <v>4208048200</v>
      </c>
      <c r="M33" s="241">
        <f t="shared" si="13"/>
        <v>2294537768</v>
      </c>
      <c r="N33" s="241"/>
      <c r="O33" s="241">
        <f t="shared" si="12"/>
        <v>2294537768</v>
      </c>
      <c r="P33" s="241"/>
      <c r="Q33" s="241">
        <v>1054537768</v>
      </c>
      <c r="R33" s="241">
        <v>1240000000</v>
      </c>
      <c r="S33" s="702">
        <f t="shared" si="14"/>
        <v>0.88182614157851913</v>
      </c>
      <c r="T33" s="702">
        <f t="shared" si="14"/>
        <v>0.95899001823154062</v>
      </c>
      <c r="U33" s="703">
        <f t="shared" si="4"/>
        <v>0.76843193837910251</v>
      </c>
      <c r="V33" s="703"/>
      <c r="W33" s="703">
        <f t="shared" si="5"/>
        <v>0.76843193837910251</v>
      </c>
      <c r="X33" s="703"/>
      <c r="Y33" s="703">
        <f t="shared" si="6"/>
        <v>5.1947673300492614</v>
      </c>
      <c r="Z33" s="703">
        <f t="shared" si="7"/>
        <v>0.44556234279554435</v>
      </c>
    </row>
    <row r="34" spans="1:26" s="135" customFormat="1" ht="18.75">
      <c r="A34" s="136"/>
      <c r="B34" s="137"/>
      <c r="C34" s="134"/>
      <c r="D34" s="134"/>
      <c r="E34" s="134"/>
      <c r="F34" s="134"/>
      <c r="G34" s="134"/>
      <c r="H34" s="134"/>
      <c r="I34" s="134"/>
      <c r="J34" s="134"/>
      <c r="K34" s="134"/>
      <c r="L34" s="134"/>
      <c r="M34" s="134"/>
      <c r="N34" s="134"/>
      <c r="O34" s="134"/>
      <c r="P34" s="134"/>
      <c r="Q34" s="5"/>
      <c r="R34" s="5"/>
      <c r="S34" s="134"/>
      <c r="T34" s="134"/>
      <c r="U34" s="134"/>
      <c r="V34" s="134"/>
      <c r="W34" s="134"/>
      <c r="X34" s="134"/>
      <c r="Y34" s="134"/>
      <c r="Z34" s="134"/>
    </row>
    <row r="35" spans="1:26" ht="18.7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8.7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8.7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8.7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8.7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8.7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8.7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8.7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8.7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22.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8.7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8.7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8.7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8.75">
      <c r="A48" s="5"/>
      <c r="B48" s="5"/>
      <c r="C48" s="5"/>
      <c r="D48" s="5"/>
      <c r="E48" s="5"/>
      <c r="F48" s="5"/>
      <c r="G48" s="5"/>
      <c r="H48" s="5"/>
      <c r="I48" s="5"/>
      <c r="J48" s="5"/>
      <c r="K48" s="5"/>
      <c r="L48" s="5"/>
      <c r="M48" s="5"/>
      <c r="N48" s="5"/>
      <c r="O48" s="5"/>
      <c r="P48" s="5"/>
      <c r="Q48" s="5"/>
      <c r="R48" s="5"/>
      <c r="S48" s="5"/>
      <c r="T48" s="5"/>
      <c r="U48" s="5"/>
      <c r="V48" s="5"/>
      <c r="W48" s="5"/>
      <c r="X48" s="5"/>
      <c r="Y48" s="5"/>
      <c r="Z48" s="5"/>
    </row>
  </sheetData>
  <mergeCells count="37">
    <mergeCell ref="X7:X12"/>
    <mergeCell ref="Y7:Y12"/>
    <mergeCell ref="N7:O7"/>
    <mergeCell ref="P7:P12"/>
    <mergeCell ref="A3:Z3"/>
    <mergeCell ref="U6:Z6"/>
    <mergeCell ref="M6:R6"/>
    <mergeCell ref="V8:V12"/>
    <mergeCell ref="Q7:Q12"/>
    <mergeCell ref="R7:R12"/>
    <mergeCell ref="D6:D12"/>
    <mergeCell ref="E6:J6"/>
    <mergeCell ref="K6:K12"/>
    <mergeCell ref="L6:L12"/>
    <mergeCell ref="U7:U12"/>
    <mergeCell ref="F8:F12"/>
    <mergeCell ref="A2:Z2"/>
    <mergeCell ref="E7:E12"/>
    <mergeCell ref="F7:G7"/>
    <mergeCell ref="M7:M12"/>
    <mergeCell ref="Z7:Z12"/>
    <mergeCell ref="A5:A12"/>
    <mergeCell ref="B5:B12"/>
    <mergeCell ref="C5:J5"/>
    <mergeCell ref="K5:R5"/>
    <mergeCell ref="T6:T12"/>
    <mergeCell ref="S5:Z5"/>
    <mergeCell ref="W8:W12"/>
    <mergeCell ref="S6:S12"/>
    <mergeCell ref="N8:N12"/>
    <mergeCell ref="O8:O12"/>
    <mergeCell ref="C6:C12"/>
    <mergeCell ref="G8:G12"/>
    <mergeCell ref="V7:W7"/>
    <mergeCell ref="H7:H12"/>
    <mergeCell ref="I7:I12"/>
    <mergeCell ref="J7:J12"/>
  </mergeCells>
  <pageMargins left="0.27559055118110198" right="0.196850393700787" top="0.52559055099999996" bottom="0.74803149606299202" header="0.196850393700787" footer="0.31496062992126"/>
  <pageSetup paperSize="9" scale="55" fitToHeight="0" orientation="landscape"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FFFF00"/>
    <pageSetUpPr fitToPage="1"/>
  </sheetPr>
  <dimension ref="A1:K30"/>
  <sheetViews>
    <sheetView view="pageBreakPreview" zoomScale="115" zoomScaleNormal="100" zoomScaleSheetLayoutView="115" workbookViewId="0">
      <selection activeCell="J16" sqref="J16"/>
    </sheetView>
  </sheetViews>
  <sheetFormatPr defaultColWidth="9" defaultRowHeight="15.75"/>
  <cols>
    <col min="1" max="1" width="5.5" style="58" customWidth="1"/>
    <col min="2" max="2" width="18.25" style="58" customWidth="1"/>
    <col min="3" max="3" width="16.5" style="58" customWidth="1"/>
    <col min="4" max="4" width="16.625" style="58" customWidth="1"/>
    <col min="5" max="5" width="19.875" style="58" customWidth="1"/>
    <col min="6" max="6" width="20.375" style="58" customWidth="1"/>
    <col min="7" max="7" width="22" style="58" customWidth="1"/>
    <col min="8" max="8" width="11" style="58" customWidth="1"/>
    <col min="9" max="9" width="16.125" style="58" customWidth="1"/>
    <col min="10" max="16384" width="9" style="58"/>
  </cols>
  <sheetData>
    <row r="1" spans="1:11" ht="18" customHeight="1">
      <c r="A1" s="55"/>
      <c r="B1" s="55"/>
      <c r="C1" s="56"/>
      <c r="D1" s="56"/>
      <c r="E1" s="56"/>
      <c r="F1" s="56"/>
      <c r="G1" s="56"/>
      <c r="H1" s="128" t="s">
        <v>213</v>
      </c>
      <c r="I1" s="57"/>
    </row>
    <row r="2" spans="1:11" ht="20.25">
      <c r="A2" s="1050" t="s">
        <v>842</v>
      </c>
      <c r="B2" s="1050"/>
      <c r="C2" s="1050"/>
      <c r="D2" s="1050"/>
      <c r="E2" s="1050"/>
      <c r="F2" s="1050"/>
      <c r="G2" s="1050"/>
      <c r="H2" s="1050"/>
      <c r="I2" s="59"/>
    </row>
    <row r="3" spans="1:11" ht="19.5" customHeight="1">
      <c r="A3" s="1051" t="str">
        <f>'B48'!A3</f>
        <v>(Kèm theo Báo cáo số  289/BC-UBND ngày  17 /6 /2024 của UBND huyện Tuần Giáo)</v>
      </c>
      <c r="B3" s="1051"/>
      <c r="C3" s="1051"/>
      <c r="D3" s="1051"/>
      <c r="E3" s="1051"/>
      <c r="F3" s="1051"/>
      <c r="G3" s="1051"/>
      <c r="H3" s="1051"/>
      <c r="I3" s="56"/>
    </row>
    <row r="4" spans="1:11" ht="18.75">
      <c r="A4" s="60"/>
      <c r="B4" s="60"/>
      <c r="C4" s="120"/>
      <c r="D4" s="120"/>
      <c r="E4" s="120"/>
      <c r="F4" s="120"/>
      <c r="G4" s="120"/>
      <c r="H4" s="79" t="s">
        <v>201</v>
      </c>
      <c r="I4" s="81"/>
    </row>
    <row r="5" spans="1:11" s="176" customFormat="1" ht="16.5">
      <c r="A5" s="1052" t="s">
        <v>51</v>
      </c>
      <c r="B5" s="1053" t="s">
        <v>294</v>
      </c>
      <c r="C5" s="1052" t="s">
        <v>214</v>
      </c>
      <c r="D5" s="1052" t="s">
        <v>23</v>
      </c>
      <c r="E5" s="1052"/>
      <c r="F5" s="1052"/>
      <c r="G5" s="1052"/>
      <c r="H5" s="1052"/>
      <c r="I5" s="365"/>
    </row>
    <row r="6" spans="1:11" s="176" customFormat="1" ht="16.5" customHeight="1">
      <c r="A6" s="1053"/>
      <c r="B6" s="1053"/>
      <c r="C6" s="1052"/>
      <c r="D6" s="1052" t="s">
        <v>215</v>
      </c>
      <c r="E6" s="1052" t="s">
        <v>216</v>
      </c>
      <c r="F6" s="1052" t="s">
        <v>295</v>
      </c>
      <c r="G6" s="1052" t="s">
        <v>57</v>
      </c>
      <c r="H6" s="1052" t="s">
        <v>217</v>
      </c>
      <c r="I6" s="366"/>
    </row>
    <row r="7" spans="1:11" s="176" customFormat="1" ht="16.5">
      <c r="A7" s="1053"/>
      <c r="B7" s="1053"/>
      <c r="C7" s="1052"/>
      <c r="D7" s="1052"/>
      <c r="E7" s="1052"/>
      <c r="F7" s="1052"/>
      <c r="G7" s="1052"/>
      <c r="H7" s="1052"/>
      <c r="I7" s="366"/>
    </row>
    <row r="8" spans="1:11" s="176" customFormat="1" ht="12.75" customHeight="1">
      <c r="A8" s="1053"/>
      <c r="B8" s="1053"/>
      <c r="C8" s="1052"/>
      <c r="D8" s="1052"/>
      <c r="E8" s="1052"/>
      <c r="F8" s="1052"/>
      <c r="G8" s="1052"/>
      <c r="H8" s="1052"/>
      <c r="I8" s="366"/>
    </row>
    <row r="9" spans="1:11" s="176" customFormat="1" ht="8.25" customHeight="1">
      <c r="A9" s="1053"/>
      <c r="B9" s="1053"/>
      <c r="C9" s="1052"/>
      <c r="D9" s="1052"/>
      <c r="E9" s="1052"/>
      <c r="F9" s="1052"/>
      <c r="G9" s="1052"/>
      <c r="H9" s="1052"/>
      <c r="I9" s="366"/>
    </row>
    <row r="10" spans="1:11" s="138" customFormat="1" ht="14.25" customHeight="1">
      <c r="A10" s="143" t="s">
        <v>3</v>
      </c>
      <c r="B10" s="143" t="s">
        <v>4</v>
      </c>
      <c r="C10" s="143">
        <v>1</v>
      </c>
      <c r="D10" s="143">
        <f>C10+1</f>
        <v>2</v>
      </c>
      <c r="E10" s="143">
        <f>D10+1</f>
        <v>3</v>
      </c>
      <c r="F10" s="143">
        <f>E10+1</f>
        <v>4</v>
      </c>
      <c r="G10" s="143">
        <v>5</v>
      </c>
      <c r="H10" s="143">
        <v>6</v>
      </c>
      <c r="I10" s="367"/>
    </row>
    <row r="11" spans="1:11" s="181" customFormat="1" ht="21" customHeight="1">
      <c r="A11" s="177"/>
      <c r="B11" s="178" t="s">
        <v>21</v>
      </c>
      <c r="C11" s="179">
        <f t="shared" ref="C11:H11" si="0">SUM(C12:C30)</f>
        <v>142264669442</v>
      </c>
      <c r="D11" s="179">
        <f t="shared" si="0"/>
        <v>5495029063</v>
      </c>
      <c r="E11" s="179">
        <f>SUM(E12:E30)</f>
        <v>85389175358</v>
      </c>
      <c r="F11" s="179">
        <f t="shared" si="0"/>
        <v>40222764471</v>
      </c>
      <c r="G11" s="179">
        <f t="shared" si="0"/>
        <v>11157700550</v>
      </c>
      <c r="H11" s="179">
        <f t="shared" si="0"/>
        <v>0</v>
      </c>
      <c r="I11" s="180"/>
    </row>
    <row r="12" spans="1:11" s="184" customFormat="1" ht="18" customHeight="1">
      <c r="A12" s="139" t="s">
        <v>279</v>
      </c>
      <c r="B12" s="140" t="s">
        <v>848</v>
      </c>
      <c r="C12" s="182">
        <f>SUM(D12:G12)</f>
        <v>12300220569</v>
      </c>
      <c r="D12" s="182">
        <f>+'[5]TH Thu 2023'!$D$38</f>
        <v>522738661</v>
      </c>
      <c r="E12" s="182">
        <v>5902261000</v>
      </c>
      <c r="F12" s="182">
        <v>4226792148</v>
      </c>
      <c r="G12" s="182">
        <v>1648428760</v>
      </c>
      <c r="H12" s="182"/>
      <c r="I12" s="183"/>
      <c r="J12" s="183"/>
      <c r="K12" s="183"/>
    </row>
    <row r="13" spans="1:11" s="184" customFormat="1" ht="18" customHeight="1">
      <c r="A13" s="139" t="s">
        <v>280</v>
      </c>
      <c r="B13" s="140" t="s">
        <v>849</v>
      </c>
      <c r="C13" s="182">
        <f t="shared" ref="C13:C30" si="1">SUM(D13:G13)</f>
        <v>6835327584</v>
      </c>
      <c r="D13" s="182">
        <f>'[6]TH Thu 2023'!$E$7</f>
        <v>22383504</v>
      </c>
      <c r="E13" s="182">
        <v>4218456900</v>
      </c>
      <c r="F13" s="182">
        <v>2208003900</v>
      </c>
      <c r="G13" s="182">
        <v>386483280</v>
      </c>
      <c r="H13" s="182"/>
      <c r="I13" s="183"/>
      <c r="J13" s="183"/>
      <c r="K13" s="183"/>
    </row>
    <row r="14" spans="1:11" s="184" customFormat="1" ht="18" customHeight="1">
      <c r="A14" s="139" t="s">
        <v>850</v>
      </c>
      <c r="B14" s="140" t="s">
        <v>281</v>
      </c>
      <c r="C14" s="182">
        <f t="shared" si="1"/>
        <v>6669501533</v>
      </c>
      <c r="D14" s="182">
        <f>'[6]TH Thu 2023'!$F$7</f>
        <v>85243613</v>
      </c>
      <c r="E14" s="182">
        <v>4204893850</v>
      </c>
      <c r="F14" s="182">
        <v>1825630670</v>
      </c>
      <c r="G14" s="182">
        <v>553733400</v>
      </c>
      <c r="H14" s="182"/>
      <c r="I14" s="183"/>
      <c r="J14" s="183"/>
      <c r="K14" s="183"/>
    </row>
    <row r="15" spans="1:11" s="184" customFormat="1" ht="18" customHeight="1">
      <c r="A15" s="139" t="s">
        <v>282</v>
      </c>
      <c r="B15" s="140" t="s">
        <v>283</v>
      </c>
      <c r="C15" s="182">
        <f t="shared" si="1"/>
        <v>9240635444</v>
      </c>
      <c r="D15" s="182">
        <f>'[6]TH Thu 2023'!$G$7</f>
        <v>130757878</v>
      </c>
      <c r="E15" s="182">
        <v>5089415960</v>
      </c>
      <c r="F15" s="182">
        <v>3441477214</v>
      </c>
      <c r="G15" s="182">
        <v>578984392</v>
      </c>
      <c r="H15" s="182"/>
      <c r="I15" s="183"/>
      <c r="J15" s="183"/>
      <c r="K15" s="183"/>
    </row>
    <row r="16" spans="1:11" s="184" customFormat="1" ht="18" customHeight="1">
      <c r="A16" s="139" t="s">
        <v>851</v>
      </c>
      <c r="B16" s="140" t="s">
        <v>852</v>
      </c>
      <c r="C16" s="182">
        <f t="shared" si="1"/>
        <v>6435437675</v>
      </c>
      <c r="D16" s="182">
        <f>'[6]TH Thu 2023'!$H$7</f>
        <v>35326984</v>
      </c>
      <c r="E16" s="182">
        <v>4340864000</v>
      </c>
      <c r="F16" s="182">
        <v>1611516169</v>
      </c>
      <c r="G16" s="182">
        <v>447730522</v>
      </c>
      <c r="H16" s="182"/>
      <c r="I16" s="183"/>
      <c r="J16" s="183"/>
      <c r="K16" s="183"/>
    </row>
    <row r="17" spans="1:11" s="184" customFormat="1" ht="18" customHeight="1">
      <c r="A17" s="139" t="s">
        <v>853</v>
      </c>
      <c r="B17" s="140" t="s">
        <v>854</v>
      </c>
      <c r="C17" s="182">
        <f t="shared" si="1"/>
        <v>10179466774</v>
      </c>
      <c r="D17" s="182">
        <f>'[6]TH Thu 2023'!$I$7</f>
        <v>3838446768</v>
      </c>
      <c r="E17" s="182">
        <v>4434516650</v>
      </c>
      <c r="F17" s="182">
        <v>808800950</v>
      </c>
      <c r="G17" s="182">
        <v>1097702406</v>
      </c>
      <c r="H17" s="182"/>
      <c r="I17" s="183"/>
      <c r="J17" s="183"/>
      <c r="K17" s="183"/>
    </row>
    <row r="18" spans="1:11" s="184" customFormat="1" ht="18" customHeight="1">
      <c r="A18" s="139" t="s">
        <v>855</v>
      </c>
      <c r="B18" s="140" t="s">
        <v>284</v>
      </c>
      <c r="C18" s="182">
        <f t="shared" si="1"/>
        <v>8082648175</v>
      </c>
      <c r="D18" s="182">
        <f>'[6]TH Thu 2023'!$J$7</f>
        <v>55449030</v>
      </c>
      <c r="E18" s="182">
        <v>4820484550</v>
      </c>
      <c r="F18" s="182">
        <v>2677019595</v>
      </c>
      <c r="G18" s="182">
        <v>529695000</v>
      </c>
      <c r="H18" s="182"/>
      <c r="I18" s="183"/>
      <c r="J18" s="183"/>
      <c r="K18" s="183"/>
    </row>
    <row r="19" spans="1:11" s="184" customFormat="1" ht="18" customHeight="1">
      <c r="A19" s="139" t="s">
        <v>856</v>
      </c>
      <c r="B19" s="140" t="s">
        <v>285</v>
      </c>
      <c r="C19" s="182">
        <f t="shared" si="1"/>
        <v>7390876570</v>
      </c>
      <c r="D19" s="182">
        <f>'[6]TH Thu 2023'!$K$7</f>
        <v>152829500</v>
      </c>
      <c r="E19" s="182">
        <v>4917507000</v>
      </c>
      <c r="F19" s="182">
        <v>1801040398</v>
      </c>
      <c r="G19" s="182">
        <v>519499672</v>
      </c>
      <c r="H19" s="182"/>
      <c r="I19" s="183"/>
      <c r="J19" s="183"/>
      <c r="K19" s="183"/>
    </row>
    <row r="20" spans="1:11" s="184" customFormat="1" ht="18" customHeight="1">
      <c r="A20" s="139" t="s">
        <v>857</v>
      </c>
      <c r="B20" s="140" t="s">
        <v>286</v>
      </c>
      <c r="C20" s="182">
        <f t="shared" si="1"/>
        <v>7637665788</v>
      </c>
      <c r="D20" s="182">
        <f>'[6]TH Thu 2023'!$L$7</f>
        <v>178665088</v>
      </c>
      <c r="E20" s="182">
        <v>4624495300</v>
      </c>
      <c r="F20" s="182">
        <v>2261269400</v>
      </c>
      <c r="G20" s="182">
        <v>573236000</v>
      </c>
      <c r="H20" s="182"/>
      <c r="I20" s="183"/>
      <c r="J20" s="183"/>
      <c r="K20" s="183"/>
    </row>
    <row r="21" spans="1:11" s="184" customFormat="1" ht="18" customHeight="1">
      <c r="A21" s="139" t="s">
        <v>858</v>
      </c>
      <c r="B21" s="140" t="s">
        <v>287</v>
      </c>
      <c r="C21" s="182">
        <f t="shared" si="1"/>
        <v>7382676281</v>
      </c>
      <c r="D21" s="182">
        <f>'[6]TH Thu 2023'!$M$7</f>
        <v>4138000</v>
      </c>
      <c r="E21" s="182">
        <v>4314920000</v>
      </c>
      <c r="F21" s="182">
        <v>2391685460</v>
      </c>
      <c r="G21" s="182">
        <v>671932821</v>
      </c>
      <c r="H21" s="182"/>
      <c r="I21" s="183"/>
      <c r="J21" s="183"/>
      <c r="K21" s="183"/>
    </row>
    <row r="22" spans="1:11" s="184" customFormat="1" ht="18" customHeight="1">
      <c r="A22" s="139" t="s">
        <v>859</v>
      </c>
      <c r="B22" s="140" t="s">
        <v>288</v>
      </c>
      <c r="C22" s="182">
        <f t="shared" si="1"/>
        <v>6443409716</v>
      </c>
      <c r="D22" s="182">
        <f>'[6]TH Thu 2023'!$N$7</f>
        <v>28099000</v>
      </c>
      <c r="E22" s="182">
        <v>4189967500</v>
      </c>
      <c r="F22" s="182">
        <v>1791500068</v>
      </c>
      <c r="G22" s="182">
        <v>433843148</v>
      </c>
      <c r="H22" s="182"/>
      <c r="I22" s="183"/>
      <c r="J22" s="183"/>
      <c r="K22" s="183"/>
    </row>
    <row r="23" spans="1:11" s="184" customFormat="1" ht="18" customHeight="1">
      <c r="A23" s="139" t="s">
        <v>860</v>
      </c>
      <c r="B23" s="140" t="s">
        <v>289</v>
      </c>
      <c r="C23" s="182">
        <f t="shared" si="1"/>
        <v>6253668969</v>
      </c>
      <c r="D23" s="182">
        <f>'[6]TH Thu 2023'!$O$7</f>
        <v>21777000</v>
      </c>
      <c r="E23" s="182">
        <v>4048911400</v>
      </c>
      <c r="F23" s="182">
        <v>1741329569</v>
      </c>
      <c r="G23" s="182">
        <v>441651000</v>
      </c>
      <c r="H23" s="182"/>
      <c r="I23" s="183"/>
      <c r="J23" s="183"/>
      <c r="K23" s="183"/>
    </row>
    <row r="24" spans="1:11" s="184" customFormat="1" ht="18" customHeight="1">
      <c r="A24" s="139" t="s">
        <v>861</v>
      </c>
      <c r="B24" s="140" t="s">
        <v>290</v>
      </c>
      <c r="C24" s="182">
        <f t="shared" si="1"/>
        <v>6482644415</v>
      </c>
      <c r="D24" s="182">
        <f>'[6]TH Thu 2023'!$P$7</f>
        <v>16148000</v>
      </c>
      <c r="E24" s="182">
        <v>4327514578</v>
      </c>
      <c r="F24" s="182">
        <v>1710646332</v>
      </c>
      <c r="G24" s="182">
        <v>428335505</v>
      </c>
      <c r="H24" s="182"/>
      <c r="I24" s="183"/>
      <c r="J24" s="183"/>
      <c r="K24" s="183"/>
    </row>
    <row r="25" spans="1:11" s="184" customFormat="1" ht="18" customHeight="1">
      <c r="A25" s="139" t="s">
        <v>862</v>
      </c>
      <c r="B25" s="140" t="s">
        <v>863</v>
      </c>
      <c r="C25" s="182">
        <f t="shared" si="1"/>
        <v>6879175910</v>
      </c>
      <c r="D25" s="182">
        <f>'[6]TH Thu 2023'!$Q$7</f>
        <v>190867000</v>
      </c>
      <c r="E25" s="182">
        <v>4132701990</v>
      </c>
      <c r="F25" s="182">
        <v>2131697920</v>
      </c>
      <c r="G25" s="182">
        <v>423909000</v>
      </c>
      <c r="H25" s="182"/>
      <c r="I25" s="183"/>
      <c r="J25" s="183"/>
      <c r="K25" s="183"/>
    </row>
    <row r="26" spans="1:11" s="184" customFormat="1" ht="18" customHeight="1">
      <c r="A26" s="139" t="s">
        <v>864</v>
      </c>
      <c r="B26" s="140" t="s">
        <v>291</v>
      </c>
      <c r="C26" s="182">
        <f t="shared" si="1"/>
        <v>6675953861</v>
      </c>
      <c r="D26" s="182">
        <f>'[6]TH Thu 2023'!$R$7</f>
        <v>21436000</v>
      </c>
      <c r="E26" s="182">
        <v>4558582000</v>
      </c>
      <c r="F26" s="182">
        <v>1507970140</v>
      </c>
      <c r="G26" s="182">
        <v>587965721</v>
      </c>
      <c r="H26" s="182"/>
      <c r="I26" s="183"/>
      <c r="J26" s="183"/>
      <c r="K26" s="183"/>
    </row>
    <row r="27" spans="1:11" s="184" customFormat="1" ht="18" customHeight="1">
      <c r="A27" s="139" t="s">
        <v>865</v>
      </c>
      <c r="B27" s="140" t="s">
        <v>292</v>
      </c>
      <c r="C27" s="182">
        <f t="shared" si="1"/>
        <v>6005513289</v>
      </c>
      <c r="D27" s="182">
        <f>'[6]TH Thu 2023'!$S$7</f>
        <v>10181000</v>
      </c>
      <c r="E27" s="182">
        <v>3793287480</v>
      </c>
      <c r="F27" s="182">
        <v>1648671200</v>
      </c>
      <c r="G27" s="182">
        <v>553373609</v>
      </c>
      <c r="H27" s="182"/>
      <c r="I27" s="183"/>
      <c r="J27" s="183"/>
      <c r="K27" s="183"/>
    </row>
    <row r="28" spans="1:11" s="184" customFormat="1" ht="18" customHeight="1">
      <c r="A28" s="139" t="s">
        <v>866</v>
      </c>
      <c r="B28" s="140" t="s">
        <v>867</v>
      </c>
      <c r="C28" s="182">
        <f t="shared" si="1"/>
        <v>6284066434</v>
      </c>
      <c r="D28" s="182">
        <f>'[6]TH Thu 2023'!$T$7</f>
        <v>31902380</v>
      </c>
      <c r="E28" s="182">
        <v>4354470000</v>
      </c>
      <c r="F28" s="182">
        <v>1500847054</v>
      </c>
      <c r="G28" s="182">
        <v>396847000</v>
      </c>
      <c r="H28" s="182"/>
      <c r="I28" s="183"/>
      <c r="J28" s="183"/>
      <c r="K28" s="183"/>
    </row>
    <row r="29" spans="1:11" s="184" customFormat="1" ht="18" customHeight="1">
      <c r="A29" s="139" t="s">
        <v>868</v>
      </c>
      <c r="B29" s="140" t="s">
        <v>293</v>
      </c>
      <c r="C29" s="182">
        <f t="shared" si="1"/>
        <v>8155958487</v>
      </c>
      <c r="D29" s="182">
        <f>'[6]TH Thu 2023'!$U$7</f>
        <v>132403657</v>
      </c>
      <c r="E29" s="182">
        <v>4907877000</v>
      </c>
      <c r="F29" s="182">
        <v>2642328516</v>
      </c>
      <c r="G29" s="182">
        <v>473349314</v>
      </c>
      <c r="H29" s="182"/>
      <c r="I29" s="183"/>
      <c r="J29" s="183"/>
      <c r="K29" s="183"/>
    </row>
    <row r="30" spans="1:11" s="184" customFormat="1" ht="18" customHeight="1">
      <c r="A30" s="141" t="s">
        <v>869</v>
      </c>
      <c r="B30" s="142" t="s">
        <v>870</v>
      </c>
      <c r="C30" s="185">
        <f t="shared" si="1"/>
        <v>6929821968</v>
      </c>
      <c r="D30" s="185">
        <f>'[6]TH Thu 2023'!$V$7</f>
        <v>16236000</v>
      </c>
      <c r="E30" s="185">
        <v>4208048200</v>
      </c>
      <c r="F30" s="185">
        <v>2294537768</v>
      </c>
      <c r="G30" s="185">
        <v>411000000</v>
      </c>
      <c r="H30" s="185"/>
      <c r="I30" s="183"/>
      <c r="J30" s="183"/>
      <c r="K30" s="183"/>
    </row>
  </sheetData>
  <mergeCells count="11">
    <mergeCell ref="A2:H2"/>
    <mergeCell ref="A3:H3"/>
    <mergeCell ref="A5:A9"/>
    <mergeCell ref="B5:B9"/>
    <mergeCell ref="C5:C9"/>
    <mergeCell ref="D5:H5"/>
    <mergeCell ref="D6:D9"/>
    <mergeCell ref="E6:E9"/>
    <mergeCell ref="F6:F9"/>
    <mergeCell ref="G6:G9"/>
    <mergeCell ref="H6:H9"/>
  </mergeCells>
  <phoneticPr fontId="16" type="noConversion"/>
  <pageMargins left="0.35433070866141703" right="0.15748031496063" top="0.69685039400000004" bottom="0.27559055118110198" header="0.23622047244094499" footer="0.196850393700787"/>
  <pageSetup paperSize="9" fitToHeight="0" orientation="landscape" verticalDpi="4294967295"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AI52"/>
  <sheetViews>
    <sheetView showZeros="0" view="pageBreakPreview" zoomScale="70" zoomScaleNormal="100" zoomScaleSheetLayoutView="70" workbookViewId="0">
      <pane xSplit="8" ySplit="11" topLeftCell="I12" activePane="bottomRight" state="frozen"/>
      <selection pane="topRight" activeCell="I1" sqref="I1"/>
      <selection pane="bottomLeft" activeCell="A12" sqref="A12"/>
      <selection pane="bottomRight" activeCell="R20" sqref="R20"/>
    </sheetView>
  </sheetViews>
  <sheetFormatPr defaultColWidth="9" defaultRowHeight="15.75"/>
  <cols>
    <col min="1" max="1" width="5.5" style="58" customWidth="1"/>
    <col min="2" max="2" width="23.375" style="58" customWidth="1"/>
    <col min="3" max="3" width="14.75" style="58" customWidth="1"/>
    <col min="4" max="4" width="14" style="58" customWidth="1"/>
    <col min="5" max="5" width="14.75" style="58" customWidth="1"/>
    <col min="6" max="6" width="15.125" style="58" customWidth="1"/>
    <col min="7" max="7" width="14.125" style="58" customWidth="1"/>
    <col min="8" max="8" width="14.5" style="58" customWidth="1"/>
    <col min="9" max="9" width="14.875" style="58" customWidth="1"/>
    <col min="10" max="11" width="14" style="58" customWidth="1"/>
    <col min="12" max="12" width="6.375" style="58" customWidth="1"/>
    <col min="13" max="13" width="14.25" style="58" customWidth="1"/>
    <col min="14" max="14" width="14.5" style="58" customWidth="1"/>
    <col min="15" max="15" width="5.875" style="58" customWidth="1"/>
    <col min="16" max="16" width="14" style="58" customWidth="1"/>
    <col min="17" max="18" width="8" style="58" customWidth="1"/>
    <col min="19" max="19" width="6.5" style="58" customWidth="1"/>
    <col min="20" max="21" width="14" style="58" customWidth="1"/>
    <col min="22" max="22" width="6" style="58" customWidth="1"/>
    <col min="23" max="24" width="13.875" style="58" customWidth="1"/>
    <col min="25" max="25" width="14.25" style="58" customWidth="1"/>
    <col min="26" max="26" width="5.5" style="58" customWidth="1"/>
    <col min="27" max="27" width="12.375" style="58" customWidth="1"/>
    <col min="28" max="28" width="11.875" style="58" customWidth="1"/>
    <col min="29" max="29" width="5.5" style="58" customWidth="1"/>
    <col min="30" max="32" width="7.125" style="58" customWidth="1"/>
    <col min="33" max="36" width="11.875" style="58" customWidth="1"/>
    <col min="37" max="16384" width="9" style="58"/>
  </cols>
  <sheetData>
    <row r="1" spans="1:35" ht="16.5" customHeight="1">
      <c r="A1" s="462"/>
      <c r="B1" s="462"/>
      <c r="C1" s="463"/>
      <c r="D1" s="463"/>
      <c r="E1" s="463"/>
      <c r="F1" s="463"/>
      <c r="G1" s="463"/>
      <c r="H1" s="463"/>
      <c r="I1" s="463"/>
      <c r="J1" s="111"/>
      <c r="K1" s="111"/>
      <c r="L1" s="111"/>
      <c r="M1" s="111"/>
      <c r="N1" s="507"/>
      <c r="O1" s="111"/>
      <c r="P1" s="111"/>
      <c r="Q1" s="463"/>
      <c r="R1" s="463"/>
      <c r="S1" s="463"/>
      <c r="T1" s="463"/>
      <c r="U1" s="506"/>
      <c r="V1" s="506"/>
      <c r="W1" s="111"/>
      <c r="X1" s="463"/>
      <c r="Y1" s="463"/>
      <c r="Z1" s="463"/>
      <c r="AA1" s="463"/>
      <c r="AB1" s="506"/>
      <c r="AC1" s="506"/>
      <c r="AD1" s="463"/>
      <c r="AE1" s="704" t="s">
        <v>115</v>
      </c>
      <c r="AF1" s="705"/>
      <c r="AG1" s="98"/>
    </row>
    <row r="2" spans="1:35" s="61" customFormat="1" ht="28.5" customHeight="1">
      <c r="A2" s="1066" t="s">
        <v>825</v>
      </c>
      <c r="B2" s="1066"/>
      <c r="C2" s="1066"/>
      <c r="D2" s="1066"/>
      <c r="E2" s="1066"/>
      <c r="F2" s="1066"/>
      <c r="G2" s="1066"/>
      <c r="H2" s="1066"/>
      <c r="I2" s="1066"/>
      <c r="J2" s="1066"/>
      <c r="K2" s="1066"/>
      <c r="L2" s="1066"/>
      <c r="M2" s="1066"/>
      <c r="N2" s="1066"/>
      <c r="O2" s="1066"/>
      <c r="P2" s="1066"/>
      <c r="Q2" s="1066"/>
      <c r="R2" s="1066"/>
      <c r="S2" s="1066"/>
      <c r="T2" s="1066"/>
      <c r="U2" s="1066"/>
      <c r="V2" s="1066"/>
      <c r="W2" s="1066"/>
      <c r="X2" s="1066"/>
      <c r="Y2" s="1066"/>
      <c r="Z2" s="1066"/>
      <c r="AA2" s="1066"/>
      <c r="AB2" s="1066"/>
      <c r="AC2" s="1066"/>
      <c r="AD2" s="1066"/>
      <c r="AE2" s="1066"/>
      <c r="AF2" s="1066"/>
      <c r="AG2" s="193"/>
    </row>
    <row r="3" spans="1:35" ht="22.5" customHeight="1">
      <c r="A3" s="1049" t="str">
        <f>'Biểu 60-xã'!A3:H3</f>
        <v>(Kèm theo Báo cáo số  289/BC-UBND ngày  17 /6 /2024 của UBND huyện Tuần Giáo)</v>
      </c>
      <c r="B3" s="1049"/>
      <c r="C3" s="1049"/>
      <c r="D3" s="1049"/>
      <c r="E3" s="1049"/>
      <c r="F3" s="1049"/>
      <c r="G3" s="1049"/>
      <c r="H3" s="1049"/>
      <c r="I3" s="1049"/>
      <c r="J3" s="1049"/>
      <c r="K3" s="1049"/>
      <c r="L3" s="1049"/>
      <c r="M3" s="1049"/>
      <c r="N3" s="1049"/>
      <c r="O3" s="1049"/>
      <c r="P3" s="1049"/>
      <c r="Q3" s="1049"/>
      <c r="R3" s="1049"/>
      <c r="S3" s="1049"/>
      <c r="T3" s="1049"/>
      <c r="U3" s="1049"/>
      <c r="V3" s="1049"/>
      <c r="W3" s="1049"/>
      <c r="X3" s="1049"/>
      <c r="Y3" s="1049"/>
      <c r="Z3" s="1049"/>
      <c r="AA3" s="1049"/>
      <c r="AB3" s="1049"/>
      <c r="AC3" s="1049"/>
      <c r="AD3" s="1049"/>
      <c r="AE3" s="1049"/>
      <c r="AF3" s="1049"/>
      <c r="AG3" s="127"/>
    </row>
    <row r="4" spans="1:35" ht="20.25" customHeight="1">
      <c r="A4" s="464"/>
      <c r="B4" s="464"/>
      <c r="C4" s="465"/>
      <c r="D4" s="465"/>
      <c r="E4" s="465"/>
      <c r="F4" s="465"/>
      <c r="G4" s="465"/>
      <c r="H4" s="465"/>
      <c r="I4" s="465"/>
      <c r="J4" s="465"/>
      <c r="K4" s="706"/>
      <c r="L4" s="706"/>
      <c r="M4" s="707"/>
      <c r="N4" s="708"/>
      <c r="O4" s="709"/>
      <c r="P4" s="710"/>
      <c r="Q4" s="111"/>
      <c r="R4" s="111"/>
      <c r="S4" s="465"/>
      <c r="T4" s="465"/>
      <c r="U4" s="711"/>
      <c r="V4" s="712"/>
      <c r="W4" s="710"/>
      <c r="X4" s="111"/>
      <c r="Y4" s="111"/>
      <c r="Z4" s="465"/>
      <c r="AA4" s="465"/>
      <c r="AB4" s="711"/>
      <c r="AC4" s="712"/>
      <c r="AD4" s="712"/>
      <c r="AE4" s="706" t="s">
        <v>201</v>
      </c>
      <c r="AF4" s="713"/>
      <c r="AG4" s="194"/>
    </row>
    <row r="5" spans="1:35" s="108" customFormat="1" ht="24.75" customHeight="1">
      <c r="A5" s="1054" t="s">
        <v>51</v>
      </c>
      <c r="B5" s="1054" t="s">
        <v>242</v>
      </c>
      <c r="C5" s="1068" t="s">
        <v>2</v>
      </c>
      <c r="D5" s="1068"/>
      <c r="E5" s="1068"/>
      <c r="F5" s="1067" t="s">
        <v>50</v>
      </c>
      <c r="G5" s="1057"/>
      <c r="H5" s="1057"/>
      <c r="I5" s="1057"/>
      <c r="J5" s="1057"/>
      <c r="K5" s="1057"/>
      <c r="L5" s="1057"/>
      <c r="M5" s="1057"/>
      <c r="N5" s="1057"/>
      <c r="O5" s="1057"/>
      <c r="P5" s="1057" t="s">
        <v>50</v>
      </c>
      <c r="Q5" s="1057"/>
      <c r="R5" s="1057"/>
      <c r="S5" s="1057"/>
      <c r="T5" s="1057"/>
      <c r="U5" s="1057"/>
      <c r="V5" s="1058"/>
      <c r="W5" s="1057" t="s">
        <v>50</v>
      </c>
      <c r="X5" s="1057"/>
      <c r="Y5" s="1057"/>
      <c r="Z5" s="1057"/>
      <c r="AA5" s="1057"/>
      <c r="AB5" s="1057"/>
      <c r="AC5" s="1058"/>
      <c r="AD5" s="1054" t="s">
        <v>75</v>
      </c>
      <c r="AE5" s="1054"/>
      <c r="AF5" s="1054"/>
    </row>
    <row r="6" spans="1:35" s="108" customFormat="1" ht="24.75" customHeight="1">
      <c r="A6" s="1054"/>
      <c r="B6" s="1054"/>
      <c r="C6" s="1054" t="s">
        <v>67</v>
      </c>
      <c r="D6" s="1054" t="s">
        <v>23</v>
      </c>
      <c r="E6" s="1054"/>
      <c r="F6" s="1054" t="s">
        <v>67</v>
      </c>
      <c r="G6" s="1054" t="s">
        <v>23</v>
      </c>
      <c r="H6" s="1054"/>
      <c r="I6" s="1055" t="s">
        <v>664</v>
      </c>
      <c r="J6" s="1062"/>
      <c r="K6" s="1062"/>
      <c r="L6" s="1062"/>
      <c r="M6" s="1062"/>
      <c r="N6" s="1062"/>
      <c r="O6" s="1056"/>
      <c r="P6" s="1063" t="s">
        <v>277</v>
      </c>
      <c r="Q6" s="1064"/>
      <c r="R6" s="1064"/>
      <c r="S6" s="1064"/>
      <c r="T6" s="1064"/>
      <c r="U6" s="1064"/>
      <c r="V6" s="1065"/>
      <c r="W6" s="888" t="s">
        <v>278</v>
      </c>
      <c r="X6" s="888"/>
      <c r="Y6" s="888"/>
      <c r="Z6" s="888"/>
      <c r="AA6" s="888"/>
      <c r="AB6" s="888"/>
      <c r="AC6" s="888"/>
      <c r="AD6" s="1054" t="s">
        <v>67</v>
      </c>
      <c r="AE6" s="1054" t="s">
        <v>23</v>
      </c>
      <c r="AF6" s="1054"/>
    </row>
    <row r="7" spans="1:35" s="108" customFormat="1" ht="24.75" customHeight="1">
      <c r="A7" s="1054"/>
      <c r="B7" s="1054"/>
      <c r="C7" s="1054"/>
      <c r="D7" s="1054" t="s">
        <v>105</v>
      </c>
      <c r="E7" s="1054" t="s">
        <v>111</v>
      </c>
      <c r="F7" s="1054"/>
      <c r="G7" s="1054" t="s">
        <v>105</v>
      </c>
      <c r="H7" s="1054" t="s">
        <v>111</v>
      </c>
      <c r="I7" s="1054" t="s">
        <v>67</v>
      </c>
      <c r="J7" s="888" t="s">
        <v>17</v>
      </c>
      <c r="K7" s="888"/>
      <c r="L7" s="888"/>
      <c r="M7" s="888" t="s">
        <v>111</v>
      </c>
      <c r="N7" s="888"/>
      <c r="O7" s="888"/>
      <c r="P7" s="1059" t="s">
        <v>67</v>
      </c>
      <c r="Q7" s="888" t="s">
        <v>17</v>
      </c>
      <c r="R7" s="888"/>
      <c r="S7" s="888"/>
      <c r="T7" s="888" t="s">
        <v>111</v>
      </c>
      <c r="U7" s="888"/>
      <c r="V7" s="888"/>
      <c r="W7" s="1059" t="s">
        <v>67</v>
      </c>
      <c r="X7" s="888" t="s">
        <v>17</v>
      </c>
      <c r="Y7" s="888"/>
      <c r="Z7" s="888"/>
      <c r="AA7" s="888" t="s">
        <v>111</v>
      </c>
      <c r="AB7" s="888"/>
      <c r="AC7" s="888"/>
      <c r="AD7" s="1054"/>
      <c r="AE7" s="1054" t="s">
        <v>17</v>
      </c>
      <c r="AF7" s="1054" t="s">
        <v>19</v>
      </c>
    </row>
    <row r="8" spans="1:35" s="108" customFormat="1" ht="24.75" customHeight="1">
      <c r="A8" s="1054"/>
      <c r="B8" s="1054"/>
      <c r="C8" s="1054"/>
      <c r="D8" s="1054"/>
      <c r="E8" s="1054"/>
      <c r="F8" s="1054"/>
      <c r="G8" s="1054"/>
      <c r="H8" s="1054"/>
      <c r="I8" s="1054"/>
      <c r="J8" s="1054" t="s">
        <v>67</v>
      </c>
      <c r="K8" s="1054" t="s">
        <v>43</v>
      </c>
      <c r="L8" s="1054"/>
      <c r="M8" s="1054" t="s">
        <v>67</v>
      </c>
      <c r="N8" s="1055" t="s">
        <v>43</v>
      </c>
      <c r="O8" s="1056"/>
      <c r="P8" s="1060"/>
      <c r="Q8" s="1054" t="s">
        <v>67</v>
      </c>
      <c r="R8" s="1055" t="s">
        <v>43</v>
      </c>
      <c r="S8" s="1056"/>
      <c r="T8" s="1054" t="s">
        <v>67</v>
      </c>
      <c r="U8" s="1055" t="s">
        <v>43</v>
      </c>
      <c r="V8" s="1056"/>
      <c r="W8" s="1060"/>
      <c r="X8" s="1054" t="s">
        <v>67</v>
      </c>
      <c r="Y8" s="1055" t="s">
        <v>43</v>
      </c>
      <c r="Z8" s="1056"/>
      <c r="AA8" s="1054" t="s">
        <v>67</v>
      </c>
      <c r="AB8" s="1055" t="s">
        <v>43</v>
      </c>
      <c r="AC8" s="1056"/>
      <c r="AD8" s="1054"/>
      <c r="AE8" s="1054"/>
      <c r="AF8" s="1054"/>
    </row>
    <row r="9" spans="1:35" s="108" customFormat="1" ht="51" customHeight="1">
      <c r="A9" s="1054"/>
      <c r="B9" s="1054"/>
      <c r="C9" s="1054"/>
      <c r="D9" s="1054"/>
      <c r="E9" s="1054"/>
      <c r="F9" s="1054"/>
      <c r="G9" s="1054"/>
      <c r="H9" s="1054"/>
      <c r="I9" s="1054"/>
      <c r="J9" s="1054"/>
      <c r="K9" s="426" t="s">
        <v>60</v>
      </c>
      <c r="L9" s="426" t="s">
        <v>18</v>
      </c>
      <c r="M9" s="1054"/>
      <c r="N9" s="426" t="s">
        <v>60</v>
      </c>
      <c r="O9" s="426" t="s">
        <v>18</v>
      </c>
      <c r="P9" s="1061"/>
      <c r="Q9" s="1054"/>
      <c r="R9" s="426" t="s">
        <v>60</v>
      </c>
      <c r="S9" s="426" t="s">
        <v>18</v>
      </c>
      <c r="T9" s="1054"/>
      <c r="U9" s="426" t="s">
        <v>60</v>
      </c>
      <c r="V9" s="426" t="s">
        <v>18</v>
      </c>
      <c r="W9" s="1061"/>
      <c r="X9" s="1054"/>
      <c r="Y9" s="426" t="s">
        <v>60</v>
      </c>
      <c r="Z9" s="426" t="s">
        <v>18</v>
      </c>
      <c r="AA9" s="1054"/>
      <c r="AB9" s="426" t="s">
        <v>60</v>
      </c>
      <c r="AC9" s="426" t="s">
        <v>18</v>
      </c>
      <c r="AD9" s="1054"/>
      <c r="AE9" s="1054"/>
      <c r="AF9" s="1054"/>
    </row>
    <row r="10" spans="1:35" s="63" customFormat="1" ht="16.5" customHeight="1">
      <c r="A10" s="62" t="s">
        <v>3</v>
      </c>
      <c r="B10" s="62" t="s">
        <v>4</v>
      </c>
      <c r="C10" s="62">
        <v>1</v>
      </c>
      <c r="D10" s="62">
        <f t="shared" ref="D10:V10" si="0">C10+1</f>
        <v>2</v>
      </c>
      <c r="E10" s="62">
        <f t="shared" si="0"/>
        <v>3</v>
      </c>
      <c r="F10" s="62">
        <f t="shared" si="0"/>
        <v>4</v>
      </c>
      <c r="G10" s="62">
        <f t="shared" si="0"/>
        <v>5</v>
      </c>
      <c r="H10" s="62">
        <f t="shared" si="0"/>
        <v>6</v>
      </c>
      <c r="I10" s="62">
        <f t="shared" si="0"/>
        <v>7</v>
      </c>
      <c r="J10" s="62">
        <f t="shared" si="0"/>
        <v>8</v>
      </c>
      <c r="K10" s="62">
        <f t="shared" si="0"/>
        <v>9</v>
      </c>
      <c r="L10" s="62">
        <f t="shared" si="0"/>
        <v>10</v>
      </c>
      <c r="M10" s="62">
        <f t="shared" si="0"/>
        <v>11</v>
      </c>
      <c r="N10" s="62">
        <f t="shared" si="0"/>
        <v>12</v>
      </c>
      <c r="O10" s="62">
        <f t="shared" si="0"/>
        <v>13</v>
      </c>
      <c r="P10" s="62">
        <f>O10+1</f>
        <v>14</v>
      </c>
      <c r="Q10" s="62">
        <f t="shared" si="0"/>
        <v>15</v>
      </c>
      <c r="R10" s="62">
        <f t="shared" si="0"/>
        <v>16</v>
      </c>
      <c r="S10" s="62">
        <f t="shared" si="0"/>
        <v>17</v>
      </c>
      <c r="T10" s="62">
        <f>S10+1</f>
        <v>18</v>
      </c>
      <c r="U10" s="62">
        <f t="shared" si="0"/>
        <v>19</v>
      </c>
      <c r="V10" s="62">
        <f t="shared" si="0"/>
        <v>20</v>
      </c>
      <c r="W10" s="62">
        <f t="shared" ref="W10:AC10" si="1">V10+1</f>
        <v>21</v>
      </c>
      <c r="X10" s="62">
        <f t="shared" si="1"/>
        <v>22</v>
      </c>
      <c r="Y10" s="62">
        <f t="shared" si="1"/>
        <v>23</v>
      </c>
      <c r="Z10" s="62">
        <f t="shared" si="1"/>
        <v>24</v>
      </c>
      <c r="AA10" s="62">
        <f t="shared" si="1"/>
        <v>25</v>
      </c>
      <c r="AB10" s="62">
        <f t="shared" si="1"/>
        <v>26</v>
      </c>
      <c r="AC10" s="62">
        <f t="shared" si="1"/>
        <v>27</v>
      </c>
      <c r="AD10" s="62" t="s">
        <v>299</v>
      </c>
      <c r="AE10" s="62" t="s">
        <v>300</v>
      </c>
      <c r="AF10" s="62" t="s">
        <v>301</v>
      </c>
      <c r="AG10" s="108"/>
    </row>
    <row r="11" spans="1:35" s="196" customFormat="1" ht="25.5" customHeight="1">
      <c r="A11" s="714"/>
      <c r="B11" s="715" t="s">
        <v>21</v>
      </c>
      <c r="C11" s="716">
        <f>C16+C28</f>
        <v>210875000000</v>
      </c>
      <c r="D11" s="716">
        <f>D16+D28</f>
        <v>83500000000</v>
      </c>
      <c r="E11" s="716">
        <f>E16+E28</f>
        <v>127375000000</v>
      </c>
      <c r="F11" s="716">
        <f>+F12+F15</f>
        <v>158991000563</v>
      </c>
      <c r="G11" s="716">
        <f t="shared" ref="G11:AC11" si="2">+G12+G15</f>
        <v>82420412000</v>
      </c>
      <c r="H11" s="716">
        <f t="shared" si="2"/>
        <v>76570588563</v>
      </c>
      <c r="I11" s="716">
        <f t="shared" si="2"/>
        <v>123488608887</v>
      </c>
      <c r="J11" s="716">
        <f t="shared" si="2"/>
        <v>74453314000</v>
      </c>
      <c r="K11" s="716">
        <f>+K12+K15</f>
        <v>74453314000</v>
      </c>
      <c r="L11" s="716">
        <f t="shared" si="2"/>
        <v>0</v>
      </c>
      <c r="M11" s="716">
        <f t="shared" si="2"/>
        <v>49035294887</v>
      </c>
      <c r="N11" s="716">
        <f t="shared" si="2"/>
        <v>49035294887</v>
      </c>
      <c r="O11" s="716">
        <f t="shared" si="2"/>
        <v>0</v>
      </c>
      <c r="P11" s="716">
        <f t="shared" si="2"/>
        <v>27062100776</v>
      </c>
      <c r="Q11" s="716">
        <f t="shared" si="2"/>
        <v>0</v>
      </c>
      <c r="R11" s="716">
        <f t="shared" si="2"/>
        <v>0</v>
      </c>
      <c r="S11" s="716">
        <f t="shared" si="2"/>
        <v>0</v>
      </c>
      <c r="T11" s="716">
        <f t="shared" si="2"/>
        <v>27062100776</v>
      </c>
      <c r="U11" s="716">
        <f t="shared" si="2"/>
        <v>27062100776</v>
      </c>
      <c r="V11" s="716">
        <f t="shared" si="2"/>
        <v>0</v>
      </c>
      <c r="W11" s="716">
        <f t="shared" si="2"/>
        <v>8440290900</v>
      </c>
      <c r="X11" s="716">
        <f t="shared" si="2"/>
        <v>7967098000</v>
      </c>
      <c r="Y11" s="716">
        <f t="shared" si="2"/>
        <v>7967098000</v>
      </c>
      <c r="Z11" s="716">
        <f t="shared" si="2"/>
        <v>0</v>
      </c>
      <c r="AA11" s="716">
        <f t="shared" si="2"/>
        <v>473192900</v>
      </c>
      <c r="AB11" s="716">
        <f t="shared" si="2"/>
        <v>473192900</v>
      </c>
      <c r="AC11" s="716">
        <f t="shared" si="2"/>
        <v>0</v>
      </c>
      <c r="AD11" s="717">
        <f>F11/C11</f>
        <v>0.75395850889389449</v>
      </c>
      <c r="AE11" s="717">
        <f>G11/D11</f>
        <v>0.98707080239520961</v>
      </c>
      <c r="AF11" s="717">
        <f>H11/E11</f>
        <v>0.60114299166241414</v>
      </c>
      <c r="AG11" s="133"/>
      <c r="AH11" s="195"/>
      <c r="AI11" s="195"/>
    </row>
    <row r="12" spans="1:35" s="196" customFormat="1" ht="25.5" customHeight="1">
      <c r="A12" s="718" t="s">
        <v>3</v>
      </c>
      <c r="B12" s="719" t="s">
        <v>494</v>
      </c>
      <c r="C12" s="720">
        <f t="shared" ref="C12:E12" si="3">C13</f>
        <v>0</v>
      </c>
      <c r="D12" s="720">
        <f t="shared" si="3"/>
        <v>0</v>
      </c>
      <c r="E12" s="720">
        <f t="shared" si="3"/>
        <v>0</v>
      </c>
      <c r="F12" s="720">
        <f>F13</f>
        <v>0</v>
      </c>
      <c r="G12" s="720">
        <f t="shared" ref="G12:AC12" si="4">G13</f>
        <v>0</v>
      </c>
      <c r="H12" s="720">
        <f t="shared" si="4"/>
        <v>0</v>
      </c>
      <c r="I12" s="720">
        <f t="shared" si="4"/>
        <v>0</v>
      </c>
      <c r="J12" s="720">
        <f t="shared" si="4"/>
        <v>0</v>
      </c>
      <c r="K12" s="720">
        <f t="shared" si="4"/>
        <v>0</v>
      </c>
      <c r="L12" s="720">
        <f t="shared" si="4"/>
        <v>0</v>
      </c>
      <c r="M12" s="720">
        <f t="shared" si="4"/>
        <v>0</v>
      </c>
      <c r="N12" s="720">
        <f t="shared" si="4"/>
        <v>0</v>
      </c>
      <c r="O12" s="720">
        <f t="shared" si="4"/>
        <v>0</v>
      </c>
      <c r="P12" s="720">
        <f t="shared" si="4"/>
        <v>0</v>
      </c>
      <c r="Q12" s="720">
        <f t="shared" si="4"/>
        <v>0</v>
      </c>
      <c r="R12" s="720">
        <f t="shared" si="4"/>
        <v>0</v>
      </c>
      <c r="S12" s="720">
        <f t="shared" si="4"/>
        <v>0</v>
      </c>
      <c r="T12" s="720">
        <f t="shared" si="4"/>
        <v>0</v>
      </c>
      <c r="U12" s="720">
        <f t="shared" si="4"/>
        <v>0</v>
      </c>
      <c r="V12" s="720">
        <f t="shared" si="4"/>
        <v>0</v>
      </c>
      <c r="W12" s="720">
        <f t="shared" si="4"/>
        <v>0</v>
      </c>
      <c r="X12" s="720">
        <f t="shared" si="4"/>
        <v>0</v>
      </c>
      <c r="Y12" s="720">
        <f t="shared" si="4"/>
        <v>0</v>
      </c>
      <c r="Z12" s="720">
        <f t="shared" si="4"/>
        <v>0</v>
      </c>
      <c r="AA12" s="720">
        <f t="shared" si="4"/>
        <v>0</v>
      </c>
      <c r="AB12" s="720">
        <f t="shared" si="4"/>
        <v>0</v>
      </c>
      <c r="AC12" s="720">
        <f t="shared" si="4"/>
        <v>0</v>
      </c>
      <c r="AD12" s="717"/>
      <c r="AE12" s="717"/>
      <c r="AF12" s="717"/>
      <c r="AG12" s="133"/>
      <c r="AH12" s="195"/>
      <c r="AI12" s="195"/>
    </row>
    <row r="13" spans="1:35" s="196" customFormat="1" ht="25.5" customHeight="1">
      <c r="A13" s="721" t="s">
        <v>11</v>
      </c>
      <c r="B13" s="722" t="s">
        <v>243</v>
      </c>
      <c r="C13" s="723">
        <f t="shared" ref="C13:AC13" si="5">SUM(C14:C14)</f>
        <v>0</v>
      </c>
      <c r="D13" s="566">
        <f t="shared" si="5"/>
        <v>0</v>
      </c>
      <c r="E13" s="566">
        <f t="shared" si="5"/>
        <v>0</v>
      </c>
      <c r="F13" s="566">
        <f t="shared" si="5"/>
        <v>0</v>
      </c>
      <c r="G13" s="566">
        <f t="shared" si="5"/>
        <v>0</v>
      </c>
      <c r="H13" s="566">
        <f t="shared" si="5"/>
        <v>0</v>
      </c>
      <c r="I13" s="566">
        <f t="shared" si="5"/>
        <v>0</v>
      </c>
      <c r="J13" s="566">
        <f t="shared" si="5"/>
        <v>0</v>
      </c>
      <c r="K13" s="566">
        <f t="shared" si="5"/>
        <v>0</v>
      </c>
      <c r="L13" s="566">
        <f t="shared" si="5"/>
        <v>0</v>
      </c>
      <c r="M13" s="566">
        <f t="shared" si="5"/>
        <v>0</v>
      </c>
      <c r="N13" s="566">
        <f t="shared" si="5"/>
        <v>0</v>
      </c>
      <c r="O13" s="566">
        <f t="shared" si="5"/>
        <v>0</v>
      </c>
      <c r="P13" s="566">
        <f t="shared" si="5"/>
        <v>0</v>
      </c>
      <c r="Q13" s="566">
        <f t="shared" si="5"/>
        <v>0</v>
      </c>
      <c r="R13" s="566">
        <f t="shared" si="5"/>
        <v>0</v>
      </c>
      <c r="S13" s="566">
        <f t="shared" si="5"/>
        <v>0</v>
      </c>
      <c r="T13" s="566">
        <f t="shared" si="5"/>
        <v>0</v>
      </c>
      <c r="U13" s="566">
        <f t="shared" si="5"/>
        <v>0</v>
      </c>
      <c r="V13" s="566">
        <f t="shared" si="5"/>
        <v>0</v>
      </c>
      <c r="W13" s="566">
        <f t="shared" si="5"/>
        <v>0</v>
      </c>
      <c r="X13" s="566">
        <f t="shared" si="5"/>
        <v>0</v>
      </c>
      <c r="Y13" s="566">
        <f t="shared" si="5"/>
        <v>0</v>
      </c>
      <c r="Z13" s="566">
        <f t="shared" si="5"/>
        <v>0</v>
      </c>
      <c r="AA13" s="566">
        <f t="shared" si="5"/>
        <v>0</v>
      </c>
      <c r="AB13" s="566">
        <f t="shared" si="5"/>
        <v>0</v>
      </c>
      <c r="AC13" s="566">
        <f t="shared" si="5"/>
        <v>0</v>
      </c>
      <c r="AD13" s="717"/>
      <c r="AE13" s="717"/>
      <c r="AF13" s="717"/>
      <c r="AG13" s="195"/>
      <c r="AH13" s="195"/>
    </row>
    <row r="14" spans="1:35" s="108" customFormat="1" ht="25.5" customHeight="1">
      <c r="A14" s="724">
        <v>1</v>
      </c>
      <c r="B14" s="551" t="s">
        <v>402</v>
      </c>
      <c r="C14" s="478">
        <f>SUM(D14:E14)</f>
        <v>0</v>
      </c>
      <c r="D14" s="478"/>
      <c r="E14" s="478"/>
      <c r="F14" s="478">
        <f>G14+H14</f>
        <v>0</v>
      </c>
      <c r="G14" s="478">
        <f>J14+Q14+X14</f>
        <v>0</v>
      </c>
      <c r="H14" s="478">
        <f>M14+T14+AA14</f>
        <v>0</v>
      </c>
      <c r="I14" s="478">
        <f>J14+M14</f>
        <v>0</v>
      </c>
      <c r="J14" s="478">
        <f>K14+L14</f>
        <v>0</v>
      </c>
      <c r="K14" s="478"/>
      <c r="L14" s="478"/>
      <c r="M14" s="478">
        <f>N14+O14</f>
        <v>0</v>
      </c>
      <c r="N14" s="478"/>
      <c r="O14" s="478"/>
      <c r="P14" s="478">
        <f>Q14+T14</f>
        <v>0</v>
      </c>
      <c r="Q14" s="478">
        <f>R14+S14</f>
        <v>0</v>
      </c>
      <c r="R14" s="478"/>
      <c r="S14" s="478"/>
      <c r="T14" s="478">
        <f>U14+V14</f>
        <v>0</v>
      </c>
      <c r="U14" s="478"/>
      <c r="V14" s="478"/>
      <c r="W14" s="478">
        <f>X14+AA14</f>
        <v>0</v>
      </c>
      <c r="X14" s="478">
        <f>Y14+Z14</f>
        <v>0</v>
      </c>
      <c r="Y14" s="478"/>
      <c r="Z14" s="478"/>
      <c r="AA14" s="478">
        <f>AB14+AC14</f>
        <v>0</v>
      </c>
      <c r="AB14" s="478"/>
      <c r="AC14" s="478"/>
      <c r="AD14" s="725"/>
      <c r="AE14" s="725"/>
      <c r="AF14" s="725"/>
    </row>
    <row r="15" spans="1:35" s="196" customFormat="1" ht="25.5" customHeight="1">
      <c r="A15" s="718" t="s">
        <v>4</v>
      </c>
      <c r="B15" s="719" t="s">
        <v>495</v>
      </c>
      <c r="C15" s="720">
        <f t="shared" ref="C15:AC15" si="6">+C16+C28</f>
        <v>210875000000</v>
      </c>
      <c r="D15" s="720">
        <f t="shared" si="6"/>
        <v>83500000000</v>
      </c>
      <c r="E15" s="720">
        <f t="shared" si="6"/>
        <v>127375000000</v>
      </c>
      <c r="F15" s="720">
        <f t="shared" si="6"/>
        <v>158991000563</v>
      </c>
      <c r="G15" s="720">
        <f t="shared" si="6"/>
        <v>82420412000</v>
      </c>
      <c r="H15" s="720">
        <f t="shared" si="6"/>
        <v>76570588563</v>
      </c>
      <c r="I15" s="720">
        <f t="shared" si="6"/>
        <v>123488608887</v>
      </c>
      <c r="J15" s="720">
        <f t="shared" si="6"/>
        <v>74453314000</v>
      </c>
      <c r="K15" s="720">
        <f t="shared" si="6"/>
        <v>74453314000</v>
      </c>
      <c r="L15" s="720">
        <f t="shared" si="6"/>
        <v>0</v>
      </c>
      <c r="M15" s="720">
        <f t="shared" si="6"/>
        <v>49035294887</v>
      </c>
      <c r="N15" s="720">
        <f t="shared" si="6"/>
        <v>49035294887</v>
      </c>
      <c r="O15" s="720">
        <f t="shared" si="6"/>
        <v>0</v>
      </c>
      <c r="P15" s="720">
        <f t="shared" si="6"/>
        <v>27062100776</v>
      </c>
      <c r="Q15" s="720">
        <f t="shared" si="6"/>
        <v>0</v>
      </c>
      <c r="R15" s="720">
        <f t="shared" si="6"/>
        <v>0</v>
      </c>
      <c r="S15" s="720">
        <f t="shared" si="6"/>
        <v>0</v>
      </c>
      <c r="T15" s="720">
        <f t="shared" si="6"/>
        <v>27062100776</v>
      </c>
      <c r="U15" s="720">
        <f t="shared" si="6"/>
        <v>27062100776</v>
      </c>
      <c r="V15" s="720">
        <f t="shared" si="6"/>
        <v>0</v>
      </c>
      <c r="W15" s="720">
        <f t="shared" si="6"/>
        <v>8440290900</v>
      </c>
      <c r="X15" s="720">
        <f t="shared" si="6"/>
        <v>7967098000</v>
      </c>
      <c r="Y15" s="720">
        <f t="shared" si="6"/>
        <v>7967098000</v>
      </c>
      <c r="Z15" s="720">
        <f t="shared" si="6"/>
        <v>0</v>
      </c>
      <c r="AA15" s="720">
        <f t="shared" si="6"/>
        <v>473192900</v>
      </c>
      <c r="AB15" s="720">
        <f t="shared" si="6"/>
        <v>473192900</v>
      </c>
      <c r="AC15" s="720">
        <f t="shared" si="6"/>
        <v>0</v>
      </c>
      <c r="AD15" s="717">
        <f t="shared" ref="AD15:AD25" si="7">F15/C15</f>
        <v>0.75395850889389449</v>
      </c>
      <c r="AE15" s="717">
        <f t="shared" ref="AE15:AE21" si="8">G15/D15</f>
        <v>0.98707080239520961</v>
      </c>
      <c r="AF15" s="717">
        <f t="shared" ref="AF15:AF25" si="9">H15/E15</f>
        <v>0.60114299166241414</v>
      </c>
      <c r="AG15" s="133"/>
      <c r="AH15" s="195"/>
      <c r="AI15" s="195"/>
    </row>
    <row r="16" spans="1:35" s="196" customFormat="1" ht="25.5" customHeight="1">
      <c r="A16" s="721" t="s">
        <v>11</v>
      </c>
      <c r="B16" s="722" t="s">
        <v>243</v>
      </c>
      <c r="C16" s="723">
        <f t="shared" ref="C16:AC16" si="10">SUM(C17:C27)</f>
        <v>159230000000</v>
      </c>
      <c r="D16" s="566">
        <f t="shared" si="10"/>
        <v>83500000000</v>
      </c>
      <c r="E16" s="566">
        <f t="shared" si="10"/>
        <v>75730000000</v>
      </c>
      <c r="F16" s="566">
        <f t="shared" si="10"/>
        <v>142173741013</v>
      </c>
      <c r="G16" s="566">
        <f t="shared" si="10"/>
        <v>82420412000</v>
      </c>
      <c r="H16" s="566">
        <f t="shared" si="10"/>
        <v>59753329013</v>
      </c>
      <c r="I16" s="566">
        <f t="shared" si="10"/>
        <v>117917592237</v>
      </c>
      <c r="J16" s="566">
        <f t="shared" si="10"/>
        <v>74453314000</v>
      </c>
      <c r="K16" s="566">
        <f t="shared" si="10"/>
        <v>74453314000</v>
      </c>
      <c r="L16" s="566">
        <f t="shared" si="10"/>
        <v>0</v>
      </c>
      <c r="M16" s="566">
        <f t="shared" si="10"/>
        <v>43464278237</v>
      </c>
      <c r="N16" s="566">
        <f t="shared" si="10"/>
        <v>43464278237</v>
      </c>
      <c r="O16" s="566">
        <f t="shared" si="10"/>
        <v>0</v>
      </c>
      <c r="P16" s="566">
        <f t="shared" si="10"/>
        <v>16052100776</v>
      </c>
      <c r="Q16" s="566">
        <f t="shared" si="10"/>
        <v>0</v>
      </c>
      <c r="R16" s="566">
        <f t="shared" si="10"/>
        <v>0</v>
      </c>
      <c r="S16" s="566">
        <f t="shared" si="10"/>
        <v>0</v>
      </c>
      <c r="T16" s="566">
        <f t="shared" si="10"/>
        <v>16052100776</v>
      </c>
      <c r="U16" s="566">
        <f t="shared" si="10"/>
        <v>16052100776</v>
      </c>
      <c r="V16" s="566">
        <f t="shared" si="10"/>
        <v>0</v>
      </c>
      <c r="W16" s="566">
        <f t="shared" si="10"/>
        <v>8204048000</v>
      </c>
      <c r="X16" s="566">
        <f t="shared" si="10"/>
        <v>7967098000</v>
      </c>
      <c r="Y16" s="566">
        <f t="shared" si="10"/>
        <v>7967098000</v>
      </c>
      <c r="Z16" s="566">
        <f t="shared" si="10"/>
        <v>0</v>
      </c>
      <c r="AA16" s="566">
        <f t="shared" si="10"/>
        <v>236950000</v>
      </c>
      <c r="AB16" s="566">
        <f t="shared" si="10"/>
        <v>236950000</v>
      </c>
      <c r="AC16" s="566">
        <f t="shared" si="10"/>
        <v>0</v>
      </c>
      <c r="AD16" s="717">
        <f t="shared" si="7"/>
        <v>0.89288288019217488</v>
      </c>
      <c r="AE16" s="717">
        <f t="shared" si="8"/>
        <v>0.98707080239520961</v>
      </c>
      <c r="AF16" s="717">
        <f t="shared" si="9"/>
        <v>0.7890311503103129</v>
      </c>
      <c r="AG16" s="195"/>
      <c r="AH16" s="195"/>
    </row>
    <row r="17" spans="1:33" s="108" customFormat="1" ht="25.5" customHeight="1">
      <c r="A17" s="724">
        <v>1</v>
      </c>
      <c r="B17" s="551" t="s">
        <v>345</v>
      </c>
      <c r="C17" s="478">
        <f t="shared" ref="C17:C27" si="11">SUM(D17:E17)</f>
        <v>18546000000</v>
      </c>
      <c r="D17" s="478"/>
      <c r="E17" s="478">
        <f>18316000000+230000000</f>
        <v>18546000000</v>
      </c>
      <c r="F17" s="478">
        <f>G17+H17</f>
        <v>236950000</v>
      </c>
      <c r="G17" s="478">
        <f>J17+Q17+X17</f>
        <v>0</v>
      </c>
      <c r="H17" s="478">
        <f>M17+T17+AA17</f>
        <v>236950000</v>
      </c>
      <c r="I17" s="478">
        <f>J17+M17</f>
        <v>0</v>
      </c>
      <c r="J17" s="478">
        <f t="shared" ref="J17:J27" si="12">K17+L17</f>
        <v>0</v>
      </c>
      <c r="K17" s="478"/>
      <c r="L17" s="478"/>
      <c r="M17" s="478">
        <f t="shared" ref="M17:M27" si="13">N17+O17</f>
        <v>0</v>
      </c>
      <c r="N17" s="478"/>
      <c r="O17" s="478"/>
      <c r="P17" s="478">
        <f t="shared" ref="P17:P27" si="14">Q17+T17</f>
        <v>0</v>
      </c>
      <c r="Q17" s="478">
        <f t="shared" ref="Q17:Q27" si="15">R17+S17</f>
        <v>0</v>
      </c>
      <c r="R17" s="478"/>
      <c r="S17" s="478"/>
      <c r="T17" s="478">
        <f t="shared" ref="T17:T27" si="16">U17+V17</f>
        <v>0</v>
      </c>
      <c r="U17" s="478"/>
      <c r="V17" s="478"/>
      <c r="W17" s="478">
        <f>X17+AA17</f>
        <v>236950000</v>
      </c>
      <c r="X17" s="478">
        <f t="shared" ref="X17:X27" si="17">Y17+Z17</f>
        <v>0</v>
      </c>
      <c r="Y17" s="478"/>
      <c r="Z17" s="478"/>
      <c r="AA17" s="478">
        <f>AB17+AC17</f>
        <v>236950000</v>
      </c>
      <c r="AB17" s="478">
        <v>236950000</v>
      </c>
      <c r="AC17" s="478"/>
      <c r="AD17" s="725">
        <f t="shared" si="7"/>
        <v>1.2776339911571228E-2</v>
      </c>
      <c r="AE17" s="725"/>
      <c r="AF17" s="725">
        <f t="shared" si="9"/>
        <v>1.2776339911571228E-2</v>
      </c>
    </row>
    <row r="18" spans="1:33" s="108" customFormat="1" ht="25.5" customHeight="1">
      <c r="A18" s="724">
        <v>2</v>
      </c>
      <c r="B18" s="551" t="s">
        <v>314</v>
      </c>
      <c r="C18" s="478">
        <f t="shared" si="11"/>
        <v>16124000000</v>
      </c>
      <c r="D18" s="478"/>
      <c r="E18" s="478">
        <f>12674000000+3450000000</f>
        <v>16124000000</v>
      </c>
      <c r="F18" s="478">
        <f t="shared" ref="F18:F27" si="18">G18+H18</f>
        <v>2711548900</v>
      </c>
      <c r="G18" s="478">
        <f t="shared" ref="G18:G21" si="19">J18+Q18+X18</f>
        <v>0</v>
      </c>
      <c r="H18" s="478">
        <f t="shared" ref="H18:H27" si="20">M18+T18+AA18</f>
        <v>2711548900</v>
      </c>
      <c r="I18" s="478">
        <f t="shared" ref="I18:I27" si="21">J18+M18</f>
        <v>1323768000</v>
      </c>
      <c r="J18" s="478">
        <f t="shared" si="12"/>
        <v>0</v>
      </c>
      <c r="K18" s="478"/>
      <c r="L18" s="478"/>
      <c r="M18" s="478">
        <f t="shared" si="13"/>
        <v>1323768000</v>
      </c>
      <c r="N18" s="478">
        <v>1323768000</v>
      </c>
      <c r="O18" s="478"/>
      <c r="P18" s="478">
        <f t="shared" si="14"/>
        <v>1387780900</v>
      </c>
      <c r="Q18" s="478">
        <f t="shared" si="15"/>
        <v>0</v>
      </c>
      <c r="R18" s="478"/>
      <c r="S18" s="478"/>
      <c r="T18" s="478">
        <f t="shared" si="16"/>
        <v>1387780900</v>
      </c>
      <c r="U18" s="478">
        <v>1387780900</v>
      </c>
      <c r="V18" s="478"/>
      <c r="W18" s="478">
        <f t="shared" ref="W18:W27" si="22">X18+AA18</f>
        <v>0</v>
      </c>
      <c r="X18" s="478">
        <f t="shared" si="17"/>
        <v>0</v>
      </c>
      <c r="Y18" s="478"/>
      <c r="Z18" s="478"/>
      <c r="AA18" s="478">
        <f t="shared" ref="AA18:AA27" si="23">AB18+AC18</f>
        <v>0</v>
      </c>
      <c r="AB18" s="478"/>
      <c r="AC18" s="478"/>
      <c r="AD18" s="725">
        <f t="shared" si="7"/>
        <v>0.16816850037211609</v>
      </c>
      <c r="AE18" s="725"/>
      <c r="AF18" s="725">
        <f t="shared" si="9"/>
        <v>0.16816850037211609</v>
      </c>
    </row>
    <row r="19" spans="1:33" s="108" customFormat="1" ht="25.5" customHeight="1">
      <c r="A19" s="724">
        <v>3</v>
      </c>
      <c r="B19" s="551" t="s">
        <v>404</v>
      </c>
      <c r="C19" s="478">
        <f>SUM(D19:E19)</f>
        <v>4723000000</v>
      </c>
      <c r="D19" s="478"/>
      <c r="E19" s="478">
        <f>2993000000+1730000000</f>
        <v>4723000000</v>
      </c>
      <c r="F19" s="478">
        <f>G19+H19</f>
        <v>4016323600</v>
      </c>
      <c r="G19" s="478">
        <f t="shared" si="19"/>
        <v>0</v>
      </c>
      <c r="H19" s="478">
        <f>M19+T19+AA19</f>
        <v>4016323600</v>
      </c>
      <c r="I19" s="478">
        <f>J19+M19</f>
        <v>2418464000</v>
      </c>
      <c r="J19" s="478">
        <f t="shared" si="12"/>
        <v>0</v>
      </c>
      <c r="K19" s="478"/>
      <c r="L19" s="478"/>
      <c r="M19" s="478">
        <f t="shared" si="13"/>
        <v>2418464000</v>
      </c>
      <c r="N19" s="478">
        <v>2418464000</v>
      </c>
      <c r="O19" s="478"/>
      <c r="P19" s="478">
        <f>Q19+T19</f>
        <v>1597859600</v>
      </c>
      <c r="Q19" s="478">
        <f t="shared" si="15"/>
        <v>0</v>
      </c>
      <c r="R19" s="478"/>
      <c r="S19" s="478"/>
      <c r="T19" s="478">
        <f t="shared" si="16"/>
        <v>1597859600</v>
      </c>
      <c r="U19" s="478">
        <v>1597859600</v>
      </c>
      <c r="V19" s="478"/>
      <c r="W19" s="478">
        <f>X19+AA19</f>
        <v>0</v>
      </c>
      <c r="X19" s="478">
        <f>Y19+Z19</f>
        <v>0</v>
      </c>
      <c r="Y19" s="478"/>
      <c r="Z19" s="478"/>
      <c r="AA19" s="478">
        <f>AB19+AC19</f>
        <v>0</v>
      </c>
      <c r="AB19" s="478"/>
      <c r="AC19" s="478"/>
      <c r="AD19" s="725">
        <f t="shared" si="7"/>
        <v>0.85037552403133598</v>
      </c>
      <c r="AE19" s="725"/>
      <c r="AF19" s="725">
        <f t="shared" si="9"/>
        <v>0.85037552403133598</v>
      </c>
    </row>
    <row r="20" spans="1:33" s="108" customFormat="1" ht="25.5" customHeight="1">
      <c r="A20" s="724">
        <v>4</v>
      </c>
      <c r="B20" s="551" t="s">
        <v>193</v>
      </c>
      <c r="C20" s="478">
        <f t="shared" si="11"/>
        <v>5134000000</v>
      </c>
      <c r="D20" s="478"/>
      <c r="E20" s="478">
        <v>5134000000</v>
      </c>
      <c r="F20" s="478">
        <f t="shared" si="18"/>
        <v>4497290180</v>
      </c>
      <c r="G20" s="478">
        <f t="shared" si="19"/>
        <v>0</v>
      </c>
      <c r="H20" s="478">
        <f t="shared" si="20"/>
        <v>4497290180</v>
      </c>
      <c r="I20" s="478">
        <f t="shared" si="21"/>
        <v>4497290180</v>
      </c>
      <c r="J20" s="478">
        <f t="shared" si="12"/>
        <v>0</v>
      </c>
      <c r="K20" s="478"/>
      <c r="L20" s="478"/>
      <c r="M20" s="478">
        <f t="shared" si="13"/>
        <v>4497290180</v>
      </c>
      <c r="N20" s="478">
        <v>4497290180</v>
      </c>
      <c r="O20" s="478"/>
      <c r="P20" s="478">
        <f t="shared" si="14"/>
        <v>0</v>
      </c>
      <c r="Q20" s="478">
        <f t="shared" si="15"/>
        <v>0</v>
      </c>
      <c r="R20" s="478"/>
      <c r="S20" s="478"/>
      <c r="T20" s="478">
        <f t="shared" si="16"/>
        <v>0</v>
      </c>
      <c r="U20" s="478"/>
      <c r="V20" s="478"/>
      <c r="W20" s="478">
        <f t="shared" si="22"/>
        <v>0</v>
      </c>
      <c r="X20" s="478">
        <f t="shared" si="17"/>
        <v>0</v>
      </c>
      <c r="Y20" s="478"/>
      <c r="Z20" s="478"/>
      <c r="AA20" s="478">
        <f t="shared" si="23"/>
        <v>0</v>
      </c>
      <c r="AB20" s="478"/>
      <c r="AC20" s="478"/>
      <c r="AD20" s="725">
        <f t="shared" si="7"/>
        <v>0.87598172574990263</v>
      </c>
      <c r="AE20" s="725"/>
      <c r="AF20" s="725">
        <f t="shared" si="9"/>
        <v>0.87598172574990263</v>
      </c>
    </row>
    <row r="21" spans="1:33" s="108" customFormat="1" ht="25.5" customHeight="1">
      <c r="A21" s="724">
        <v>5</v>
      </c>
      <c r="B21" s="551" t="s">
        <v>402</v>
      </c>
      <c r="C21" s="478">
        <f t="shared" si="11"/>
        <v>89910000000</v>
      </c>
      <c r="D21" s="478">
        <v>83500000000</v>
      </c>
      <c r="E21" s="478">
        <v>6410000000</v>
      </c>
      <c r="F21" s="478">
        <f>G21+H21</f>
        <v>88830412000</v>
      </c>
      <c r="G21" s="478">
        <f t="shared" si="19"/>
        <v>82420412000</v>
      </c>
      <c r="H21" s="478">
        <f t="shared" si="20"/>
        <v>6410000000</v>
      </c>
      <c r="I21" s="478">
        <f>J21+M21</f>
        <v>74453314000</v>
      </c>
      <c r="J21" s="478">
        <f t="shared" si="12"/>
        <v>74453314000</v>
      </c>
      <c r="K21" s="478">
        <v>74453314000</v>
      </c>
      <c r="L21" s="478"/>
      <c r="M21" s="478">
        <f t="shared" si="13"/>
        <v>0</v>
      </c>
      <c r="N21" s="478"/>
      <c r="O21" s="478"/>
      <c r="P21" s="478">
        <f>Q21+T21</f>
        <v>6410000000</v>
      </c>
      <c r="Q21" s="478">
        <f t="shared" si="15"/>
        <v>0</v>
      </c>
      <c r="R21" s="478"/>
      <c r="S21" s="478"/>
      <c r="T21" s="478">
        <f t="shared" si="16"/>
        <v>6410000000</v>
      </c>
      <c r="U21" s="478">
        <v>6410000000</v>
      </c>
      <c r="V21" s="478"/>
      <c r="W21" s="478">
        <f t="shared" si="22"/>
        <v>7967098000</v>
      </c>
      <c r="X21" s="478">
        <f t="shared" si="17"/>
        <v>7967098000</v>
      </c>
      <c r="Y21" s="478">
        <v>7967098000</v>
      </c>
      <c r="Z21" s="478"/>
      <c r="AA21" s="478">
        <f t="shared" si="23"/>
        <v>0</v>
      </c>
      <c r="AB21" s="478"/>
      <c r="AC21" s="478"/>
      <c r="AD21" s="725">
        <f t="shared" si="7"/>
        <v>0.98799257034812593</v>
      </c>
      <c r="AE21" s="725">
        <f t="shared" si="8"/>
        <v>0.98707080239520961</v>
      </c>
      <c r="AF21" s="725">
        <f t="shared" si="9"/>
        <v>1</v>
      </c>
    </row>
    <row r="22" spans="1:33" s="108" customFormat="1" ht="25.5" customHeight="1">
      <c r="A22" s="724">
        <v>6</v>
      </c>
      <c r="B22" s="551" t="s">
        <v>729</v>
      </c>
      <c r="C22" s="478">
        <f t="shared" ref="C22" si="24">SUM(D22:E22)</f>
        <v>3846000000</v>
      </c>
      <c r="D22" s="478"/>
      <c r="E22" s="478">
        <v>3846000000</v>
      </c>
      <c r="F22" s="478">
        <f>G22+H22</f>
        <v>340256510</v>
      </c>
      <c r="G22" s="478">
        <f t="shared" ref="G22" si="25">J22+Q22+X22</f>
        <v>0</v>
      </c>
      <c r="H22" s="478">
        <f t="shared" ref="H22" si="26">M22+T22+AA22</f>
        <v>340256510</v>
      </c>
      <c r="I22" s="478">
        <f>J22+M22</f>
        <v>340256510</v>
      </c>
      <c r="J22" s="478">
        <f t="shared" ref="J22" si="27">K22+L22</f>
        <v>0</v>
      </c>
      <c r="K22" s="478">
        <f>+'B54-chi tiết'!EY79+'B54-chi tiết'!EZ79+'B54-chi tiết'!FA79</f>
        <v>0</v>
      </c>
      <c r="L22" s="478"/>
      <c r="M22" s="478">
        <f t="shared" ref="M22" si="28">N22+O22</f>
        <v>340256510</v>
      </c>
      <c r="N22" s="478">
        <v>340256510</v>
      </c>
      <c r="O22" s="478"/>
      <c r="P22" s="478">
        <f>Q22+T22</f>
        <v>0</v>
      </c>
      <c r="Q22" s="478">
        <f t="shared" ref="Q22" si="29">R22+S22</f>
        <v>0</v>
      </c>
      <c r="R22" s="478"/>
      <c r="S22" s="478"/>
      <c r="T22" s="478">
        <f t="shared" ref="T22" si="30">U22+V22</f>
        <v>0</v>
      </c>
      <c r="U22" s="478"/>
      <c r="V22" s="478"/>
      <c r="W22" s="478">
        <f t="shared" ref="W22" si="31">X22+AA22</f>
        <v>0</v>
      </c>
      <c r="X22" s="478">
        <f t="shared" ref="X22" si="32">Y22+Z22</f>
        <v>0</v>
      </c>
      <c r="Y22" s="478"/>
      <c r="Z22" s="478"/>
      <c r="AA22" s="478">
        <f t="shared" ref="AA22" si="33">AB22+AC22</f>
        <v>0</v>
      </c>
      <c r="AB22" s="478"/>
      <c r="AC22" s="478"/>
      <c r="AD22" s="725">
        <f t="shared" si="7"/>
        <v>8.8470231409256375E-2</v>
      </c>
      <c r="AE22" s="725"/>
      <c r="AF22" s="725">
        <f t="shared" si="9"/>
        <v>8.8470231409256375E-2</v>
      </c>
    </row>
    <row r="23" spans="1:33" s="108" customFormat="1" ht="25.5" customHeight="1">
      <c r="A23" s="724">
        <v>7</v>
      </c>
      <c r="B23" s="551" t="s">
        <v>325</v>
      </c>
      <c r="C23" s="478">
        <f>SUM(D23:E23)</f>
        <v>14964000000</v>
      </c>
      <c r="D23" s="478"/>
      <c r="E23" s="478">
        <v>14964000000</v>
      </c>
      <c r="F23" s="478">
        <f>G23+H23</f>
        <v>2890129000</v>
      </c>
      <c r="G23" s="478">
        <f>J23+Q23+X23</f>
        <v>0</v>
      </c>
      <c r="H23" s="478">
        <f>M23+T23+AA23</f>
        <v>2890129000</v>
      </c>
      <c r="I23" s="478">
        <f>J23+M23</f>
        <v>0</v>
      </c>
      <c r="J23" s="478">
        <f>K23+L23</f>
        <v>0</v>
      </c>
      <c r="K23" s="478"/>
      <c r="L23" s="478"/>
      <c r="M23" s="478">
        <f>N23+O23</f>
        <v>0</v>
      </c>
      <c r="N23" s="478"/>
      <c r="O23" s="478"/>
      <c r="P23" s="478">
        <f>Q23+T23</f>
        <v>2890129000</v>
      </c>
      <c r="Q23" s="478">
        <f>R23+S23</f>
        <v>0</v>
      </c>
      <c r="R23" s="478"/>
      <c r="S23" s="478"/>
      <c r="T23" s="478">
        <f>U23+V23</f>
        <v>2890129000</v>
      </c>
      <c r="U23" s="478">
        <v>2890129000</v>
      </c>
      <c r="V23" s="478"/>
      <c r="W23" s="478">
        <f>X23+AA23</f>
        <v>0</v>
      </c>
      <c r="X23" s="478">
        <f>Y23+Z23</f>
        <v>0</v>
      </c>
      <c r="Y23" s="478"/>
      <c r="Z23" s="478"/>
      <c r="AA23" s="478">
        <f>AB23+AC23</f>
        <v>0</v>
      </c>
      <c r="AB23" s="478"/>
      <c r="AC23" s="478"/>
      <c r="AD23" s="725">
        <f t="shared" si="7"/>
        <v>0.19313879978615345</v>
      </c>
      <c r="AE23" s="725"/>
      <c r="AF23" s="725">
        <f t="shared" si="9"/>
        <v>0.19313879978615345</v>
      </c>
    </row>
    <row r="24" spans="1:33" s="108" customFormat="1" ht="25.5" customHeight="1">
      <c r="A24" s="724">
        <v>8</v>
      </c>
      <c r="B24" s="551" t="s">
        <v>190</v>
      </c>
      <c r="C24" s="478">
        <f>SUM(D24:E24)</f>
        <v>1815000000</v>
      </c>
      <c r="D24" s="478"/>
      <c r="E24" s="478">
        <v>1815000000</v>
      </c>
      <c r="F24" s="478">
        <f>G24+H24</f>
        <v>1796150000</v>
      </c>
      <c r="G24" s="478">
        <f>J24+Q24+X24</f>
        <v>0</v>
      </c>
      <c r="H24" s="478">
        <f>M24+T24+AA24</f>
        <v>1796150000</v>
      </c>
      <c r="I24" s="478">
        <f>J24+M24</f>
        <v>0</v>
      </c>
      <c r="J24" s="478">
        <f>K24+L24</f>
        <v>0</v>
      </c>
      <c r="K24" s="478"/>
      <c r="L24" s="478"/>
      <c r="M24" s="478">
        <f>N24+O24</f>
        <v>0</v>
      </c>
      <c r="N24" s="478"/>
      <c r="O24" s="478"/>
      <c r="P24" s="478">
        <f>Q24+T24</f>
        <v>1796150000</v>
      </c>
      <c r="Q24" s="478">
        <f>R24+S24</f>
        <v>0</v>
      </c>
      <c r="R24" s="478"/>
      <c r="S24" s="478"/>
      <c r="T24" s="478">
        <f>U24+V24</f>
        <v>1796150000</v>
      </c>
      <c r="U24" s="478">
        <v>1796150000</v>
      </c>
      <c r="V24" s="478"/>
      <c r="W24" s="478">
        <f>X24+AA24</f>
        <v>0</v>
      </c>
      <c r="X24" s="478">
        <f>Y24+Z24</f>
        <v>0</v>
      </c>
      <c r="Y24" s="478"/>
      <c r="Z24" s="478"/>
      <c r="AA24" s="478">
        <f>AB24+AC24</f>
        <v>0</v>
      </c>
      <c r="AB24" s="478"/>
      <c r="AC24" s="478"/>
      <c r="AD24" s="725">
        <f t="shared" si="7"/>
        <v>0.98961432506887048</v>
      </c>
      <c r="AE24" s="725"/>
      <c r="AF24" s="725">
        <f t="shared" si="9"/>
        <v>0.98961432506887048</v>
      </c>
    </row>
    <row r="25" spans="1:33" s="108" customFormat="1" ht="25.5" customHeight="1">
      <c r="A25" s="724">
        <v>9</v>
      </c>
      <c r="B25" s="551" t="s">
        <v>343</v>
      </c>
      <c r="C25" s="478">
        <f>SUM(D25:E25)</f>
        <v>4168000000</v>
      </c>
      <c r="D25" s="478"/>
      <c r="E25" s="478">
        <v>4168000000</v>
      </c>
      <c r="F25" s="478">
        <f>G25+H25</f>
        <v>1970181276</v>
      </c>
      <c r="G25" s="478">
        <f>J25+Q25+X25</f>
        <v>0</v>
      </c>
      <c r="H25" s="478">
        <f>M25+T25+AA25</f>
        <v>1970181276</v>
      </c>
      <c r="I25" s="478">
        <f>J25+M25</f>
        <v>0</v>
      </c>
      <c r="J25" s="478">
        <f>K25+L25</f>
        <v>0</v>
      </c>
      <c r="K25" s="478"/>
      <c r="L25" s="478"/>
      <c r="M25" s="478">
        <f>N25+O25</f>
        <v>0</v>
      </c>
      <c r="N25" s="478"/>
      <c r="O25" s="478"/>
      <c r="P25" s="478">
        <f>Q25+T25</f>
        <v>1970181276</v>
      </c>
      <c r="Q25" s="478">
        <f>R25+S25</f>
        <v>0</v>
      </c>
      <c r="R25" s="478"/>
      <c r="S25" s="478"/>
      <c r="T25" s="478">
        <f>U25+V25</f>
        <v>1970181276</v>
      </c>
      <c r="U25" s="478">
        <v>1970181276</v>
      </c>
      <c r="V25" s="478"/>
      <c r="W25" s="478">
        <f>X25+AA25</f>
        <v>0</v>
      </c>
      <c r="X25" s="478">
        <f>Y25+Z25</f>
        <v>0</v>
      </c>
      <c r="Y25" s="478"/>
      <c r="Z25" s="478"/>
      <c r="AA25" s="478">
        <f>AB25+AC25</f>
        <v>0</v>
      </c>
      <c r="AB25" s="478"/>
      <c r="AC25" s="478"/>
      <c r="AD25" s="725">
        <f t="shared" si="7"/>
        <v>0.47269224472168908</v>
      </c>
      <c r="AE25" s="725"/>
      <c r="AF25" s="725">
        <f t="shared" si="9"/>
        <v>0.47269224472168908</v>
      </c>
    </row>
    <row r="26" spans="1:33" s="108" customFormat="1" ht="25.5" customHeight="1">
      <c r="A26" s="724">
        <v>10</v>
      </c>
      <c r="B26" s="551" t="s">
        <v>392</v>
      </c>
      <c r="C26" s="478">
        <f t="shared" ref="C26" si="34">SUM(D26:E26)</f>
        <v>0</v>
      </c>
      <c r="D26" s="478"/>
      <c r="E26" s="478"/>
      <c r="F26" s="478">
        <f t="shared" ref="F26" si="35">G26+H26</f>
        <v>34884499547</v>
      </c>
      <c r="G26" s="478">
        <f>J26+Q26+W26</f>
        <v>0</v>
      </c>
      <c r="H26" s="478">
        <f t="shared" ref="H26" si="36">M26+T26+AA26</f>
        <v>34884499547</v>
      </c>
      <c r="I26" s="478">
        <f t="shared" ref="I26" si="37">J26+M26</f>
        <v>34884499547</v>
      </c>
      <c r="J26" s="478">
        <f t="shared" ref="J26" si="38">K26+L26</f>
        <v>0</v>
      </c>
      <c r="K26" s="478"/>
      <c r="L26" s="478"/>
      <c r="M26" s="478">
        <f t="shared" ref="M26" si="39">N26+O26</f>
        <v>34884499547</v>
      </c>
      <c r="N26" s="478">
        <v>34884499547</v>
      </c>
      <c r="O26" s="478"/>
      <c r="P26" s="478">
        <f t="shared" ref="P26" si="40">Q26+T26</f>
        <v>0</v>
      </c>
      <c r="Q26" s="478">
        <f t="shared" ref="Q26" si="41">R26+S26</f>
        <v>0</v>
      </c>
      <c r="R26" s="478"/>
      <c r="S26" s="478"/>
      <c r="T26" s="478">
        <f t="shared" ref="T26" si="42">U26+V26</f>
        <v>0</v>
      </c>
      <c r="U26" s="478"/>
      <c r="V26" s="478"/>
      <c r="W26" s="478">
        <f t="shared" ref="W26" si="43">X26+AA26</f>
        <v>0</v>
      </c>
      <c r="X26" s="478">
        <f t="shared" ref="X26" si="44">Y26+Z26</f>
        <v>0</v>
      </c>
      <c r="Y26" s="478"/>
      <c r="Z26" s="478"/>
      <c r="AA26" s="478">
        <f t="shared" ref="AA26" si="45">AB26+AC26</f>
        <v>0</v>
      </c>
      <c r="AB26" s="478"/>
      <c r="AC26" s="478"/>
      <c r="AD26" s="725"/>
      <c r="AE26" s="725"/>
      <c r="AF26" s="725"/>
    </row>
    <row r="27" spans="1:33" s="347" customFormat="1" ht="25.5" hidden="1" customHeight="1">
      <c r="A27" s="726"/>
      <c r="B27" s="727" t="s">
        <v>332</v>
      </c>
      <c r="C27" s="728">
        <f t="shared" si="11"/>
        <v>0</v>
      </c>
      <c r="D27" s="728"/>
      <c r="E27" s="728"/>
      <c r="F27" s="728">
        <f t="shared" si="18"/>
        <v>0</v>
      </c>
      <c r="G27" s="728">
        <f>J27+Q27+W27</f>
        <v>0</v>
      </c>
      <c r="H27" s="728">
        <f t="shared" si="20"/>
        <v>0</v>
      </c>
      <c r="I27" s="728">
        <f t="shared" si="21"/>
        <v>0</v>
      </c>
      <c r="J27" s="728">
        <f t="shared" si="12"/>
        <v>0</v>
      </c>
      <c r="K27" s="478"/>
      <c r="L27" s="478"/>
      <c r="M27" s="478">
        <f t="shared" si="13"/>
        <v>0</v>
      </c>
      <c r="N27" s="478"/>
      <c r="O27" s="478"/>
      <c r="P27" s="478">
        <f t="shared" si="14"/>
        <v>0</v>
      </c>
      <c r="Q27" s="478">
        <f t="shared" si="15"/>
        <v>0</v>
      </c>
      <c r="R27" s="478"/>
      <c r="S27" s="478"/>
      <c r="T27" s="478">
        <f t="shared" si="16"/>
        <v>0</v>
      </c>
      <c r="U27" s="478"/>
      <c r="V27" s="728"/>
      <c r="W27" s="728">
        <f t="shared" si="22"/>
        <v>0</v>
      </c>
      <c r="X27" s="728">
        <f t="shared" si="17"/>
        <v>0</v>
      </c>
      <c r="Y27" s="478"/>
      <c r="Z27" s="478"/>
      <c r="AA27" s="478">
        <f t="shared" si="23"/>
        <v>0</v>
      </c>
      <c r="AB27" s="478"/>
      <c r="AC27" s="728"/>
      <c r="AD27" s="729"/>
      <c r="AE27" s="729"/>
      <c r="AF27" s="729"/>
    </row>
    <row r="28" spans="1:33" s="369" customFormat="1" ht="25.5" customHeight="1">
      <c r="A28" s="730" t="s">
        <v>12</v>
      </c>
      <c r="B28" s="731" t="s">
        <v>122</v>
      </c>
      <c r="C28" s="732">
        <f>SUM(C29:C47)</f>
        <v>51645000000</v>
      </c>
      <c r="D28" s="732">
        <f>SUM(D29:D47)</f>
        <v>0</v>
      </c>
      <c r="E28" s="732">
        <f>SUM(E29:E47)</f>
        <v>51645000000</v>
      </c>
      <c r="F28" s="732">
        <f>SUM(F29:F47)</f>
        <v>16817259550</v>
      </c>
      <c r="G28" s="732">
        <f t="shared" ref="G28:AC28" si="46">SUM(G29:G47)</f>
        <v>0</v>
      </c>
      <c r="H28" s="732">
        <f t="shared" si="46"/>
        <v>16817259550</v>
      </c>
      <c r="I28" s="732">
        <f t="shared" si="46"/>
        <v>5571016650</v>
      </c>
      <c r="J28" s="732">
        <f t="shared" si="46"/>
        <v>0</v>
      </c>
      <c r="K28" s="732">
        <f t="shared" si="46"/>
        <v>0</v>
      </c>
      <c r="L28" s="732">
        <f t="shared" si="46"/>
        <v>0</v>
      </c>
      <c r="M28" s="732">
        <f t="shared" si="46"/>
        <v>5571016650</v>
      </c>
      <c r="N28" s="732">
        <f t="shared" si="46"/>
        <v>5571016650</v>
      </c>
      <c r="O28" s="732">
        <f t="shared" si="46"/>
        <v>0</v>
      </c>
      <c r="P28" s="732">
        <f t="shared" si="46"/>
        <v>11010000000</v>
      </c>
      <c r="Q28" s="732">
        <f>SUM(Q29:Q47)</f>
        <v>0</v>
      </c>
      <c r="R28" s="732">
        <f t="shared" si="46"/>
        <v>0</v>
      </c>
      <c r="S28" s="732">
        <f>SUM(S29:S47)</f>
        <v>0</v>
      </c>
      <c r="T28" s="732">
        <f>SUM(T29:T47)</f>
        <v>11010000000</v>
      </c>
      <c r="U28" s="732">
        <f>SUM(U29:U47)</f>
        <v>11010000000</v>
      </c>
      <c r="V28" s="732">
        <f t="shared" si="46"/>
        <v>0</v>
      </c>
      <c r="W28" s="732">
        <f t="shared" si="46"/>
        <v>236242900</v>
      </c>
      <c r="X28" s="732">
        <f t="shared" si="46"/>
        <v>0</v>
      </c>
      <c r="Y28" s="566">
        <f t="shared" si="46"/>
        <v>0</v>
      </c>
      <c r="Z28" s="566">
        <f t="shared" si="46"/>
        <v>0</v>
      </c>
      <c r="AA28" s="566">
        <f t="shared" si="46"/>
        <v>236242900</v>
      </c>
      <c r="AB28" s="566">
        <f t="shared" si="46"/>
        <v>236242900</v>
      </c>
      <c r="AC28" s="732">
        <f t="shared" si="46"/>
        <v>0</v>
      </c>
      <c r="AD28" s="717"/>
      <c r="AE28" s="717"/>
      <c r="AF28" s="717"/>
      <c r="AG28" s="368"/>
    </row>
    <row r="29" spans="1:33" s="370" customFormat="1" ht="25.5" customHeight="1">
      <c r="A29" s="733">
        <v>1</v>
      </c>
      <c r="B29" s="519" t="s">
        <v>848</v>
      </c>
      <c r="C29" s="734">
        <f>SUM(D29:E29)</f>
        <v>2784000000</v>
      </c>
      <c r="D29" s="734"/>
      <c r="E29" s="734">
        <v>2784000000</v>
      </c>
      <c r="F29" s="734">
        <f>G29+H29</f>
        <v>1969900000</v>
      </c>
      <c r="G29" s="734">
        <f t="shared" ref="G29" si="47">J29+Q29+X29</f>
        <v>0</v>
      </c>
      <c r="H29" s="734">
        <f>M29+T29+AA29</f>
        <v>1969900000</v>
      </c>
      <c r="I29" s="734">
        <f>J29+M29</f>
        <v>333900000</v>
      </c>
      <c r="J29" s="734">
        <f t="shared" ref="J29:J46" si="48">K29+L29</f>
        <v>0</v>
      </c>
      <c r="K29" s="734"/>
      <c r="L29" s="734"/>
      <c r="M29" s="734">
        <f t="shared" ref="M29:M47" si="49">N29+O29</f>
        <v>333900000</v>
      </c>
      <c r="N29" s="734">
        <v>333900000</v>
      </c>
      <c r="O29" s="734"/>
      <c r="P29" s="734">
        <f t="shared" ref="P29:P47" si="50">Q29+T29</f>
        <v>1626000000</v>
      </c>
      <c r="Q29" s="734">
        <f t="shared" ref="Q29:Q47" si="51">R29+S29</f>
        <v>0</v>
      </c>
      <c r="R29" s="734"/>
      <c r="S29" s="734"/>
      <c r="T29" s="734">
        <f t="shared" ref="T29:T47" si="52">U29+V29</f>
        <v>1626000000</v>
      </c>
      <c r="U29" s="734">
        <v>1626000000</v>
      </c>
      <c r="V29" s="734"/>
      <c r="W29" s="734">
        <f t="shared" ref="W29:W34" si="53">X29+AA29</f>
        <v>10000000</v>
      </c>
      <c r="X29" s="734">
        <f t="shared" ref="X29:X47" si="54">Y29+Z29</f>
        <v>0</v>
      </c>
      <c r="Y29" s="478"/>
      <c r="Z29" s="478"/>
      <c r="AA29" s="478">
        <f t="shared" ref="AA29:AA47" si="55">AB29+AC29</f>
        <v>10000000</v>
      </c>
      <c r="AB29" s="478">
        <v>10000000</v>
      </c>
      <c r="AC29" s="734"/>
      <c r="AD29" s="725"/>
      <c r="AE29" s="725"/>
      <c r="AF29" s="725"/>
    </row>
    <row r="30" spans="1:33" s="370" customFormat="1" ht="25.5" customHeight="1">
      <c r="A30" s="733">
        <v>2</v>
      </c>
      <c r="B30" s="519" t="s">
        <v>849</v>
      </c>
      <c r="C30" s="734">
        <f t="shared" ref="C30:C46" si="56">SUM(D30:E30)</f>
        <v>2816000000</v>
      </c>
      <c r="D30" s="734"/>
      <c r="E30" s="734">
        <v>2816000000</v>
      </c>
      <c r="F30" s="734">
        <f t="shared" ref="F30:F47" si="57">G30+H30</f>
        <v>548318000</v>
      </c>
      <c r="G30" s="734"/>
      <c r="H30" s="734">
        <f t="shared" ref="H30:H47" si="58">M30+T30+AA30</f>
        <v>548318000</v>
      </c>
      <c r="I30" s="734">
        <f t="shared" ref="I30:I47" si="59">J30+M30</f>
        <v>112318000</v>
      </c>
      <c r="J30" s="734">
        <f t="shared" si="48"/>
        <v>0</v>
      </c>
      <c r="K30" s="734"/>
      <c r="L30" s="734"/>
      <c r="M30" s="734">
        <f t="shared" si="49"/>
        <v>112318000</v>
      </c>
      <c r="N30" s="734">
        <v>112318000</v>
      </c>
      <c r="O30" s="734"/>
      <c r="P30" s="734">
        <f t="shared" si="50"/>
        <v>426000000</v>
      </c>
      <c r="Q30" s="734">
        <f t="shared" si="51"/>
        <v>0</v>
      </c>
      <c r="R30" s="734"/>
      <c r="S30" s="734"/>
      <c r="T30" s="734">
        <f t="shared" si="52"/>
        <v>426000000</v>
      </c>
      <c r="U30" s="734">
        <v>426000000</v>
      </c>
      <c r="V30" s="734"/>
      <c r="W30" s="734">
        <f t="shared" si="53"/>
        <v>10000000</v>
      </c>
      <c r="X30" s="734">
        <f t="shared" si="54"/>
        <v>0</v>
      </c>
      <c r="Y30" s="478"/>
      <c r="Z30" s="478"/>
      <c r="AA30" s="478">
        <f t="shared" si="55"/>
        <v>10000000</v>
      </c>
      <c r="AB30" s="478">
        <v>10000000</v>
      </c>
      <c r="AC30" s="734"/>
      <c r="AD30" s="725"/>
      <c r="AE30" s="725"/>
      <c r="AF30" s="725"/>
    </row>
    <row r="31" spans="1:33" s="370" customFormat="1" ht="25.5" customHeight="1">
      <c r="A31" s="733">
        <v>3</v>
      </c>
      <c r="B31" s="519" t="s">
        <v>281</v>
      </c>
      <c r="C31" s="734">
        <f t="shared" si="56"/>
        <v>2824000000</v>
      </c>
      <c r="D31" s="734"/>
      <c r="E31" s="734">
        <v>2824000000</v>
      </c>
      <c r="F31" s="734">
        <f t="shared" si="57"/>
        <v>770917000</v>
      </c>
      <c r="G31" s="734"/>
      <c r="H31" s="734">
        <f t="shared" si="58"/>
        <v>770917000</v>
      </c>
      <c r="I31" s="734">
        <f t="shared" si="59"/>
        <v>365917000</v>
      </c>
      <c r="J31" s="734">
        <f t="shared" si="48"/>
        <v>0</v>
      </c>
      <c r="K31" s="734"/>
      <c r="L31" s="734"/>
      <c r="M31" s="734">
        <f t="shared" si="49"/>
        <v>365917000</v>
      </c>
      <c r="N31" s="734">
        <v>365917000</v>
      </c>
      <c r="O31" s="734"/>
      <c r="P31" s="734">
        <f t="shared" si="50"/>
        <v>385000000</v>
      </c>
      <c r="Q31" s="734">
        <f t="shared" si="51"/>
        <v>0</v>
      </c>
      <c r="R31" s="734"/>
      <c r="S31" s="734"/>
      <c r="T31" s="734">
        <f t="shared" si="52"/>
        <v>385000000</v>
      </c>
      <c r="U31" s="734">
        <v>385000000</v>
      </c>
      <c r="V31" s="734"/>
      <c r="W31" s="734">
        <f t="shared" si="53"/>
        <v>20000000</v>
      </c>
      <c r="X31" s="734">
        <f t="shared" si="54"/>
        <v>0</v>
      </c>
      <c r="Y31" s="478"/>
      <c r="Z31" s="478"/>
      <c r="AA31" s="478">
        <f t="shared" si="55"/>
        <v>20000000</v>
      </c>
      <c r="AB31" s="478">
        <v>20000000</v>
      </c>
      <c r="AC31" s="734"/>
      <c r="AD31" s="725"/>
      <c r="AE31" s="725"/>
      <c r="AF31" s="725"/>
    </row>
    <row r="32" spans="1:33" s="370" customFormat="1" ht="25.5" customHeight="1">
      <c r="A32" s="733">
        <v>4</v>
      </c>
      <c r="B32" s="519" t="s">
        <v>283</v>
      </c>
      <c r="C32" s="734">
        <f t="shared" si="56"/>
        <v>2850000000</v>
      </c>
      <c r="D32" s="734"/>
      <c r="E32" s="734">
        <v>2850000000</v>
      </c>
      <c r="F32" s="734">
        <f t="shared" si="57"/>
        <v>1859114000</v>
      </c>
      <c r="G32" s="734"/>
      <c r="H32" s="734">
        <f t="shared" si="58"/>
        <v>1859114000</v>
      </c>
      <c r="I32" s="734">
        <f t="shared" si="59"/>
        <v>383114000</v>
      </c>
      <c r="J32" s="734">
        <f t="shared" si="48"/>
        <v>0</v>
      </c>
      <c r="K32" s="734"/>
      <c r="L32" s="734"/>
      <c r="M32" s="734">
        <f t="shared" si="49"/>
        <v>383114000</v>
      </c>
      <c r="N32" s="734">
        <v>383114000</v>
      </c>
      <c r="O32" s="734"/>
      <c r="P32" s="734">
        <f t="shared" si="50"/>
        <v>1466000000</v>
      </c>
      <c r="Q32" s="734">
        <f t="shared" si="51"/>
        <v>0</v>
      </c>
      <c r="R32" s="734"/>
      <c r="S32" s="734"/>
      <c r="T32" s="734">
        <f t="shared" si="52"/>
        <v>1466000000</v>
      </c>
      <c r="U32" s="734">
        <v>1466000000</v>
      </c>
      <c r="V32" s="734"/>
      <c r="W32" s="734">
        <f t="shared" si="53"/>
        <v>10000000</v>
      </c>
      <c r="X32" s="734">
        <f t="shared" si="54"/>
        <v>0</v>
      </c>
      <c r="Y32" s="478"/>
      <c r="Z32" s="478"/>
      <c r="AA32" s="478">
        <f t="shared" si="55"/>
        <v>10000000</v>
      </c>
      <c r="AB32" s="478">
        <v>10000000</v>
      </c>
      <c r="AC32" s="734"/>
      <c r="AD32" s="725"/>
      <c r="AE32" s="725"/>
      <c r="AF32" s="725"/>
    </row>
    <row r="33" spans="1:32" s="370" customFormat="1" ht="25.5" customHeight="1">
      <c r="A33" s="733">
        <v>5</v>
      </c>
      <c r="B33" s="519" t="s">
        <v>852</v>
      </c>
      <c r="C33" s="734">
        <f t="shared" si="56"/>
        <v>2916000000</v>
      </c>
      <c r="D33" s="734"/>
      <c r="E33" s="734">
        <v>2916000000</v>
      </c>
      <c r="F33" s="734">
        <f t="shared" si="57"/>
        <v>823700000</v>
      </c>
      <c r="G33" s="734"/>
      <c r="H33" s="734">
        <f t="shared" si="58"/>
        <v>823700000</v>
      </c>
      <c r="I33" s="734">
        <f t="shared" si="59"/>
        <v>387700000</v>
      </c>
      <c r="J33" s="734">
        <f t="shared" si="48"/>
        <v>0</v>
      </c>
      <c r="K33" s="734"/>
      <c r="L33" s="734"/>
      <c r="M33" s="734">
        <f t="shared" si="49"/>
        <v>387700000</v>
      </c>
      <c r="N33" s="734">
        <v>387700000</v>
      </c>
      <c r="O33" s="734"/>
      <c r="P33" s="734">
        <f t="shared" si="50"/>
        <v>426000000</v>
      </c>
      <c r="Q33" s="734">
        <f t="shared" si="51"/>
        <v>0</v>
      </c>
      <c r="R33" s="734"/>
      <c r="S33" s="734"/>
      <c r="T33" s="734">
        <f t="shared" si="52"/>
        <v>426000000</v>
      </c>
      <c r="U33" s="734">
        <v>426000000</v>
      </c>
      <c r="V33" s="734"/>
      <c r="W33" s="734">
        <f t="shared" si="53"/>
        <v>10000000</v>
      </c>
      <c r="X33" s="734">
        <f t="shared" si="54"/>
        <v>0</v>
      </c>
      <c r="Y33" s="478"/>
      <c r="Z33" s="478"/>
      <c r="AA33" s="478">
        <f t="shared" si="55"/>
        <v>10000000</v>
      </c>
      <c r="AB33" s="478">
        <v>10000000</v>
      </c>
      <c r="AC33" s="734"/>
      <c r="AD33" s="725"/>
      <c r="AE33" s="725"/>
      <c r="AF33" s="725"/>
    </row>
    <row r="34" spans="1:32" s="370" customFormat="1" ht="25.5" customHeight="1">
      <c r="A34" s="733">
        <v>6</v>
      </c>
      <c r="B34" s="519" t="s">
        <v>854</v>
      </c>
      <c r="C34" s="734">
        <f>SUM(D34:E34)</f>
        <v>0</v>
      </c>
      <c r="D34" s="734"/>
      <c r="E34" s="734"/>
      <c r="F34" s="734">
        <f t="shared" si="57"/>
        <v>80000000</v>
      </c>
      <c r="G34" s="734"/>
      <c r="H34" s="734">
        <f t="shared" si="58"/>
        <v>80000000</v>
      </c>
      <c r="I34" s="734">
        <f t="shared" si="59"/>
        <v>0</v>
      </c>
      <c r="J34" s="734">
        <f t="shared" si="48"/>
        <v>0</v>
      </c>
      <c r="K34" s="734"/>
      <c r="L34" s="734"/>
      <c r="M34" s="734">
        <f t="shared" si="49"/>
        <v>0</v>
      </c>
      <c r="N34" s="734">
        <v>0</v>
      </c>
      <c r="O34" s="734"/>
      <c r="P34" s="734">
        <f t="shared" si="50"/>
        <v>80000000</v>
      </c>
      <c r="Q34" s="734">
        <f t="shared" si="51"/>
        <v>0</v>
      </c>
      <c r="R34" s="734"/>
      <c r="S34" s="734"/>
      <c r="T34" s="734">
        <f t="shared" si="52"/>
        <v>80000000</v>
      </c>
      <c r="U34" s="734">
        <v>80000000</v>
      </c>
      <c r="V34" s="734"/>
      <c r="W34" s="734">
        <f t="shared" si="53"/>
        <v>0</v>
      </c>
      <c r="X34" s="734">
        <f t="shared" si="54"/>
        <v>0</v>
      </c>
      <c r="Y34" s="478"/>
      <c r="Z34" s="478"/>
      <c r="AA34" s="478">
        <f t="shared" si="55"/>
        <v>0</v>
      </c>
      <c r="AB34" s="478">
        <v>0</v>
      </c>
      <c r="AC34" s="734"/>
      <c r="AD34" s="725"/>
      <c r="AE34" s="725"/>
      <c r="AF34" s="725"/>
    </row>
    <row r="35" spans="1:32" s="370" customFormat="1" ht="25.5" customHeight="1">
      <c r="A35" s="733">
        <v>7</v>
      </c>
      <c r="B35" s="519" t="s">
        <v>284</v>
      </c>
      <c r="C35" s="734">
        <f t="shared" si="56"/>
        <v>2854000000</v>
      </c>
      <c r="D35" s="734"/>
      <c r="E35" s="734">
        <v>2854000000</v>
      </c>
      <c r="F35" s="734">
        <f t="shared" si="57"/>
        <v>956600000</v>
      </c>
      <c r="G35" s="734"/>
      <c r="H35" s="734">
        <f t="shared" si="58"/>
        <v>956600000</v>
      </c>
      <c r="I35" s="734">
        <f t="shared" si="59"/>
        <v>120600000</v>
      </c>
      <c r="J35" s="734">
        <f t="shared" si="48"/>
        <v>0</v>
      </c>
      <c r="K35" s="734"/>
      <c r="L35" s="734"/>
      <c r="M35" s="734">
        <f t="shared" si="49"/>
        <v>120600000</v>
      </c>
      <c r="N35" s="734">
        <v>120600000</v>
      </c>
      <c r="O35" s="734"/>
      <c r="P35" s="734">
        <f t="shared" si="50"/>
        <v>826000000</v>
      </c>
      <c r="Q35" s="734">
        <f t="shared" si="51"/>
        <v>0</v>
      </c>
      <c r="R35" s="734"/>
      <c r="S35" s="734"/>
      <c r="T35" s="734">
        <f t="shared" si="52"/>
        <v>826000000</v>
      </c>
      <c r="U35" s="734">
        <v>826000000</v>
      </c>
      <c r="V35" s="734"/>
      <c r="W35" s="734">
        <f t="shared" ref="W35:W47" si="60">X35+AA35</f>
        <v>10000000</v>
      </c>
      <c r="X35" s="734">
        <f t="shared" si="54"/>
        <v>0</v>
      </c>
      <c r="Y35" s="478"/>
      <c r="Z35" s="478"/>
      <c r="AA35" s="478">
        <f t="shared" si="55"/>
        <v>10000000</v>
      </c>
      <c r="AB35" s="478">
        <v>10000000</v>
      </c>
      <c r="AC35" s="734"/>
      <c r="AD35" s="725"/>
      <c r="AE35" s="725"/>
      <c r="AF35" s="725"/>
    </row>
    <row r="36" spans="1:32" s="370" customFormat="1" ht="25.5" customHeight="1">
      <c r="A36" s="733">
        <v>8</v>
      </c>
      <c r="B36" s="519" t="s">
        <v>285</v>
      </c>
      <c r="C36" s="734">
        <f t="shared" si="56"/>
        <v>2999000000</v>
      </c>
      <c r="D36" s="734"/>
      <c r="E36" s="734">
        <v>2999000000</v>
      </c>
      <c r="F36" s="734">
        <f t="shared" si="57"/>
        <v>833712050</v>
      </c>
      <c r="G36" s="734"/>
      <c r="H36" s="734">
        <f t="shared" si="58"/>
        <v>833712050</v>
      </c>
      <c r="I36" s="734">
        <f t="shared" si="59"/>
        <v>391474150</v>
      </c>
      <c r="J36" s="734">
        <f t="shared" si="48"/>
        <v>0</v>
      </c>
      <c r="K36" s="734"/>
      <c r="L36" s="734"/>
      <c r="M36" s="734">
        <f t="shared" si="49"/>
        <v>391474150</v>
      </c>
      <c r="N36" s="734">
        <v>391474150</v>
      </c>
      <c r="O36" s="734"/>
      <c r="P36" s="734">
        <f t="shared" si="50"/>
        <v>426000000</v>
      </c>
      <c r="Q36" s="734">
        <f t="shared" si="51"/>
        <v>0</v>
      </c>
      <c r="R36" s="734"/>
      <c r="S36" s="734"/>
      <c r="T36" s="734">
        <f t="shared" si="52"/>
        <v>426000000</v>
      </c>
      <c r="U36" s="734">
        <v>426000000</v>
      </c>
      <c r="V36" s="734"/>
      <c r="W36" s="734">
        <f t="shared" si="60"/>
        <v>16237900</v>
      </c>
      <c r="X36" s="734">
        <f t="shared" si="54"/>
        <v>0</v>
      </c>
      <c r="Y36" s="478"/>
      <c r="Z36" s="478"/>
      <c r="AA36" s="478">
        <f t="shared" si="55"/>
        <v>16237900</v>
      </c>
      <c r="AB36" s="478">
        <v>16237900</v>
      </c>
      <c r="AC36" s="734"/>
      <c r="AD36" s="725"/>
      <c r="AE36" s="725"/>
      <c r="AF36" s="725"/>
    </row>
    <row r="37" spans="1:32" s="370" customFormat="1" ht="25.5" customHeight="1">
      <c r="A37" s="733">
        <v>9</v>
      </c>
      <c r="B37" s="519" t="s">
        <v>286</v>
      </c>
      <c r="C37" s="734">
        <f t="shared" si="56"/>
        <v>2897000000</v>
      </c>
      <c r="D37" s="734"/>
      <c r="E37" s="734">
        <v>2897000000</v>
      </c>
      <c r="F37" s="734">
        <f t="shared" si="57"/>
        <v>1033072000</v>
      </c>
      <c r="G37" s="734"/>
      <c r="H37" s="734">
        <f t="shared" si="58"/>
        <v>1033072000</v>
      </c>
      <c r="I37" s="734">
        <f t="shared" si="59"/>
        <v>358072000</v>
      </c>
      <c r="J37" s="734">
        <f t="shared" si="48"/>
        <v>0</v>
      </c>
      <c r="K37" s="734"/>
      <c r="L37" s="734"/>
      <c r="M37" s="734">
        <f t="shared" si="49"/>
        <v>358072000</v>
      </c>
      <c r="N37" s="734">
        <v>358072000</v>
      </c>
      <c r="O37" s="734"/>
      <c r="P37" s="734">
        <f t="shared" si="50"/>
        <v>665000000</v>
      </c>
      <c r="Q37" s="734">
        <f t="shared" si="51"/>
        <v>0</v>
      </c>
      <c r="R37" s="734"/>
      <c r="S37" s="734"/>
      <c r="T37" s="734">
        <f t="shared" si="52"/>
        <v>665000000</v>
      </c>
      <c r="U37" s="734">
        <v>665000000</v>
      </c>
      <c r="V37" s="734"/>
      <c r="W37" s="734">
        <f t="shared" si="60"/>
        <v>10000000</v>
      </c>
      <c r="X37" s="734">
        <f t="shared" si="54"/>
        <v>0</v>
      </c>
      <c r="Y37" s="478"/>
      <c r="Z37" s="478"/>
      <c r="AA37" s="478">
        <f t="shared" si="55"/>
        <v>10000000</v>
      </c>
      <c r="AB37" s="478">
        <v>10000000</v>
      </c>
      <c r="AC37" s="734"/>
      <c r="AD37" s="725"/>
      <c r="AE37" s="725"/>
      <c r="AF37" s="725"/>
    </row>
    <row r="38" spans="1:32" s="370" customFormat="1" ht="25.5" customHeight="1">
      <c r="A38" s="733">
        <v>10</v>
      </c>
      <c r="B38" s="519" t="s">
        <v>287</v>
      </c>
      <c r="C38" s="734">
        <f t="shared" si="56"/>
        <v>2836000000</v>
      </c>
      <c r="D38" s="734"/>
      <c r="E38" s="734">
        <v>2836000000</v>
      </c>
      <c r="F38" s="734">
        <f t="shared" si="57"/>
        <v>913200000</v>
      </c>
      <c r="G38" s="734"/>
      <c r="H38" s="734">
        <f t="shared" si="58"/>
        <v>913200000</v>
      </c>
      <c r="I38" s="734">
        <f t="shared" si="59"/>
        <v>387200000</v>
      </c>
      <c r="J38" s="734">
        <f t="shared" si="48"/>
        <v>0</v>
      </c>
      <c r="K38" s="734"/>
      <c r="L38" s="734"/>
      <c r="M38" s="734">
        <f t="shared" si="49"/>
        <v>387200000</v>
      </c>
      <c r="N38" s="734">
        <v>387200000</v>
      </c>
      <c r="O38" s="734"/>
      <c r="P38" s="734">
        <f t="shared" si="50"/>
        <v>506000000</v>
      </c>
      <c r="Q38" s="734">
        <f t="shared" si="51"/>
        <v>0</v>
      </c>
      <c r="R38" s="734"/>
      <c r="S38" s="734"/>
      <c r="T38" s="734">
        <f t="shared" si="52"/>
        <v>506000000</v>
      </c>
      <c r="U38" s="734">
        <v>506000000</v>
      </c>
      <c r="V38" s="734"/>
      <c r="W38" s="734">
        <f t="shared" si="60"/>
        <v>20000000</v>
      </c>
      <c r="X38" s="734">
        <f t="shared" si="54"/>
        <v>0</v>
      </c>
      <c r="Y38" s="478"/>
      <c r="Z38" s="478"/>
      <c r="AA38" s="478">
        <f t="shared" si="55"/>
        <v>20000000</v>
      </c>
      <c r="AB38" s="478">
        <v>20000000</v>
      </c>
      <c r="AC38" s="734"/>
      <c r="AD38" s="725"/>
      <c r="AE38" s="725"/>
      <c r="AF38" s="725"/>
    </row>
    <row r="39" spans="1:32" s="370" customFormat="1" ht="25.5" customHeight="1">
      <c r="A39" s="733">
        <v>11</v>
      </c>
      <c r="B39" s="519" t="s">
        <v>288</v>
      </c>
      <c r="C39" s="734">
        <f t="shared" si="56"/>
        <v>2921000000</v>
      </c>
      <c r="D39" s="734"/>
      <c r="E39" s="734">
        <v>2921000000</v>
      </c>
      <c r="F39" s="734">
        <f t="shared" si="57"/>
        <v>911890000</v>
      </c>
      <c r="G39" s="734"/>
      <c r="H39" s="734">
        <f t="shared" si="58"/>
        <v>911890000</v>
      </c>
      <c r="I39" s="734">
        <f t="shared" si="59"/>
        <v>345890000</v>
      </c>
      <c r="J39" s="734">
        <f t="shared" si="48"/>
        <v>0</v>
      </c>
      <c r="K39" s="734"/>
      <c r="L39" s="734"/>
      <c r="M39" s="734">
        <f t="shared" si="49"/>
        <v>345890000</v>
      </c>
      <c r="N39" s="734">
        <v>345890000</v>
      </c>
      <c r="O39" s="734"/>
      <c r="P39" s="734">
        <f t="shared" si="50"/>
        <v>546000000</v>
      </c>
      <c r="Q39" s="734">
        <f t="shared" si="51"/>
        <v>0</v>
      </c>
      <c r="R39" s="734"/>
      <c r="S39" s="734"/>
      <c r="T39" s="734">
        <f t="shared" si="52"/>
        <v>546000000</v>
      </c>
      <c r="U39" s="734">
        <v>546000000</v>
      </c>
      <c r="V39" s="734"/>
      <c r="W39" s="734">
        <f t="shared" si="60"/>
        <v>20000000</v>
      </c>
      <c r="X39" s="734">
        <f t="shared" si="54"/>
        <v>0</v>
      </c>
      <c r="Y39" s="478"/>
      <c r="Z39" s="478"/>
      <c r="AA39" s="478">
        <f t="shared" si="55"/>
        <v>20000000</v>
      </c>
      <c r="AB39" s="478">
        <v>20000000</v>
      </c>
      <c r="AC39" s="734"/>
      <c r="AD39" s="725"/>
      <c r="AE39" s="725"/>
      <c r="AF39" s="725"/>
    </row>
    <row r="40" spans="1:32" s="370" customFormat="1" ht="25.5" customHeight="1">
      <c r="A40" s="733">
        <v>12</v>
      </c>
      <c r="B40" s="519" t="s">
        <v>289</v>
      </c>
      <c r="C40" s="734">
        <f t="shared" si="56"/>
        <v>2942000000</v>
      </c>
      <c r="D40" s="734"/>
      <c r="E40" s="734">
        <v>2942000000</v>
      </c>
      <c r="F40" s="734">
        <f t="shared" si="57"/>
        <v>831895500</v>
      </c>
      <c r="G40" s="734"/>
      <c r="H40" s="734">
        <f t="shared" si="58"/>
        <v>831895500</v>
      </c>
      <c r="I40" s="734">
        <f t="shared" si="59"/>
        <v>385890500</v>
      </c>
      <c r="J40" s="734">
        <f t="shared" si="48"/>
        <v>0</v>
      </c>
      <c r="K40" s="734"/>
      <c r="L40" s="734"/>
      <c r="M40" s="734">
        <f t="shared" si="49"/>
        <v>385890500</v>
      </c>
      <c r="N40" s="734">
        <v>385890500</v>
      </c>
      <c r="O40" s="734"/>
      <c r="P40" s="734">
        <f t="shared" si="50"/>
        <v>426000000</v>
      </c>
      <c r="Q40" s="734">
        <f t="shared" si="51"/>
        <v>0</v>
      </c>
      <c r="R40" s="734"/>
      <c r="S40" s="734"/>
      <c r="T40" s="734">
        <f t="shared" si="52"/>
        <v>426000000</v>
      </c>
      <c r="U40" s="734">
        <v>426000000</v>
      </c>
      <c r="V40" s="734"/>
      <c r="W40" s="734">
        <f t="shared" si="60"/>
        <v>20005000</v>
      </c>
      <c r="X40" s="734">
        <f t="shared" si="54"/>
        <v>0</v>
      </c>
      <c r="Y40" s="478"/>
      <c r="Z40" s="478"/>
      <c r="AA40" s="478">
        <f t="shared" si="55"/>
        <v>20005000</v>
      </c>
      <c r="AB40" s="478">
        <v>20005000</v>
      </c>
      <c r="AC40" s="734"/>
      <c r="AD40" s="725"/>
      <c r="AE40" s="725"/>
      <c r="AF40" s="725"/>
    </row>
    <row r="41" spans="1:32" s="370" customFormat="1" ht="25.5" customHeight="1">
      <c r="A41" s="733">
        <v>13</v>
      </c>
      <c r="B41" s="519" t="s">
        <v>290</v>
      </c>
      <c r="C41" s="734">
        <f t="shared" si="56"/>
        <v>2827000000</v>
      </c>
      <c r="D41" s="734"/>
      <c r="E41" s="734">
        <v>2827000000</v>
      </c>
      <c r="F41" s="734">
        <f t="shared" si="57"/>
        <v>854750000</v>
      </c>
      <c r="G41" s="734"/>
      <c r="H41" s="734">
        <f t="shared" si="58"/>
        <v>854750000</v>
      </c>
      <c r="I41" s="734">
        <f t="shared" si="59"/>
        <v>378750000</v>
      </c>
      <c r="J41" s="734">
        <f t="shared" si="48"/>
        <v>0</v>
      </c>
      <c r="K41" s="734"/>
      <c r="L41" s="734"/>
      <c r="M41" s="734">
        <f t="shared" si="49"/>
        <v>378750000</v>
      </c>
      <c r="N41" s="734">
        <v>378750000</v>
      </c>
      <c r="O41" s="734"/>
      <c r="P41" s="734">
        <f t="shared" si="50"/>
        <v>466000000</v>
      </c>
      <c r="Q41" s="734">
        <f t="shared" si="51"/>
        <v>0</v>
      </c>
      <c r="R41" s="734"/>
      <c r="S41" s="734"/>
      <c r="T41" s="734">
        <f t="shared" si="52"/>
        <v>466000000</v>
      </c>
      <c r="U41" s="734">
        <v>466000000</v>
      </c>
      <c r="V41" s="734"/>
      <c r="W41" s="734">
        <f t="shared" si="60"/>
        <v>10000000</v>
      </c>
      <c r="X41" s="734">
        <f t="shared" si="54"/>
        <v>0</v>
      </c>
      <c r="Y41" s="478"/>
      <c r="Z41" s="478"/>
      <c r="AA41" s="478">
        <f t="shared" si="55"/>
        <v>10000000</v>
      </c>
      <c r="AB41" s="478">
        <v>10000000</v>
      </c>
      <c r="AC41" s="734"/>
      <c r="AD41" s="725"/>
      <c r="AE41" s="725"/>
      <c r="AF41" s="725"/>
    </row>
    <row r="42" spans="1:32" s="370" customFormat="1" ht="25.5" customHeight="1">
      <c r="A42" s="733">
        <v>14</v>
      </c>
      <c r="B42" s="519" t="s">
        <v>863</v>
      </c>
      <c r="C42" s="734">
        <f t="shared" si="56"/>
        <v>2794000000</v>
      </c>
      <c r="D42" s="734"/>
      <c r="E42" s="734">
        <v>2794000000</v>
      </c>
      <c r="F42" s="734">
        <f t="shared" si="57"/>
        <v>841473000</v>
      </c>
      <c r="G42" s="734"/>
      <c r="H42" s="734">
        <f t="shared" si="58"/>
        <v>841473000</v>
      </c>
      <c r="I42" s="734">
        <f t="shared" si="59"/>
        <v>369473000</v>
      </c>
      <c r="J42" s="734">
        <f t="shared" si="48"/>
        <v>0</v>
      </c>
      <c r="K42" s="734"/>
      <c r="L42" s="734"/>
      <c r="M42" s="734">
        <f t="shared" si="49"/>
        <v>369473000</v>
      </c>
      <c r="N42" s="734">
        <v>369473000</v>
      </c>
      <c r="O42" s="734"/>
      <c r="P42" s="734">
        <f t="shared" si="50"/>
        <v>462000000</v>
      </c>
      <c r="Q42" s="734">
        <f t="shared" si="51"/>
        <v>0</v>
      </c>
      <c r="R42" s="734"/>
      <c r="S42" s="734"/>
      <c r="T42" s="734">
        <f t="shared" si="52"/>
        <v>462000000</v>
      </c>
      <c r="U42" s="734">
        <v>462000000</v>
      </c>
      <c r="V42" s="734"/>
      <c r="W42" s="734">
        <f t="shared" si="60"/>
        <v>10000000</v>
      </c>
      <c r="X42" s="734">
        <f t="shared" si="54"/>
        <v>0</v>
      </c>
      <c r="Y42" s="478"/>
      <c r="Z42" s="478"/>
      <c r="AA42" s="478">
        <f t="shared" si="55"/>
        <v>10000000</v>
      </c>
      <c r="AB42" s="478">
        <v>10000000</v>
      </c>
      <c r="AC42" s="734"/>
      <c r="AD42" s="725"/>
      <c r="AE42" s="725"/>
      <c r="AF42" s="725"/>
    </row>
    <row r="43" spans="1:32" s="370" customFormat="1" ht="25.5" customHeight="1">
      <c r="A43" s="733">
        <v>15</v>
      </c>
      <c r="B43" s="519" t="s">
        <v>291</v>
      </c>
      <c r="C43" s="734">
        <f t="shared" si="56"/>
        <v>3036000000</v>
      </c>
      <c r="D43" s="734"/>
      <c r="E43" s="734">
        <v>3036000000</v>
      </c>
      <c r="F43" s="734">
        <f t="shared" si="57"/>
        <v>295800000</v>
      </c>
      <c r="G43" s="734"/>
      <c r="H43" s="734">
        <f t="shared" si="58"/>
        <v>295800000</v>
      </c>
      <c r="I43" s="734">
        <f t="shared" si="59"/>
        <v>55800000</v>
      </c>
      <c r="J43" s="734">
        <f t="shared" si="48"/>
        <v>0</v>
      </c>
      <c r="K43" s="734"/>
      <c r="L43" s="734"/>
      <c r="M43" s="734">
        <f t="shared" si="49"/>
        <v>55800000</v>
      </c>
      <c r="N43" s="734">
        <v>55800000</v>
      </c>
      <c r="O43" s="734"/>
      <c r="P43" s="734">
        <f t="shared" si="50"/>
        <v>240000000</v>
      </c>
      <c r="Q43" s="734">
        <f t="shared" si="51"/>
        <v>0</v>
      </c>
      <c r="R43" s="734"/>
      <c r="S43" s="734"/>
      <c r="T43" s="734">
        <f t="shared" si="52"/>
        <v>240000000</v>
      </c>
      <c r="U43" s="734">
        <v>240000000</v>
      </c>
      <c r="V43" s="734"/>
      <c r="W43" s="734">
        <f t="shared" si="60"/>
        <v>0</v>
      </c>
      <c r="X43" s="734">
        <f t="shared" si="54"/>
        <v>0</v>
      </c>
      <c r="Y43" s="478"/>
      <c r="Z43" s="478"/>
      <c r="AA43" s="478">
        <f t="shared" si="55"/>
        <v>0</v>
      </c>
      <c r="AB43" s="478">
        <v>0</v>
      </c>
      <c r="AC43" s="734"/>
      <c r="AD43" s="725"/>
      <c r="AE43" s="725"/>
      <c r="AF43" s="725"/>
    </row>
    <row r="44" spans="1:32" s="370" customFormat="1" ht="25.5" customHeight="1">
      <c r="A44" s="733">
        <v>16</v>
      </c>
      <c r="B44" s="519" t="s">
        <v>292</v>
      </c>
      <c r="C44" s="734">
        <f t="shared" si="56"/>
        <v>2935000000</v>
      </c>
      <c r="D44" s="734"/>
      <c r="E44" s="734">
        <v>2935000000</v>
      </c>
      <c r="F44" s="734">
        <f t="shared" si="57"/>
        <v>640528000</v>
      </c>
      <c r="G44" s="734"/>
      <c r="H44" s="734">
        <f t="shared" si="58"/>
        <v>640528000</v>
      </c>
      <c r="I44" s="734">
        <f t="shared" si="59"/>
        <v>350528000</v>
      </c>
      <c r="J44" s="734">
        <f t="shared" si="48"/>
        <v>0</v>
      </c>
      <c r="K44" s="734"/>
      <c r="L44" s="734"/>
      <c r="M44" s="734">
        <f t="shared" si="49"/>
        <v>350528000</v>
      </c>
      <c r="N44" s="734">
        <v>350528000</v>
      </c>
      <c r="O44" s="734"/>
      <c r="P44" s="734">
        <f t="shared" si="50"/>
        <v>280000000</v>
      </c>
      <c r="Q44" s="734">
        <f t="shared" si="51"/>
        <v>0</v>
      </c>
      <c r="R44" s="734"/>
      <c r="S44" s="734"/>
      <c r="T44" s="734">
        <f t="shared" si="52"/>
        <v>280000000</v>
      </c>
      <c r="U44" s="734">
        <v>280000000</v>
      </c>
      <c r="V44" s="734"/>
      <c r="W44" s="734">
        <f t="shared" si="60"/>
        <v>10000000</v>
      </c>
      <c r="X44" s="734">
        <f t="shared" si="54"/>
        <v>0</v>
      </c>
      <c r="Y44" s="478"/>
      <c r="Z44" s="478"/>
      <c r="AA44" s="478">
        <f t="shared" si="55"/>
        <v>10000000</v>
      </c>
      <c r="AB44" s="478">
        <v>10000000</v>
      </c>
      <c r="AC44" s="734"/>
      <c r="AD44" s="725"/>
      <c r="AE44" s="725"/>
      <c r="AF44" s="725"/>
    </row>
    <row r="45" spans="1:32" s="370" customFormat="1" ht="25.5" customHeight="1">
      <c r="A45" s="733">
        <v>17</v>
      </c>
      <c r="B45" s="519" t="s">
        <v>867</v>
      </c>
      <c r="C45" s="734">
        <f t="shared" si="56"/>
        <v>2778000000</v>
      </c>
      <c r="D45" s="734"/>
      <c r="E45" s="734">
        <v>2778000000</v>
      </c>
      <c r="F45" s="734">
        <f t="shared" si="57"/>
        <v>579000000</v>
      </c>
      <c r="G45" s="734"/>
      <c r="H45" s="734">
        <f t="shared" si="58"/>
        <v>579000000</v>
      </c>
      <c r="I45" s="734">
        <f t="shared" si="59"/>
        <v>373000000</v>
      </c>
      <c r="J45" s="734">
        <f t="shared" si="48"/>
        <v>0</v>
      </c>
      <c r="K45" s="734"/>
      <c r="L45" s="734"/>
      <c r="M45" s="734">
        <f t="shared" si="49"/>
        <v>373000000</v>
      </c>
      <c r="N45" s="734">
        <v>373000000</v>
      </c>
      <c r="O45" s="734"/>
      <c r="P45" s="734">
        <f t="shared" si="50"/>
        <v>186000000</v>
      </c>
      <c r="Q45" s="734">
        <f t="shared" si="51"/>
        <v>0</v>
      </c>
      <c r="R45" s="734"/>
      <c r="S45" s="734"/>
      <c r="T45" s="734">
        <f t="shared" si="52"/>
        <v>186000000</v>
      </c>
      <c r="U45" s="734">
        <v>186000000</v>
      </c>
      <c r="V45" s="734"/>
      <c r="W45" s="734">
        <f t="shared" si="60"/>
        <v>20000000</v>
      </c>
      <c r="X45" s="734">
        <f t="shared" si="54"/>
        <v>0</v>
      </c>
      <c r="Y45" s="478"/>
      <c r="Z45" s="478"/>
      <c r="AA45" s="478">
        <f t="shared" si="55"/>
        <v>20000000</v>
      </c>
      <c r="AB45" s="478">
        <v>20000000</v>
      </c>
      <c r="AC45" s="734"/>
      <c r="AD45" s="725"/>
      <c r="AE45" s="725"/>
      <c r="AF45" s="725"/>
    </row>
    <row r="46" spans="1:32" s="370" customFormat="1" ht="25.5" customHeight="1">
      <c r="A46" s="733">
        <v>18</v>
      </c>
      <c r="B46" s="519" t="s">
        <v>293</v>
      </c>
      <c r="C46" s="734">
        <f t="shared" si="56"/>
        <v>2853000000</v>
      </c>
      <c r="D46" s="734"/>
      <c r="E46" s="734">
        <v>2853000000</v>
      </c>
      <c r="F46" s="734">
        <f t="shared" si="57"/>
        <v>1297890000</v>
      </c>
      <c r="G46" s="734"/>
      <c r="H46" s="734">
        <f t="shared" si="58"/>
        <v>1297890000</v>
      </c>
      <c r="I46" s="734">
        <f t="shared" si="59"/>
        <v>371890000</v>
      </c>
      <c r="J46" s="734">
        <f t="shared" si="48"/>
        <v>0</v>
      </c>
      <c r="K46" s="734"/>
      <c r="L46" s="734"/>
      <c r="M46" s="734">
        <f t="shared" si="49"/>
        <v>371890000</v>
      </c>
      <c r="N46" s="734">
        <v>371890000</v>
      </c>
      <c r="O46" s="734"/>
      <c r="P46" s="734">
        <f t="shared" si="50"/>
        <v>906000000</v>
      </c>
      <c r="Q46" s="734">
        <f t="shared" si="51"/>
        <v>0</v>
      </c>
      <c r="R46" s="734"/>
      <c r="S46" s="734"/>
      <c r="T46" s="734">
        <f t="shared" si="52"/>
        <v>906000000</v>
      </c>
      <c r="U46" s="734">
        <v>906000000</v>
      </c>
      <c r="V46" s="734"/>
      <c r="W46" s="734">
        <f t="shared" si="60"/>
        <v>20000000</v>
      </c>
      <c r="X46" s="734">
        <f t="shared" si="54"/>
        <v>0</v>
      </c>
      <c r="Y46" s="478"/>
      <c r="Z46" s="478"/>
      <c r="AA46" s="478">
        <f t="shared" si="55"/>
        <v>20000000</v>
      </c>
      <c r="AB46" s="478">
        <v>20000000</v>
      </c>
      <c r="AC46" s="734"/>
      <c r="AD46" s="725"/>
      <c r="AE46" s="725"/>
      <c r="AF46" s="725"/>
    </row>
    <row r="47" spans="1:32" s="370" customFormat="1" ht="25.5" customHeight="1">
      <c r="A47" s="735">
        <v>19</v>
      </c>
      <c r="B47" s="736" t="s">
        <v>870</v>
      </c>
      <c r="C47" s="737">
        <f>SUM(D47:E47)</f>
        <v>2783000000</v>
      </c>
      <c r="D47" s="737"/>
      <c r="E47" s="737">
        <v>2783000000</v>
      </c>
      <c r="F47" s="737">
        <f t="shared" si="57"/>
        <v>775500000</v>
      </c>
      <c r="G47" s="737"/>
      <c r="H47" s="737">
        <f t="shared" si="58"/>
        <v>775500000</v>
      </c>
      <c r="I47" s="737">
        <f t="shared" si="59"/>
        <v>99500000</v>
      </c>
      <c r="J47" s="737">
        <f>K47+L47</f>
        <v>0</v>
      </c>
      <c r="K47" s="737"/>
      <c r="L47" s="737"/>
      <c r="M47" s="737">
        <f t="shared" si="49"/>
        <v>99500000</v>
      </c>
      <c r="N47" s="737">
        <v>99500000</v>
      </c>
      <c r="O47" s="737"/>
      <c r="P47" s="737">
        <f t="shared" si="50"/>
        <v>666000000</v>
      </c>
      <c r="Q47" s="737">
        <f t="shared" si="51"/>
        <v>0</v>
      </c>
      <c r="R47" s="737"/>
      <c r="S47" s="737"/>
      <c r="T47" s="737">
        <f t="shared" si="52"/>
        <v>666000000</v>
      </c>
      <c r="U47" s="737">
        <v>666000000</v>
      </c>
      <c r="V47" s="737"/>
      <c r="W47" s="737">
        <f t="shared" si="60"/>
        <v>10000000</v>
      </c>
      <c r="X47" s="737">
        <f t="shared" si="54"/>
        <v>0</v>
      </c>
      <c r="Y47" s="738"/>
      <c r="Z47" s="738"/>
      <c r="AA47" s="738">
        <f t="shared" si="55"/>
        <v>10000000</v>
      </c>
      <c r="AB47" s="738">
        <v>10000000</v>
      </c>
      <c r="AC47" s="737"/>
      <c r="AD47" s="739"/>
      <c r="AE47" s="739"/>
      <c r="AF47" s="739"/>
    </row>
    <row r="48" spans="1:32" s="84" customFormat="1" ht="18" customHeight="1">
      <c r="A48" s="94"/>
      <c r="B48" s="95"/>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8"/>
      <c r="AE48" s="198"/>
      <c r="AF48" s="198"/>
    </row>
    <row r="49" spans="1:32" s="84" customFormat="1" ht="18" customHeight="1">
      <c r="A49" s="94"/>
      <c r="B49" s="95"/>
      <c r="C49" s="197"/>
      <c r="D49" s="197"/>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8"/>
      <c r="AE49" s="198"/>
      <c r="AF49" s="198"/>
    </row>
    <row r="50" spans="1:32" s="84" customFormat="1" ht="18" customHeight="1">
      <c r="A50" s="94"/>
      <c r="B50" s="95"/>
      <c r="C50" s="197"/>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8"/>
      <c r="AE50" s="198"/>
      <c r="AF50" s="198"/>
    </row>
    <row r="51" spans="1:32">
      <c r="F51" s="112"/>
      <c r="G51" s="112"/>
      <c r="H51" s="112"/>
    </row>
    <row r="52" spans="1:32">
      <c r="E52" s="112"/>
      <c r="F52" s="112"/>
      <c r="G52" s="112"/>
      <c r="H52" s="112"/>
    </row>
  </sheetData>
  <mergeCells count="45">
    <mergeCell ref="A2:AF2"/>
    <mergeCell ref="A3:AF3"/>
    <mergeCell ref="J8:J9"/>
    <mergeCell ref="G6:H6"/>
    <mergeCell ref="F5:O5"/>
    <mergeCell ref="P5:V5"/>
    <mergeCell ref="N8:O8"/>
    <mergeCell ref="Q7:S7"/>
    <mergeCell ref="A5:A9"/>
    <mergeCell ref="K8:L8"/>
    <mergeCell ref="C5:E5"/>
    <mergeCell ref="I7:I9"/>
    <mergeCell ref="D6:E6"/>
    <mergeCell ref="G7:G9"/>
    <mergeCell ref="B5:B9"/>
    <mergeCell ref="E7:E9"/>
    <mergeCell ref="C6:C9"/>
    <mergeCell ref="AD5:AF5"/>
    <mergeCell ref="R8:S8"/>
    <mergeCell ref="I6:O6"/>
    <mergeCell ref="Q8:Q9"/>
    <mergeCell ref="J7:L7"/>
    <mergeCell ref="M8:M9"/>
    <mergeCell ref="AF7:AF9"/>
    <mergeCell ref="AE6:AF6"/>
    <mergeCell ref="T8:T9"/>
    <mergeCell ref="AE7:AE9"/>
    <mergeCell ref="AD6:AD9"/>
    <mergeCell ref="M7:O7"/>
    <mergeCell ref="P6:V6"/>
    <mergeCell ref="D7:D9"/>
    <mergeCell ref="P7:P9"/>
    <mergeCell ref="F6:F9"/>
    <mergeCell ref="H7:H9"/>
    <mergeCell ref="T7:V7"/>
    <mergeCell ref="U8:V8"/>
    <mergeCell ref="W5:AC5"/>
    <mergeCell ref="W6:AC6"/>
    <mergeCell ref="W7:W9"/>
    <mergeCell ref="X7:Z7"/>
    <mergeCell ref="AA7:AC7"/>
    <mergeCell ref="X8:X9"/>
    <mergeCell ref="Y8:Z8"/>
    <mergeCell ref="AA8:AA9"/>
    <mergeCell ref="AB8:AC8"/>
  </mergeCells>
  <phoneticPr fontId="16" type="noConversion"/>
  <pageMargins left="0.23622047244094499" right="0" top="0.52559055099999996" bottom="0.35433070866141703" header="0" footer="0.27559055118110198"/>
  <pageSetup paperSize="9" scale="36" fitToHeight="0" orientation="landscape" verticalDpi="4294967295"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BM117"/>
  <sheetViews>
    <sheetView view="pageBreakPreview" zoomScale="85" zoomScaleNormal="90" zoomScaleSheetLayoutView="85" workbookViewId="0">
      <pane xSplit="2" ySplit="9" topLeftCell="C10" activePane="bottomRight" state="frozen"/>
      <selection pane="topRight" activeCell="C1" sqref="C1"/>
      <selection pane="bottomLeft" activeCell="A10" sqref="A10"/>
      <selection pane="bottomRight" activeCell="AQ19" sqref="AQ19"/>
    </sheetView>
  </sheetViews>
  <sheetFormatPr defaultColWidth="9" defaultRowHeight="12.75"/>
  <cols>
    <col min="1" max="1" width="6.125" style="742" customWidth="1"/>
    <col min="2" max="2" width="33.125" style="834" customWidth="1"/>
    <col min="3" max="3" width="10.375" style="835" customWidth="1"/>
    <col min="4" max="4" width="6.25" style="742" customWidth="1"/>
    <col min="5" max="5" width="5.5" style="743" customWidth="1"/>
    <col min="6" max="6" width="10.75" style="743" customWidth="1"/>
    <col min="7" max="7" width="10.375" style="744" customWidth="1"/>
    <col min="8" max="8" width="5.75" style="745" customWidth="1"/>
    <col min="9" max="9" width="10.75" style="745" customWidth="1"/>
    <col min="10" max="10" width="9.875" style="745" customWidth="1"/>
    <col min="11" max="11" width="9" style="746" customWidth="1"/>
    <col min="12" max="12" width="10.75" style="745" customWidth="1"/>
    <col min="13" max="13" width="5.875" style="745" customWidth="1"/>
    <col min="14" max="14" width="10.25" style="745" customWidth="1"/>
    <col min="15" max="15" width="9.625" style="745" customWidth="1"/>
    <col min="16" max="16" width="8.75" style="745" customWidth="1"/>
    <col min="17" max="17" width="10.5" style="745" customWidth="1"/>
    <col min="18" max="18" width="6.25" style="745" customWidth="1"/>
    <col min="19" max="19" width="10.375" style="745" customWidth="1"/>
    <col min="20" max="20" width="9.875" style="745" customWidth="1"/>
    <col min="21" max="21" width="8.25" style="746" customWidth="1"/>
    <col min="22" max="22" width="9.625" style="745" customWidth="1"/>
    <col min="23" max="23" width="7.375" style="745" customWidth="1"/>
    <col min="24" max="24" width="9.875" style="745" customWidth="1"/>
    <col min="25" max="25" width="9.5" style="745" customWidth="1"/>
    <col min="26" max="26" width="8.375" style="745" customWidth="1"/>
    <col min="27" max="27" width="10.125" style="745" customWidth="1"/>
    <col min="28" max="28" width="7.375" style="745" customWidth="1"/>
    <col min="29" max="29" width="9.375" style="745" customWidth="1"/>
    <col min="30" max="30" width="9.625" style="745" customWidth="1"/>
    <col min="31" max="31" width="6.125" style="745" customWidth="1"/>
    <col min="32" max="36" width="6.375" style="745" customWidth="1"/>
    <col min="37" max="37" width="6" style="748" hidden="1" customWidth="1"/>
    <col min="38" max="38" width="33.125" style="748" hidden="1" customWidth="1"/>
    <col min="39" max="41" width="24.5" style="748" hidden="1" customWidth="1"/>
    <col min="42" max="65" width="9" style="748"/>
    <col min="66" max="16384" width="9" style="745"/>
  </cols>
  <sheetData>
    <row r="1" spans="1:65" ht="22.5" customHeight="1">
      <c r="A1" s="740"/>
      <c r="B1" s="741"/>
      <c r="C1" s="742"/>
      <c r="AH1" s="747" t="s">
        <v>365</v>
      </c>
      <c r="AI1" s="747"/>
      <c r="AJ1" s="747"/>
      <c r="AK1" s="747"/>
    </row>
    <row r="2" spans="1:65" s="750" customFormat="1" ht="30.75" customHeight="1">
      <c r="A2" s="1071" t="s">
        <v>756</v>
      </c>
      <c r="B2" s="1071"/>
      <c r="C2" s="1071"/>
      <c r="D2" s="1071"/>
      <c r="E2" s="1071"/>
      <c r="F2" s="1071"/>
      <c r="G2" s="1071"/>
      <c r="H2" s="1071"/>
      <c r="I2" s="1071"/>
      <c r="J2" s="1071"/>
      <c r="K2" s="1071"/>
      <c r="L2" s="1071"/>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749"/>
      <c r="AL2" s="749"/>
      <c r="AM2" s="749"/>
      <c r="AN2" s="749"/>
      <c r="AO2" s="749"/>
      <c r="AP2" s="749"/>
      <c r="AQ2" s="749"/>
      <c r="AR2" s="749"/>
      <c r="AS2" s="749"/>
      <c r="AT2" s="749"/>
      <c r="AU2" s="749"/>
      <c r="AV2" s="749"/>
      <c r="AW2" s="749"/>
      <c r="AX2" s="749"/>
      <c r="AY2" s="749"/>
      <c r="AZ2" s="749"/>
      <c r="BA2" s="749"/>
      <c r="BB2" s="749"/>
      <c r="BC2" s="749"/>
      <c r="BD2" s="749"/>
      <c r="BE2" s="749"/>
      <c r="BF2" s="749"/>
      <c r="BG2" s="749"/>
      <c r="BH2" s="749"/>
      <c r="BI2" s="749"/>
      <c r="BJ2" s="749"/>
      <c r="BK2" s="749"/>
      <c r="BL2" s="749"/>
      <c r="BM2" s="749"/>
    </row>
    <row r="3" spans="1:65" ht="24" customHeight="1">
      <c r="A3" s="1072" t="str">
        <f>'Biểu 61- H+X'!A3:AF3</f>
        <v>(Kèm theo Báo cáo số  289/BC-UBND ngày  17 /6 /2024 của UBND huyện Tuần Giáo)</v>
      </c>
      <c r="B3" s="1072"/>
      <c r="C3" s="1072"/>
      <c r="D3" s="1072"/>
      <c r="E3" s="1072"/>
      <c r="F3" s="1072"/>
      <c r="G3" s="1072"/>
      <c r="H3" s="1072"/>
      <c r="I3" s="1072"/>
      <c r="J3" s="1072"/>
      <c r="K3" s="1072"/>
      <c r="L3" s="1072"/>
      <c r="M3" s="1072"/>
      <c r="N3" s="1072"/>
      <c r="O3" s="1072"/>
      <c r="P3" s="1072"/>
      <c r="Q3" s="1072"/>
      <c r="R3" s="1072"/>
      <c r="S3" s="1072"/>
      <c r="T3" s="1072"/>
      <c r="U3" s="1072"/>
      <c r="V3" s="1072"/>
      <c r="W3" s="1072"/>
      <c r="X3" s="1072"/>
      <c r="Y3" s="1072"/>
      <c r="Z3" s="1072"/>
      <c r="AA3" s="1072"/>
      <c r="AB3" s="1072"/>
      <c r="AC3" s="1072"/>
      <c r="AD3" s="1072"/>
      <c r="AE3" s="1072"/>
      <c r="AF3" s="1072"/>
      <c r="AG3" s="1072"/>
      <c r="AH3" s="1072"/>
      <c r="AI3" s="1072"/>
      <c r="AJ3" s="1072"/>
      <c r="AK3" s="749"/>
      <c r="AL3" s="749"/>
      <c r="AM3" s="749"/>
      <c r="AN3" s="749"/>
      <c r="AO3" s="749"/>
      <c r="AP3" s="749"/>
      <c r="AQ3" s="749"/>
      <c r="AR3" s="749"/>
      <c r="AS3" s="749"/>
      <c r="AT3" s="749"/>
      <c r="AU3" s="749"/>
      <c r="AV3" s="749"/>
      <c r="AW3" s="749"/>
      <c r="AX3" s="749"/>
      <c r="AY3" s="749"/>
      <c r="AZ3" s="749"/>
      <c r="BA3" s="749"/>
      <c r="BB3" s="749"/>
      <c r="BC3" s="749"/>
      <c r="BD3" s="749"/>
      <c r="BE3" s="749"/>
      <c r="BF3" s="749"/>
      <c r="BG3" s="749"/>
      <c r="BH3" s="749"/>
      <c r="BI3" s="749"/>
    </row>
    <row r="4" spans="1:65" ht="27.75" customHeight="1">
      <c r="A4" s="751"/>
      <c r="B4" s="752"/>
      <c r="C4" s="753"/>
      <c r="D4" s="753"/>
      <c r="E4" s="754"/>
      <c r="F4" s="755"/>
      <c r="G4" s="756"/>
      <c r="H4" s="756"/>
      <c r="I4" s="756"/>
      <c r="J4" s="756"/>
      <c r="K4" s="756"/>
      <c r="L4" s="753"/>
      <c r="M4" s="753"/>
      <c r="N4" s="753"/>
      <c r="O4" s="753"/>
      <c r="P4" s="753"/>
      <c r="Q4" s="753"/>
      <c r="R4" s="753"/>
      <c r="S4" s="753"/>
      <c r="T4" s="753"/>
      <c r="U4" s="753"/>
      <c r="V4" s="753"/>
      <c r="W4" s="753"/>
      <c r="X4" s="753"/>
      <c r="Y4" s="753"/>
      <c r="Z4" s="753"/>
      <c r="AA4" s="753"/>
      <c r="AB4" s="753"/>
      <c r="AC4" s="753"/>
      <c r="AD4" s="753"/>
      <c r="AE4" s="753"/>
      <c r="AF4" s="753"/>
      <c r="AG4" s="1069" t="s">
        <v>414</v>
      </c>
      <c r="AH4" s="1069"/>
      <c r="AI4" s="1069"/>
      <c r="AJ4" s="1069"/>
      <c r="AK4" s="1069"/>
      <c r="AL4" s="749"/>
      <c r="AM4" s="749"/>
      <c r="AN4" s="749"/>
      <c r="AO4" s="749"/>
      <c r="AP4" s="749"/>
      <c r="AQ4" s="749"/>
      <c r="AR4" s="749"/>
      <c r="AS4" s="749"/>
      <c r="AT4" s="749"/>
      <c r="AU4" s="749"/>
      <c r="AV4" s="749"/>
      <c r="AW4" s="749"/>
      <c r="AX4" s="749"/>
      <c r="AY4" s="749"/>
      <c r="AZ4" s="749"/>
      <c r="BA4" s="749"/>
      <c r="BB4" s="749"/>
      <c r="BC4" s="749"/>
      <c r="BD4" s="749"/>
      <c r="BE4" s="749"/>
      <c r="BF4" s="749"/>
      <c r="BG4" s="749"/>
      <c r="BH4" s="749"/>
      <c r="BI4" s="749"/>
    </row>
    <row r="5" spans="1:65" s="747" customFormat="1" ht="21" customHeight="1">
      <c r="A5" s="1070" t="s">
        <v>51</v>
      </c>
      <c r="B5" s="1070" t="s">
        <v>366</v>
      </c>
      <c r="C5" s="1070" t="s">
        <v>367</v>
      </c>
      <c r="D5" s="1070" t="s">
        <v>368</v>
      </c>
      <c r="E5" s="1073" t="s">
        <v>369</v>
      </c>
      <c r="F5" s="1070" t="s">
        <v>370</v>
      </c>
      <c r="G5" s="1070"/>
      <c r="H5" s="1070"/>
      <c r="I5" s="1070"/>
      <c r="J5" s="1070"/>
      <c r="K5" s="1070"/>
      <c r="L5" s="1070" t="s">
        <v>757</v>
      </c>
      <c r="M5" s="1070"/>
      <c r="N5" s="1070"/>
      <c r="O5" s="1070"/>
      <c r="P5" s="1070"/>
      <c r="Q5" s="1070" t="s">
        <v>758</v>
      </c>
      <c r="R5" s="1070"/>
      <c r="S5" s="1070"/>
      <c r="T5" s="1070"/>
      <c r="U5" s="1070"/>
      <c r="V5" s="1070" t="s">
        <v>2</v>
      </c>
      <c r="W5" s="1070"/>
      <c r="X5" s="1070"/>
      <c r="Y5" s="1070"/>
      <c r="Z5" s="1070"/>
      <c r="AA5" s="1070" t="s">
        <v>50</v>
      </c>
      <c r="AB5" s="1070"/>
      <c r="AC5" s="1070"/>
      <c r="AD5" s="1070"/>
      <c r="AE5" s="1070"/>
      <c r="AF5" s="1070" t="s">
        <v>75</v>
      </c>
      <c r="AG5" s="1070"/>
      <c r="AH5" s="1070"/>
      <c r="AI5" s="1070"/>
      <c r="AJ5" s="1070"/>
      <c r="AK5" s="1070" t="s">
        <v>671</v>
      </c>
      <c r="AL5" s="749"/>
      <c r="AM5" s="749"/>
      <c r="AN5" s="749">
        <f>+AD59*1000000</f>
        <v>154316000</v>
      </c>
      <c r="AO5" s="749">
        <f>+AL5+AM5+AN5</f>
        <v>154316000</v>
      </c>
      <c r="AP5" s="749"/>
      <c r="AQ5" s="749"/>
      <c r="AR5" s="749"/>
      <c r="AS5" s="749"/>
      <c r="AT5" s="749"/>
      <c r="AU5" s="749"/>
      <c r="AV5" s="749"/>
      <c r="AW5" s="749"/>
      <c r="AX5" s="749"/>
      <c r="AY5" s="749"/>
      <c r="AZ5" s="749"/>
      <c r="BA5" s="749"/>
      <c r="BB5" s="749"/>
      <c r="BC5" s="749"/>
      <c r="BD5" s="749"/>
      <c r="BE5" s="749"/>
      <c r="BF5" s="749"/>
      <c r="BG5" s="749"/>
      <c r="BH5" s="749"/>
      <c r="BI5" s="749"/>
    </row>
    <row r="6" spans="1:65" s="747" customFormat="1" ht="21" customHeight="1">
      <c r="A6" s="1070"/>
      <c r="B6" s="1070"/>
      <c r="C6" s="1075"/>
      <c r="D6" s="1070"/>
      <c r="E6" s="1073"/>
      <c r="F6" s="1073" t="s">
        <v>371</v>
      </c>
      <c r="G6" s="1070" t="s">
        <v>372</v>
      </c>
      <c r="H6" s="1070"/>
      <c r="I6" s="1070"/>
      <c r="J6" s="1070"/>
      <c r="K6" s="1070"/>
      <c r="L6" s="1070"/>
      <c r="M6" s="1070"/>
      <c r="N6" s="1070"/>
      <c r="O6" s="1070"/>
      <c r="P6" s="1070"/>
      <c r="Q6" s="1070"/>
      <c r="R6" s="1070"/>
      <c r="S6" s="1070"/>
      <c r="T6" s="1070"/>
      <c r="U6" s="1070"/>
      <c r="V6" s="1070"/>
      <c r="W6" s="1070"/>
      <c r="X6" s="1070"/>
      <c r="Y6" s="1070"/>
      <c r="Z6" s="1070"/>
      <c r="AA6" s="1070"/>
      <c r="AB6" s="1070"/>
      <c r="AC6" s="1070"/>
      <c r="AD6" s="1070"/>
      <c r="AE6" s="1070"/>
      <c r="AF6" s="1070"/>
      <c r="AG6" s="1070"/>
      <c r="AH6" s="1070"/>
      <c r="AI6" s="1070"/>
      <c r="AJ6" s="1070"/>
      <c r="AK6" s="1070"/>
      <c r="AL6" s="749"/>
      <c r="AM6" s="749"/>
      <c r="AN6" s="749"/>
      <c r="AO6" s="749">
        <f t="shared" ref="AO6:AO8" si="0">+AL6+AM6+AN6</f>
        <v>0</v>
      </c>
      <c r="AP6" s="749"/>
      <c r="AQ6" s="749"/>
      <c r="AR6" s="749"/>
      <c r="AS6" s="749"/>
      <c r="AT6" s="749"/>
      <c r="AU6" s="749"/>
      <c r="AV6" s="749"/>
      <c r="AW6" s="749"/>
      <c r="AX6" s="749"/>
      <c r="AY6" s="749"/>
      <c r="AZ6" s="749"/>
      <c r="BA6" s="749"/>
      <c r="BB6" s="749"/>
      <c r="BC6" s="749"/>
      <c r="BD6" s="749"/>
      <c r="BE6" s="749"/>
      <c r="BF6" s="749"/>
      <c r="BG6" s="749"/>
      <c r="BH6" s="749"/>
      <c r="BI6" s="749"/>
    </row>
    <row r="7" spans="1:65" s="747" customFormat="1" ht="21" customHeight="1">
      <c r="A7" s="1070"/>
      <c r="B7" s="1070"/>
      <c r="C7" s="1075"/>
      <c r="D7" s="1070"/>
      <c r="E7" s="1073"/>
      <c r="F7" s="1073"/>
      <c r="G7" s="1074" t="s">
        <v>373</v>
      </c>
      <c r="H7" s="1070" t="s">
        <v>374</v>
      </c>
      <c r="I7" s="1070"/>
      <c r="J7" s="1070"/>
      <c r="K7" s="1070"/>
      <c r="L7" s="1070" t="s">
        <v>67</v>
      </c>
      <c r="M7" s="1070" t="s">
        <v>374</v>
      </c>
      <c r="N7" s="1070"/>
      <c r="O7" s="1070"/>
      <c r="P7" s="1070"/>
      <c r="Q7" s="1070" t="s">
        <v>67</v>
      </c>
      <c r="R7" s="1070" t="s">
        <v>374</v>
      </c>
      <c r="S7" s="1070"/>
      <c r="T7" s="1070"/>
      <c r="U7" s="1070"/>
      <c r="V7" s="1070" t="s">
        <v>67</v>
      </c>
      <c r="W7" s="1070" t="s">
        <v>374</v>
      </c>
      <c r="X7" s="1070"/>
      <c r="Y7" s="1070"/>
      <c r="Z7" s="1070"/>
      <c r="AA7" s="1070" t="s">
        <v>67</v>
      </c>
      <c r="AB7" s="1070" t="s">
        <v>374</v>
      </c>
      <c r="AC7" s="1070"/>
      <c r="AD7" s="1070"/>
      <c r="AE7" s="1070"/>
      <c r="AF7" s="1070" t="s">
        <v>67</v>
      </c>
      <c r="AG7" s="1070" t="s">
        <v>374</v>
      </c>
      <c r="AH7" s="1070"/>
      <c r="AI7" s="1070"/>
      <c r="AJ7" s="1070"/>
      <c r="AK7" s="757"/>
      <c r="AL7" s="749">
        <f>+AD17*1000000</f>
        <v>8730962000</v>
      </c>
      <c r="AM7" s="749"/>
      <c r="AN7" s="749">
        <f>+AD62*1000000</f>
        <v>1833372000</v>
      </c>
      <c r="AO7" s="749">
        <f t="shared" si="0"/>
        <v>10564334000</v>
      </c>
      <c r="AP7" s="749"/>
      <c r="AQ7" s="749"/>
      <c r="AR7" s="749"/>
      <c r="AS7" s="749"/>
      <c r="AT7" s="749"/>
      <c r="AU7" s="749"/>
      <c r="AV7" s="749"/>
      <c r="AW7" s="749"/>
      <c r="AX7" s="749"/>
      <c r="AY7" s="749"/>
      <c r="AZ7" s="749"/>
      <c r="BA7" s="749"/>
      <c r="BB7" s="749"/>
      <c r="BC7" s="749"/>
      <c r="BD7" s="749"/>
      <c r="BE7" s="749"/>
      <c r="BF7" s="749"/>
      <c r="BG7" s="749"/>
      <c r="BH7" s="749"/>
      <c r="BI7" s="749"/>
    </row>
    <row r="8" spans="1:65" s="747" customFormat="1" ht="60.75" customHeight="1">
      <c r="A8" s="1070"/>
      <c r="B8" s="1070"/>
      <c r="C8" s="1075"/>
      <c r="D8" s="1070"/>
      <c r="E8" s="1073"/>
      <c r="F8" s="1073"/>
      <c r="G8" s="1074"/>
      <c r="H8" s="758" t="s">
        <v>375</v>
      </c>
      <c r="I8" s="758" t="s">
        <v>376</v>
      </c>
      <c r="J8" s="759" t="s">
        <v>123</v>
      </c>
      <c r="K8" s="758" t="s">
        <v>377</v>
      </c>
      <c r="L8" s="1070"/>
      <c r="M8" s="758" t="s">
        <v>375</v>
      </c>
      <c r="N8" s="758" t="s">
        <v>376</v>
      </c>
      <c r="O8" s="759" t="s">
        <v>123</v>
      </c>
      <c r="P8" s="758" t="s">
        <v>377</v>
      </c>
      <c r="Q8" s="1070"/>
      <c r="R8" s="758" t="s">
        <v>375</v>
      </c>
      <c r="S8" s="758" t="s">
        <v>376</v>
      </c>
      <c r="T8" s="759" t="s">
        <v>123</v>
      </c>
      <c r="U8" s="758" t="s">
        <v>377</v>
      </c>
      <c r="V8" s="1070"/>
      <c r="W8" s="758" t="s">
        <v>375</v>
      </c>
      <c r="X8" s="758" t="s">
        <v>376</v>
      </c>
      <c r="Y8" s="759" t="s">
        <v>123</v>
      </c>
      <c r="Z8" s="758" t="s">
        <v>377</v>
      </c>
      <c r="AA8" s="1070"/>
      <c r="AB8" s="758" t="s">
        <v>375</v>
      </c>
      <c r="AC8" s="758" t="s">
        <v>376</v>
      </c>
      <c r="AD8" s="759" t="s">
        <v>123</v>
      </c>
      <c r="AE8" s="758" t="s">
        <v>377</v>
      </c>
      <c r="AF8" s="1070"/>
      <c r="AG8" s="758" t="s">
        <v>375</v>
      </c>
      <c r="AH8" s="758" t="s">
        <v>376</v>
      </c>
      <c r="AI8" s="759" t="s">
        <v>484</v>
      </c>
      <c r="AJ8" s="758" t="s">
        <v>377</v>
      </c>
      <c r="AK8" s="757"/>
      <c r="AL8" s="749">
        <f>+(AD18+AD20)*1000000</f>
        <v>22010571000</v>
      </c>
      <c r="AM8" s="749">
        <f>+AD29*1000000</f>
        <v>13024978485.000002</v>
      </c>
      <c r="AN8" s="749">
        <f>+(AD58+AD60+AD63)*1000000</f>
        <v>1766266408.9999998</v>
      </c>
      <c r="AO8" s="749">
        <f t="shared" si="0"/>
        <v>36801815894</v>
      </c>
      <c r="AP8" s="749"/>
      <c r="AQ8" s="749"/>
      <c r="AR8" s="749"/>
      <c r="AS8" s="749"/>
      <c r="AT8" s="749"/>
      <c r="AU8" s="749"/>
      <c r="AV8" s="749"/>
      <c r="AW8" s="749"/>
      <c r="AX8" s="749"/>
      <c r="AY8" s="749"/>
      <c r="AZ8" s="749"/>
      <c r="BA8" s="749"/>
      <c r="BB8" s="749"/>
      <c r="BC8" s="749"/>
      <c r="BD8" s="749"/>
      <c r="BE8" s="749"/>
      <c r="BF8" s="749"/>
      <c r="BG8" s="749"/>
      <c r="BH8" s="749"/>
      <c r="BI8" s="749"/>
    </row>
    <row r="9" spans="1:65" s="763" customFormat="1" ht="18.75" customHeight="1">
      <c r="A9" s="760" t="s">
        <v>3</v>
      </c>
      <c r="B9" s="760" t="s">
        <v>4</v>
      </c>
      <c r="C9" s="760">
        <v>1</v>
      </c>
      <c r="D9" s="760">
        <v>2</v>
      </c>
      <c r="E9" s="760">
        <v>3</v>
      </c>
      <c r="F9" s="760">
        <v>4</v>
      </c>
      <c r="G9" s="760">
        <v>5</v>
      </c>
      <c r="H9" s="760">
        <v>6</v>
      </c>
      <c r="I9" s="760">
        <v>7</v>
      </c>
      <c r="J9" s="760">
        <v>8</v>
      </c>
      <c r="K9" s="760">
        <v>9</v>
      </c>
      <c r="L9" s="760">
        <v>10</v>
      </c>
      <c r="M9" s="760">
        <v>11</v>
      </c>
      <c r="N9" s="760">
        <v>12</v>
      </c>
      <c r="O9" s="760">
        <v>13</v>
      </c>
      <c r="P9" s="760">
        <v>14</v>
      </c>
      <c r="Q9" s="760">
        <v>15</v>
      </c>
      <c r="R9" s="760">
        <v>16</v>
      </c>
      <c r="S9" s="760">
        <v>17</v>
      </c>
      <c r="T9" s="760">
        <v>18</v>
      </c>
      <c r="U9" s="760">
        <v>19</v>
      </c>
      <c r="V9" s="760">
        <v>20</v>
      </c>
      <c r="W9" s="760">
        <v>21</v>
      </c>
      <c r="X9" s="760">
        <v>22</v>
      </c>
      <c r="Y9" s="760">
        <v>23</v>
      </c>
      <c r="Z9" s="760">
        <v>24</v>
      </c>
      <c r="AA9" s="760">
        <v>25</v>
      </c>
      <c r="AB9" s="760">
        <v>26</v>
      </c>
      <c r="AC9" s="760">
        <v>27</v>
      </c>
      <c r="AD9" s="760">
        <v>28</v>
      </c>
      <c r="AE9" s="760">
        <v>29</v>
      </c>
      <c r="AF9" s="761" t="s">
        <v>823</v>
      </c>
      <c r="AG9" s="761" t="s">
        <v>824</v>
      </c>
      <c r="AH9" s="761" t="s">
        <v>378</v>
      </c>
      <c r="AI9" s="761" t="s">
        <v>379</v>
      </c>
      <c r="AJ9" s="761" t="s">
        <v>380</v>
      </c>
      <c r="AK9" s="762"/>
      <c r="AL9" s="749">
        <f>+AL7+AL8</f>
        <v>30741533000</v>
      </c>
      <c r="AM9" s="749">
        <f t="shared" ref="AM9:AO9" si="1">+AM7+AM8</f>
        <v>13024978485.000002</v>
      </c>
      <c r="AN9" s="749">
        <f>+AN7+AN8+AN5</f>
        <v>3753954409</v>
      </c>
      <c r="AO9" s="749">
        <f t="shared" si="1"/>
        <v>47366149894</v>
      </c>
      <c r="AP9" s="749"/>
      <c r="AQ9" s="749"/>
      <c r="AR9" s="749"/>
      <c r="AS9" s="749"/>
      <c r="AT9" s="749"/>
      <c r="AU9" s="749"/>
      <c r="AV9" s="749"/>
      <c r="AW9" s="749"/>
      <c r="AX9" s="749"/>
      <c r="AY9" s="749"/>
      <c r="AZ9" s="749"/>
      <c r="BA9" s="749"/>
      <c r="BB9" s="749"/>
      <c r="BC9" s="749"/>
      <c r="BD9" s="749"/>
      <c r="BE9" s="749"/>
      <c r="BF9" s="749"/>
      <c r="BG9" s="749"/>
      <c r="BH9" s="749"/>
      <c r="BI9" s="749"/>
    </row>
    <row r="10" spans="1:65" s="772" customFormat="1" ht="21" customHeight="1">
      <c r="A10" s="764"/>
      <c r="B10" s="765" t="s">
        <v>488</v>
      </c>
      <c r="C10" s="766"/>
      <c r="D10" s="766"/>
      <c r="E10" s="767"/>
      <c r="F10" s="767"/>
      <c r="G10" s="768">
        <f t="shared" ref="G10:AE10" si="2">+G11+G12</f>
        <v>481974.532526</v>
      </c>
      <c r="H10" s="768">
        <f t="shared" si="2"/>
        <v>0</v>
      </c>
      <c r="I10" s="768">
        <f t="shared" si="2"/>
        <v>232973</v>
      </c>
      <c r="J10" s="768">
        <f t="shared" si="2"/>
        <v>246844.532526</v>
      </c>
      <c r="K10" s="768">
        <f t="shared" si="2"/>
        <v>2157</v>
      </c>
      <c r="L10" s="768">
        <f t="shared" si="2"/>
        <v>243847.38540500001</v>
      </c>
      <c r="M10" s="768">
        <f t="shared" si="2"/>
        <v>0</v>
      </c>
      <c r="N10" s="768">
        <f t="shared" si="2"/>
        <v>142428.05900000001</v>
      </c>
      <c r="O10" s="768">
        <f t="shared" si="2"/>
        <v>101419.326405</v>
      </c>
      <c r="P10" s="768">
        <f t="shared" si="2"/>
        <v>0</v>
      </c>
      <c r="Q10" s="768">
        <f t="shared" si="2"/>
        <v>272582.52518699999</v>
      </c>
      <c r="R10" s="768">
        <f t="shared" si="2"/>
        <v>0</v>
      </c>
      <c r="S10" s="768">
        <f t="shared" si="2"/>
        <v>167034.66899999999</v>
      </c>
      <c r="T10" s="768">
        <f t="shared" si="2"/>
        <v>105576.98418700001</v>
      </c>
      <c r="U10" s="768">
        <f t="shared" si="2"/>
        <v>0</v>
      </c>
      <c r="V10" s="768">
        <f t="shared" si="2"/>
        <v>158747.65467600001</v>
      </c>
      <c r="W10" s="768">
        <f t="shared" si="2"/>
        <v>0</v>
      </c>
      <c r="X10" s="768">
        <f t="shared" si="2"/>
        <v>107259.974</v>
      </c>
      <c r="Y10" s="768">
        <f t="shared" si="2"/>
        <v>51487.680675999996</v>
      </c>
      <c r="Z10" s="768">
        <f t="shared" si="2"/>
        <v>0</v>
      </c>
      <c r="AA10" s="768">
        <f t="shared" si="2"/>
        <v>129940.877894</v>
      </c>
      <c r="AB10" s="768">
        <f t="shared" si="2"/>
        <v>0</v>
      </c>
      <c r="AC10" s="768">
        <f t="shared" si="2"/>
        <v>82420.411999999997</v>
      </c>
      <c r="AD10" s="768">
        <f t="shared" si="2"/>
        <v>47520.465894000001</v>
      </c>
      <c r="AE10" s="768">
        <f t="shared" si="2"/>
        <v>0</v>
      </c>
      <c r="AF10" s="769">
        <f>AA10/V10</f>
        <v>0.81853730790042911</v>
      </c>
      <c r="AG10" s="770"/>
      <c r="AH10" s="770">
        <f>AC10/X10</f>
        <v>0.76841722896557851</v>
      </c>
      <c r="AI10" s="770">
        <f>AD10/Y10</f>
        <v>0.92294827170474514</v>
      </c>
      <c r="AJ10" s="771"/>
      <c r="AK10" s="757"/>
      <c r="AL10" s="749"/>
      <c r="AM10" s="749"/>
      <c r="AN10" s="749"/>
      <c r="AO10" s="749"/>
      <c r="AP10" s="749"/>
      <c r="AQ10" s="749"/>
      <c r="AR10" s="749"/>
      <c r="AS10" s="749"/>
      <c r="AT10" s="749"/>
      <c r="AU10" s="749"/>
      <c r="AV10" s="749"/>
      <c r="AW10" s="749"/>
      <c r="AX10" s="749"/>
      <c r="AY10" s="749"/>
      <c r="AZ10" s="749"/>
      <c r="BA10" s="749"/>
      <c r="BB10" s="749"/>
      <c r="BC10" s="749"/>
      <c r="BD10" s="749"/>
      <c r="BE10" s="749"/>
      <c r="BF10" s="749"/>
      <c r="BG10" s="749"/>
      <c r="BH10" s="749"/>
      <c r="BI10" s="749"/>
    </row>
    <row r="11" spans="1:65" s="772" customFormat="1" ht="21" customHeight="1">
      <c r="A11" s="764"/>
      <c r="B11" s="765" t="s">
        <v>60</v>
      </c>
      <c r="C11" s="766"/>
      <c r="D11" s="766"/>
      <c r="E11" s="767"/>
      <c r="F11" s="767"/>
      <c r="G11" s="768">
        <f>G13+G67+G117</f>
        <v>481974.532526</v>
      </c>
      <c r="H11" s="768">
        <f t="shared" ref="H11:AE11" si="3">H13+H67+H117</f>
        <v>0</v>
      </c>
      <c r="I11" s="768">
        <f t="shared" si="3"/>
        <v>232973</v>
      </c>
      <c r="J11" s="768">
        <f t="shared" si="3"/>
        <v>246844.532526</v>
      </c>
      <c r="K11" s="768">
        <f t="shared" si="3"/>
        <v>2157</v>
      </c>
      <c r="L11" s="768">
        <f t="shared" si="3"/>
        <v>243847.38540500001</v>
      </c>
      <c r="M11" s="768">
        <f t="shared" si="3"/>
        <v>0</v>
      </c>
      <c r="N11" s="768">
        <f t="shared" si="3"/>
        <v>142428.05900000001</v>
      </c>
      <c r="O11" s="768">
        <f t="shared" si="3"/>
        <v>101419.326405</v>
      </c>
      <c r="P11" s="768">
        <f t="shared" si="3"/>
        <v>0</v>
      </c>
      <c r="Q11" s="768">
        <f t="shared" si="3"/>
        <v>272582.52518699999</v>
      </c>
      <c r="R11" s="768">
        <f t="shared" si="3"/>
        <v>0</v>
      </c>
      <c r="S11" s="768">
        <f t="shared" si="3"/>
        <v>167034.66899999999</v>
      </c>
      <c r="T11" s="768">
        <f t="shared" si="3"/>
        <v>105576.98418700001</v>
      </c>
      <c r="U11" s="768">
        <f t="shared" si="3"/>
        <v>0</v>
      </c>
      <c r="V11" s="768">
        <f t="shared" si="3"/>
        <v>158747.65467600001</v>
      </c>
      <c r="W11" s="768">
        <f t="shared" si="3"/>
        <v>0</v>
      </c>
      <c r="X11" s="768">
        <f t="shared" si="3"/>
        <v>107259.974</v>
      </c>
      <c r="Y11" s="768">
        <f t="shared" si="3"/>
        <v>51487.680675999996</v>
      </c>
      <c r="Z11" s="768">
        <f t="shared" si="3"/>
        <v>0</v>
      </c>
      <c r="AA11" s="768">
        <f t="shared" si="3"/>
        <v>129940.877894</v>
      </c>
      <c r="AB11" s="768">
        <f t="shared" si="3"/>
        <v>0</v>
      </c>
      <c r="AC11" s="768">
        <f t="shared" si="3"/>
        <v>82420.411999999997</v>
      </c>
      <c r="AD11" s="768">
        <f t="shared" si="3"/>
        <v>47520.465894000001</v>
      </c>
      <c r="AE11" s="768">
        <f t="shared" si="3"/>
        <v>0</v>
      </c>
      <c r="AF11" s="769">
        <f>AA11/V11</f>
        <v>0.81853730790042911</v>
      </c>
      <c r="AG11" s="770"/>
      <c r="AH11" s="770">
        <f>AC11/X11</f>
        <v>0.76841722896557851</v>
      </c>
      <c r="AI11" s="770">
        <f>AD11/Y11</f>
        <v>0.92294827170474514</v>
      </c>
      <c r="AJ11" s="771"/>
      <c r="AK11" s="757"/>
      <c r="AL11" s="749"/>
      <c r="AM11" s="749"/>
      <c r="AN11" s="749"/>
      <c r="AO11" s="749"/>
      <c r="AP11" s="749"/>
      <c r="AQ11" s="749"/>
      <c r="AR11" s="749"/>
      <c r="AS11" s="749"/>
      <c r="AT11" s="749"/>
      <c r="AU11" s="749"/>
      <c r="AV11" s="749"/>
      <c r="AW11" s="749"/>
      <c r="AX11" s="749"/>
      <c r="AY11" s="749"/>
      <c r="AZ11" s="749"/>
      <c r="BA11" s="749"/>
      <c r="BB11" s="749"/>
      <c r="BC11" s="749"/>
      <c r="BD11" s="749"/>
      <c r="BE11" s="749"/>
      <c r="BF11" s="749"/>
      <c r="BG11" s="749"/>
      <c r="BH11" s="749"/>
      <c r="BI11" s="749"/>
    </row>
    <row r="12" spans="1:65" s="772" customFormat="1" ht="21" customHeight="1">
      <c r="A12" s="764"/>
      <c r="B12" s="765" t="s">
        <v>397</v>
      </c>
      <c r="C12" s="766"/>
      <c r="D12" s="766"/>
      <c r="E12" s="767"/>
      <c r="F12" s="767"/>
      <c r="G12" s="768">
        <f t="shared" ref="G12:AE12" si="4">G68</f>
        <v>0</v>
      </c>
      <c r="H12" s="768">
        <f t="shared" si="4"/>
        <v>0</v>
      </c>
      <c r="I12" s="768">
        <f t="shared" si="4"/>
        <v>0</v>
      </c>
      <c r="J12" s="768">
        <f t="shared" si="4"/>
        <v>0</v>
      </c>
      <c r="K12" s="768">
        <f t="shared" si="4"/>
        <v>0</v>
      </c>
      <c r="L12" s="768">
        <f t="shared" si="4"/>
        <v>0</v>
      </c>
      <c r="M12" s="768">
        <f t="shared" si="4"/>
        <v>0</v>
      </c>
      <c r="N12" s="768">
        <f t="shared" si="4"/>
        <v>0</v>
      </c>
      <c r="O12" s="768">
        <f t="shared" si="4"/>
        <v>0</v>
      </c>
      <c r="P12" s="768">
        <f t="shared" si="4"/>
        <v>0</v>
      </c>
      <c r="Q12" s="768">
        <f t="shared" si="4"/>
        <v>0</v>
      </c>
      <c r="R12" s="768">
        <f t="shared" si="4"/>
        <v>0</v>
      </c>
      <c r="S12" s="768">
        <f t="shared" si="4"/>
        <v>0</v>
      </c>
      <c r="T12" s="768">
        <f t="shared" si="4"/>
        <v>0</v>
      </c>
      <c r="U12" s="768">
        <f t="shared" si="4"/>
        <v>0</v>
      </c>
      <c r="V12" s="768">
        <f t="shared" si="4"/>
        <v>0</v>
      </c>
      <c r="W12" s="768">
        <f t="shared" si="4"/>
        <v>0</v>
      </c>
      <c r="X12" s="768">
        <f t="shared" si="4"/>
        <v>0</v>
      </c>
      <c r="Y12" s="768">
        <f t="shared" si="4"/>
        <v>0</v>
      </c>
      <c r="Z12" s="768">
        <f t="shared" si="4"/>
        <v>0</v>
      </c>
      <c r="AA12" s="768">
        <f t="shared" si="4"/>
        <v>0</v>
      </c>
      <c r="AB12" s="768">
        <f t="shared" si="4"/>
        <v>0</v>
      </c>
      <c r="AC12" s="768">
        <f t="shared" si="4"/>
        <v>0</v>
      </c>
      <c r="AD12" s="768">
        <f t="shared" si="4"/>
        <v>0</v>
      </c>
      <c r="AE12" s="768">
        <f t="shared" si="4"/>
        <v>0</v>
      </c>
      <c r="AF12" s="769"/>
      <c r="AG12" s="770"/>
      <c r="AH12" s="770"/>
      <c r="AI12" s="770"/>
      <c r="AJ12" s="771"/>
      <c r="AK12" s="757"/>
      <c r="AL12" s="749"/>
      <c r="AM12" s="749"/>
      <c r="AN12" s="749"/>
      <c r="AO12" s="749"/>
      <c r="AP12" s="749"/>
      <c r="AQ12" s="749"/>
      <c r="AR12" s="749"/>
      <c r="AS12" s="749"/>
      <c r="AT12" s="749"/>
      <c r="AU12" s="749"/>
      <c r="AV12" s="749"/>
      <c r="AW12" s="749"/>
      <c r="AX12" s="749"/>
      <c r="AY12" s="749"/>
      <c r="AZ12" s="749"/>
      <c r="BA12" s="749"/>
      <c r="BB12" s="749"/>
      <c r="BC12" s="749"/>
      <c r="BD12" s="749"/>
      <c r="BE12" s="749"/>
      <c r="BF12" s="749"/>
      <c r="BG12" s="749"/>
      <c r="BH12" s="749"/>
      <c r="BI12" s="749"/>
    </row>
    <row r="13" spans="1:65" s="772" customFormat="1" ht="24.75" customHeight="1">
      <c r="A13" s="773" t="s">
        <v>3</v>
      </c>
      <c r="B13" s="774" t="s">
        <v>474</v>
      </c>
      <c r="C13" s="766"/>
      <c r="D13" s="766"/>
      <c r="E13" s="767"/>
      <c r="F13" s="767"/>
      <c r="G13" s="768">
        <f>G14+G29+G55+G56+G63</f>
        <v>235918.532526</v>
      </c>
      <c r="H13" s="768">
        <f t="shared" ref="H13:AE13" si="5">H14+H29+H55+H56+H63</f>
        <v>0</v>
      </c>
      <c r="I13" s="768">
        <f t="shared" si="5"/>
        <v>0</v>
      </c>
      <c r="J13" s="768">
        <f t="shared" si="5"/>
        <v>235918.532526</v>
      </c>
      <c r="K13" s="768">
        <f t="shared" si="5"/>
        <v>0</v>
      </c>
      <c r="L13" s="768">
        <f t="shared" si="5"/>
        <v>137969.144405</v>
      </c>
      <c r="M13" s="768">
        <f t="shared" si="5"/>
        <v>0</v>
      </c>
      <c r="N13" s="768">
        <f t="shared" si="5"/>
        <v>36549.817999999999</v>
      </c>
      <c r="O13" s="768">
        <f t="shared" si="5"/>
        <v>101419.326405</v>
      </c>
      <c r="P13" s="768">
        <f t="shared" si="5"/>
        <v>0</v>
      </c>
      <c r="Q13" s="768">
        <f t="shared" si="5"/>
        <v>142097.674187</v>
      </c>
      <c r="R13" s="768">
        <f t="shared" si="5"/>
        <v>0</v>
      </c>
      <c r="S13" s="768">
        <f t="shared" si="5"/>
        <v>36549.817999999999</v>
      </c>
      <c r="T13" s="768">
        <f t="shared" si="5"/>
        <v>105576.98418700001</v>
      </c>
      <c r="U13" s="768">
        <f t="shared" si="5"/>
        <v>0</v>
      </c>
      <c r="V13" s="768">
        <f t="shared" si="5"/>
        <v>51487.680675999996</v>
      </c>
      <c r="W13" s="768">
        <f t="shared" si="5"/>
        <v>0</v>
      </c>
      <c r="X13" s="768">
        <f t="shared" si="5"/>
        <v>0</v>
      </c>
      <c r="Y13" s="768">
        <f t="shared" si="5"/>
        <v>51487.680675999996</v>
      </c>
      <c r="Z13" s="768">
        <f t="shared" si="5"/>
        <v>0</v>
      </c>
      <c r="AA13" s="768">
        <f t="shared" si="5"/>
        <v>47520.465894000001</v>
      </c>
      <c r="AB13" s="768">
        <f t="shared" si="5"/>
        <v>0</v>
      </c>
      <c r="AC13" s="768">
        <f t="shared" si="5"/>
        <v>0</v>
      </c>
      <c r="AD13" s="768">
        <f t="shared" si="5"/>
        <v>47520.465894000001</v>
      </c>
      <c r="AE13" s="768">
        <f t="shared" si="5"/>
        <v>0</v>
      </c>
      <c r="AF13" s="769">
        <f t="shared" ref="AF13:AF54" si="6">AA13/V13</f>
        <v>0.92294827170474514</v>
      </c>
      <c r="AG13" s="771"/>
      <c r="AH13" s="769"/>
      <c r="AI13" s="770">
        <f t="shared" ref="AI13:AI64" si="7">AD13/Y13</f>
        <v>0.92294827170474514</v>
      </c>
      <c r="AJ13" s="771"/>
      <c r="AK13" s="757"/>
      <c r="AL13" s="749"/>
      <c r="AM13" s="749"/>
      <c r="AN13" s="749"/>
      <c r="AO13" s="749"/>
      <c r="AP13" s="749"/>
      <c r="AQ13" s="749"/>
      <c r="AR13" s="749"/>
      <c r="AS13" s="749"/>
      <c r="AT13" s="749"/>
      <c r="AU13" s="749"/>
      <c r="AV13" s="749"/>
      <c r="AW13" s="749"/>
      <c r="AX13" s="749"/>
      <c r="AY13" s="749"/>
      <c r="AZ13" s="749"/>
      <c r="BA13" s="749"/>
      <c r="BB13" s="749"/>
      <c r="BC13" s="749"/>
      <c r="BD13" s="749"/>
      <c r="BE13" s="749"/>
      <c r="BF13" s="749"/>
      <c r="BG13" s="749"/>
      <c r="BH13" s="749"/>
      <c r="BI13" s="749"/>
    </row>
    <row r="14" spans="1:65" s="772" customFormat="1" ht="23.25" customHeight="1">
      <c r="A14" s="773" t="s">
        <v>279</v>
      </c>
      <c r="B14" s="774" t="s">
        <v>439</v>
      </c>
      <c r="C14" s="766"/>
      <c r="D14" s="766"/>
      <c r="E14" s="767"/>
      <c r="F14" s="767"/>
      <c r="G14" s="768">
        <f t="shared" ref="G14:AE14" si="8">G15+G28</f>
        <v>141628.532526</v>
      </c>
      <c r="H14" s="768">
        <f t="shared" si="8"/>
        <v>0</v>
      </c>
      <c r="I14" s="768">
        <f t="shared" si="8"/>
        <v>0</v>
      </c>
      <c r="J14" s="768">
        <f t="shared" si="8"/>
        <v>141628.532526</v>
      </c>
      <c r="K14" s="768">
        <f t="shared" si="8"/>
        <v>0</v>
      </c>
      <c r="L14" s="768">
        <f t="shared" si="8"/>
        <v>98856.31</v>
      </c>
      <c r="M14" s="768">
        <f t="shared" si="8"/>
        <v>0</v>
      </c>
      <c r="N14" s="768">
        <f t="shared" si="8"/>
        <v>36549.817999999999</v>
      </c>
      <c r="O14" s="768">
        <f t="shared" si="8"/>
        <v>62306.491999999998</v>
      </c>
      <c r="P14" s="768">
        <f t="shared" si="8"/>
        <v>0</v>
      </c>
      <c r="Q14" s="768">
        <f t="shared" si="8"/>
        <v>100555.82800000001</v>
      </c>
      <c r="R14" s="768">
        <f t="shared" si="8"/>
        <v>0</v>
      </c>
      <c r="S14" s="768">
        <f t="shared" si="8"/>
        <v>36549.817999999999</v>
      </c>
      <c r="T14" s="768">
        <f t="shared" si="8"/>
        <v>64006.01</v>
      </c>
      <c r="U14" s="768">
        <f t="shared" si="8"/>
        <v>0</v>
      </c>
      <c r="V14" s="768">
        <f t="shared" si="8"/>
        <v>32279.735999999997</v>
      </c>
      <c r="W14" s="768">
        <f t="shared" si="8"/>
        <v>0</v>
      </c>
      <c r="X14" s="768">
        <f t="shared" si="8"/>
        <v>0</v>
      </c>
      <c r="Y14" s="768">
        <f t="shared" si="8"/>
        <v>32279.735999999997</v>
      </c>
      <c r="Z14" s="768">
        <f t="shared" si="8"/>
        <v>0</v>
      </c>
      <c r="AA14" s="768">
        <f t="shared" si="8"/>
        <v>30741.532999999999</v>
      </c>
      <c r="AB14" s="768">
        <f t="shared" si="8"/>
        <v>0</v>
      </c>
      <c r="AC14" s="768">
        <f t="shared" si="8"/>
        <v>0</v>
      </c>
      <c r="AD14" s="768">
        <f t="shared" si="8"/>
        <v>30741.532999999999</v>
      </c>
      <c r="AE14" s="768">
        <f t="shared" si="8"/>
        <v>0</v>
      </c>
      <c r="AF14" s="769">
        <f t="shared" si="6"/>
        <v>0.95234772056376182</v>
      </c>
      <c r="AG14" s="771"/>
      <c r="AH14" s="769"/>
      <c r="AI14" s="770">
        <f t="shared" si="7"/>
        <v>0.95234772056376182</v>
      </c>
      <c r="AJ14" s="771"/>
      <c r="AK14" s="757"/>
      <c r="AL14" s="749"/>
      <c r="AM14" s="749"/>
      <c r="AN14" s="749"/>
      <c r="AO14" s="749"/>
      <c r="AP14" s="749"/>
      <c r="AQ14" s="749"/>
      <c r="AR14" s="749"/>
      <c r="AS14" s="749"/>
      <c r="AT14" s="749"/>
      <c r="AU14" s="749"/>
      <c r="AV14" s="749"/>
      <c r="AW14" s="749"/>
      <c r="AX14" s="749"/>
      <c r="AY14" s="749"/>
      <c r="AZ14" s="749"/>
      <c r="BA14" s="749"/>
      <c r="BB14" s="749"/>
      <c r="BC14" s="749"/>
      <c r="BD14" s="749"/>
      <c r="BE14" s="749"/>
      <c r="BF14" s="749"/>
      <c r="BG14" s="749"/>
      <c r="BH14" s="749"/>
      <c r="BI14" s="749"/>
    </row>
    <row r="15" spans="1:65" s="772" customFormat="1" ht="32.25" customHeight="1">
      <c r="A15" s="773" t="s">
        <v>440</v>
      </c>
      <c r="B15" s="774" t="s">
        <v>759</v>
      </c>
      <c r="C15" s="766"/>
      <c r="D15" s="766"/>
      <c r="E15" s="767"/>
      <c r="F15" s="767"/>
      <c r="G15" s="768">
        <f t="shared" ref="G15:AD15" si="9">G16+G18+G20</f>
        <v>141628.532526</v>
      </c>
      <c r="H15" s="768">
        <f t="shared" si="9"/>
        <v>0</v>
      </c>
      <c r="I15" s="768">
        <f t="shared" si="9"/>
        <v>0</v>
      </c>
      <c r="J15" s="768">
        <f t="shared" si="9"/>
        <v>141628.532526</v>
      </c>
      <c r="K15" s="768">
        <f t="shared" si="9"/>
        <v>0</v>
      </c>
      <c r="L15" s="768">
        <f t="shared" si="9"/>
        <v>98856.31</v>
      </c>
      <c r="M15" s="768">
        <f t="shared" si="9"/>
        <v>0</v>
      </c>
      <c r="N15" s="768">
        <f t="shared" si="9"/>
        <v>36549.817999999999</v>
      </c>
      <c r="O15" s="768">
        <f t="shared" si="9"/>
        <v>62306.491999999998</v>
      </c>
      <c r="P15" s="768">
        <f t="shared" si="9"/>
        <v>0</v>
      </c>
      <c r="Q15" s="768">
        <f t="shared" si="9"/>
        <v>100555.82800000001</v>
      </c>
      <c r="R15" s="768">
        <f t="shared" si="9"/>
        <v>0</v>
      </c>
      <c r="S15" s="768">
        <f t="shared" si="9"/>
        <v>36549.817999999999</v>
      </c>
      <c r="T15" s="768">
        <f t="shared" si="9"/>
        <v>64006.01</v>
      </c>
      <c r="U15" s="768">
        <f t="shared" si="9"/>
        <v>0</v>
      </c>
      <c r="V15" s="768">
        <f t="shared" si="9"/>
        <v>32279.735999999997</v>
      </c>
      <c r="W15" s="768">
        <f t="shared" si="9"/>
        <v>0</v>
      </c>
      <c r="X15" s="768">
        <f t="shared" si="9"/>
        <v>0</v>
      </c>
      <c r="Y15" s="768">
        <f t="shared" si="9"/>
        <v>32279.735999999997</v>
      </c>
      <c r="Z15" s="768">
        <f t="shared" si="9"/>
        <v>0</v>
      </c>
      <c r="AA15" s="768">
        <f t="shared" si="9"/>
        <v>30741.532999999999</v>
      </c>
      <c r="AB15" s="768">
        <f t="shared" si="9"/>
        <v>0</v>
      </c>
      <c r="AC15" s="768">
        <f t="shared" si="9"/>
        <v>0</v>
      </c>
      <c r="AD15" s="768">
        <f t="shared" si="9"/>
        <v>30741.532999999999</v>
      </c>
      <c r="AE15" s="768">
        <f>AE16+AE18+AE20</f>
        <v>0</v>
      </c>
      <c r="AF15" s="769">
        <f>AA15/V15</f>
        <v>0.95234772056376182</v>
      </c>
      <c r="AG15" s="771"/>
      <c r="AH15" s="769"/>
      <c r="AI15" s="770">
        <f>AD15/Y15</f>
        <v>0.95234772056376182</v>
      </c>
      <c r="AJ15" s="771"/>
      <c r="AK15" s="757"/>
      <c r="AL15" s="749"/>
      <c r="AM15" s="749"/>
      <c r="AN15" s="749"/>
      <c r="AO15" s="749"/>
      <c r="AP15" s="749"/>
      <c r="AQ15" s="749"/>
      <c r="AR15" s="749"/>
      <c r="AS15" s="749"/>
      <c r="AT15" s="749"/>
      <c r="AU15" s="749"/>
      <c r="AV15" s="749"/>
      <c r="AW15" s="749"/>
      <c r="AX15" s="749"/>
      <c r="AY15" s="749"/>
      <c r="AZ15" s="749"/>
      <c r="BA15" s="749"/>
      <c r="BB15" s="749"/>
      <c r="BC15" s="749"/>
      <c r="BD15" s="749"/>
      <c r="BE15" s="749"/>
      <c r="BF15" s="749"/>
      <c r="BG15" s="749"/>
      <c r="BH15" s="749"/>
      <c r="BI15" s="749"/>
    </row>
    <row r="16" spans="1:65" s="772" customFormat="1" ht="31.5" customHeight="1">
      <c r="A16" s="773" t="s">
        <v>364</v>
      </c>
      <c r="B16" s="774" t="s">
        <v>441</v>
      </c>
      <c r="C16" s="766"/>
      <c r="D16" s="766"/>
      <c r="E16" s="767"/>
      <c r="F16" s="767"/>
      <c r="G16" s="768">
        <f t="shared" ref="G16:U16" si="10">G17</f>
        <v>18000</v>
      </c>
      <c r="H16" s="768">
        <f t="shared" si="10"/>
        <v>0</v>
      </c>
      <c r="I16" s="768">
        <f t="shared" si="10"/>
        <v>0</v>
      </c>
      <c r="J16" s="768">
        <f t="shared" si="10"/>
        <v>18000</v>
      </c>
      <c r="K16" s="768">
        <f t="shared" si="10"/>
        <v>0</v>
      </c>
      <c r="L16" s="768">
        <f t="shared" si="10"/>
        <v>15034</v>
      </c>
      <c r="M16" s="768">
        <f t="shared" si="10"/>
        <v>0</v>
      </c>
      <c r="N16" s="768">
        <f t="shared" si="10"/>
        <v>0</v>
      </c>
      <c r="O16" s="768">
        <f t="shared" si="10"/>
        <v>15034</v>
      </c>
      <c r="P16" s="768">
        <f t="shared" si="10"/>
        <v>0</v>
      </c>
      <c r="Q16" s="768">
        <f>R16+S16+T16+U16</f>
        <v>15034</v>
      </c>
      <c r="R16" s="768">
        <f t="shared" si="10"/>
        <v>0</v>
      </c>
      <c r="S16" s="768">
        <f t="shared" si="10"/>
        <v>0</v>
      </c>
      <c r="T16" s="768">
        <f t="shared" si="10"/>
        <v>15034</v>
      </c>
      <c r="U16" s="768">
        <f t="shared" si="10"/>
        <v>0</v>
      </c>
      <c r="V16" s="768">
        <f>W16+X16+Y16+Z16</f>
        <v>8730.9619999999995</v>
      </c>
      <c r="W16" s="768"/>
      <c r="X16" s="768"/>
      <c r="Y16" s="768">
        <f>Y17</f>
        <v>8730.9619999999995</v>
      </c>
      <c r="Z16" s="768"/>
      <c r="AA16" s="768">
        <f t="shared" ref="AA16:AA27" si="11">AB16+AC16+AD16+AE16</f>
        <v>8730.9619999999995</v>
      </c>
      <c r="AB16" s="768"/>
      <c r="AC16" s="768"/>
      <c r="AD16" s="768">
        <f>AD17</f>
        <v>8730.9619999999995</v>
      </c>
      <c r="AE16" s="775"/>
      <c r="AF16" s="769">
        <f t="shared" si="6"/>
        <v>1</v>
      </c>
      <c r="AG16" s="771"/>
      <c r="AH16" s="769"/>
      <c r="AI16" s="770">
        <f t="shared" si="7"/>
        <v>1</v>
      </c>
      <c r="AJ16" s="771"/>
      <c r="AK16" s="757"/>
      <c r="AL16" s="749"/>
      <c r="AM16" s="749"/>
      <c r="AN16" s="749"/>
      <c r="AO16" s="749"/>
      <c r="AP16" s="749"/>
      <c r="AQ16" s="749"/>
      <c r="AR16" s="749"/>
      <c r="AS16" s="749"/>
      <c r="AT16" s="749"/>
      <c r="AU16" s="749"/>
      <c r="AV16" s="749"/>
      <c r="AW16" s="749"/>
      <c r="AX16" s="749"/>
      <c r="AY16" s="749"/>
      <c r="AZ16" s="749"/>
      <c r="BA16" s="749"/>
      <c r="BB16" s="749"/>
      <c r="BC16" s="749"/>
      <c r="BD16" s="749"/>
      <c r="BE16" s="749"/>
      <c r="BF16" s="749"/>
      <c r="BG16" s="749"/>
      <c r="BH16" s="749"/>
      <c r="BI16" s="749"/>
    </row>
    <row r="17" spans="1:61" s="772" customFormat="1" ht="46.5" customHeight="1">
      <c r="A17" s="776" t="s">
        <v>442</v>
      </c>
      <c r="B17" s="777" t="s">
        <v>443</v>
      </c>
      <c r="C17" s="778" t="s">
        <v>415</v>
      </c>
      <c r="D17" s="778"/>
      <c r="E17" s="779" t="s">
        <v>444</v>
      </c>
      <c r="F17" s="780" t="s">
        <v>445</v>
      </c>
      <c r="G17" s="781">
        <v>18000</v>
      </c>
      <c r="H17" s="781"/>
      <c r="I17" s="781"/>
      <c r="J17" s="781">
        <v>18000</v>
      </c>
      <c r="K17" s="781"/>
      <c r="L17" s="781">
        <f>M17+N17+O17+P17</f>
        <v>15034</v>
      </c>
      <c r="M17" s="781"/>
      <c r="N17" s="781"/>
      <c r="O17" s="781">
        <v>15034</v>
      </c>
      <c r="P17" s="781"/>
      <c r="Q17" s="781">
        <f>R17+S17+T17+U17</f>
        <v>15034</v>
      </c>
      <c r="R17" s="781"/>
      <c r="S17" s="781"/>
      <c r="T17" s="781">
        <v>15034</v>
      </c>
      <c r="U17" s="781"/>
      <c r="V17" s="781">
        <f>W17+X17+Y17+Z17</f>
        <v>8730.9619999999995</v>
      </c>
      <c r="W17" s="781"/>
      <c r="X17" s="781"/>
      <c r="Y17" s="781">
        <f>6000+2730.962</f>
        <v>8730.9619999999995</v>
      </c>
      <c r="Z17" s="781"/>
      <c r="AA17" s="781">
        <f t="shared" si="11"/>
        <v>8730.9619999999995</v>
      </c>
      <c r="AB17" s="781"/>
      <c r="AC17" s="781"/>
      <c r="AD17" s="781">
        <v>8730.9619999999995</v>
      </c>
      <c r="AE17" s="782"/>
      <c r="AF17" s="783">
        <f t="shared" si="6"/>
        <v>1</v>
      </c>
      <c r="AG17" s="784"/>
      <c r="AH17" s="783"/>
      <c r="AI17" s="785">
        <f t="shared" si="7"/>
        <v>1</v>
      </c>
      <c r="AJ17" s="771"/>
      <c r="AK17" s="757"/>
      <c r="AL17" s="749"/>
      <c r="AM17" s="749"/>
      <c r="AN17" s="749"/>
      <c r="AO17" s="749"/>
      <c r="AP17" s="749"/>
      <c r="AQ17" s="749"/>
      <c r="AR17" s="749"/>
      <c r="AS17" s="749"/>
      <c r="AT17" s="749"/>
      <c r="AU17" s="749"/>
      <c r="AV17" s="749"/>
      <c r="AW17" s="749"/>
      <c r="AX17" s="749"/>
      <c r="AY17" s="749"/>
      <c r="AZ17" s="749"/>
      <c r="BA17" s="749"/>
      <c r="BB17" s="749"/>
      <c r="BC17" s="749"/>
      <c r="BD17" s="749"/>
      <c r="BE17" s="749"/>
      <c r="BF17" s="749"/>
      <c r="BG17" s="749"/>
      <c r="BH17" s="749"/>
      <c r="BI17" s="749"/>
    </row>
    <row r="18" spans="1:61" s="772" customFormat="1" ht="24.75" customHeight="1">
      <c r="A18" s="773" t="s">
        <v>364</v>
      </c>
      <c r="B18" s="774" t="s">
        <v>447</v>
      </c>
      <c r="C18" s="766"/>
      <c r="D18" s="766"/>
      <c r="E18" s="767"/>
      <c r="F18" s="767"/>
      <c r="G18" s="768">
        <f>G19</f>
        <v>5000</v>
      </c>
      <c r="H18" s="768">
        <f t="shared" ref="H18:U18" si="12">H19</f>
        <v>0</v>
      </c>
      <c r="I18" s="768">
        <f t="shared" si="12"/>
        <v>0</v>
      </c>
      <c r="J18" s="768">
        <f t="shared" si="12"/>
        <v>5000</v>
      </c>
      <c r="K18" s="768">
        <f t="shared" si="12"/>
        <v>0</v>
      </c>
      <c r="L18" s="768">
        <f t="shared" si="12"/>
        <v>4692.7700000000004</v>
      </c>
      <c r="M18" s="768">
        <f t="shared" si="12"/>
        <v>0</v>
      </c>
      <c r="N18" s="768">
        <f t="shared" si="12"/>
        <v>0</v>
      </c>
      <c r="O18" s="768">
        <f t="shared" si="12"/>
        <v>4692.7700000000004</v>
      </c>
      <c r="P18" s="768">
        <f t="shared" si="12"/>
        <v>0</v>
      </c>
      <c r="Q18" s="768">
        <f t="shared" si="12"/>
        <v>4883</v>
      </c>
      <c r="R18" s="768">
        <f t="shared" si="12"/>
        <v>0</v>
      </c>
      <c r="S18" s="768">
        <f t="shared" si="12"/>
        <v>0</v>
      </c>
      <c r="T18" s="768">
        <f t="shared" si="12"/>
        <v>4883</v>
      </c>
      <c r="U18" s="768">
        <f t="shared" si="12"/>
        <v>0</v>
      </c>
      <c r="V18" s="768">
        <f>W18+X18+Y18+Z18</f>
        <v>1725.1859999999999</v>
      </c>
      <c r="W18" s="768"/>
      <c r="X18" s="768"/>
      <c r="Y18" s="768">
        <f>Y19</f>
        <v>1725.1859999999999</v>
      </c>
      <c r="Z18" s="768"/>
      <c r="AA18" s="768">
        <f t="shared" si="11"/>
        <v>1724.5709999999999</v>
      </c>
      <c r="AB18" s="768"/>
      <c r="AC18" s="768"/>
      <c r="AD18" s="768">
        <f>AD19</f>
        <v>1724.5709999999999</v>
      </c>
      <c r="AE18" s="775"/>
      <c r="AF18" s="769">
        <f t="shared" si="6"/>
        <v>0.99964351669906892</v>
      </c>
      <c r="AG18" s="771"/>
      <c r="AH18" s="769"/>
      <c r="AI18" s="770">
        <f t="shared" si="7"/>
        <v>0.99964351669906892</v>
      </c>
      <c r="AJ18" s="771"/>
      <c r="AK18" s="757"/>
      <c r="AL18" s="749"/>
      <c r="AM18" s="749"/>
      <c r="AN18" s="749"/>
      <c r="AO18" s="749"/>
      <c r="AP18" s="749"/>
      <c r="AQ18" s="749"/>
      <c r="AR18" s="749"/>
      <c r="AS18" s="749"/>
      <c r="AT18" s="749"/>
      <c r="AU18" s="749"/>
      <c r="AV18" s="749"/>
      <c r="AW18" s="749"/>
      <c r="AX18" s="749"/>
      <c r="AY18" s="749"/>
      <c r="AZ18" s="749"/>
      <c r="BA18" s="749"/>
      <c r="BB18" s="749"/>
      <c r="BC18" s="749"/>
      <c r="BD18" s="749"/>
      <c r="BE18" s="749"/>
      <c r="BF18" s="749"/>
      <c r="BG18" s="749"/>
      <c r="BH18" s="749"/>
      <c r="BI18" s="749"/>
    </row>
    <row r="19" spans="1:61" s="772" customFormat="1" ht="49.5" customHeight="1">
      <c r="A19" s="776" t="s">
        <v>442</v>
      </c>
      <c r="B19" s="777" t="s">
        <v>448</v>
      </c>
      <c r="C19" s="778" t="s">
        <v>415</v>
      </c>
      <c r="D19" s="778"/>
      <c r="E19" s="779" t="s">
        <v>444</v>
      </c>
      <c r="F19" s="780" t="s">
        <v>672</v>
      </c>
      <c r="G19" s="781">
        <v>5000</v>
      </c>
      <c r="H19" s="781"/>
      <c r="I19" s="781"/>
      <c r="J19" s="781">
        <v>5000</v>
      </c>
      <c r="K19" s="781"/>
      <c r="L19" s="781">
        <f>M19+N19+O19+P19</f>
        <v>4692.7700000000004</v>
      </c>
      <c r="M19" s="781"/>
      <c r="N19" s="781"/>
      <c r="O19" s="781">
        <v>4692.7700000000004</v>
      </c>
      <c r="P19" s="781"/>
      <c r="Q19" s="781">
        <f>R19+S19+T19+U19</f>
        <v>4883</v>
      </c>
      <c r="R19" s="781"/>
      <c r="S19" s="781"/>
      <c r="T19" s="781">
        <v>4883</v>
      </c>
      <c r="U19" s="781"/>
      <c r="V19" s="781">
        <f>W19+X19+Y19+Z19</f>
        <v>1725.1859999999999</v>
      </c>
      <c r="W19" s="781"/>
      <c r="X19" s="781"/>
      <c r="Y19" s="781">
        <v>1725.1859999999999</v>
      </c>
      <c r="Z19" s="781"/>
      <c r="AA19" s="781">
        <f t="shared" si="11"/>
        <v>1724.5709999999999</v>
      </c>
      <c r="AB19" s="781"/>
      <c r="AC19" s="781"/>
      <c r="AD19" s="781">
        <v>1724.5709999999999</v>
      </c>
      <c r="AE19" s="782"/>
      <c r="AF19" s="786">
        <f t="shared" si="6"/>
        <v>0.99964351669906892</v>
      </c>
      <c r="AG19" s="784"/>
      <c r="AH19" s="783"/>
      <c r="AI19" s="786">
        <f t="shared" si="7"/>
        <v>0.99964351669906892</v>
      </c>
      <c r="AJ19" s="771"/>
      <c r="AK19" s="757"/>
      <c r="AL19" s="749"/>
      <c r="AM19" s="749"/>
      <c r="AN19" s="749"/>
      <c r="AO19" s="749"/>
      <c r="AP19" s="749"/>
      <c r="AQ19" s="749"/>
      <c r="AR19" s="749"/>
      <c r="AS19" s="749"/>
      <c r="AT19" s="749"/>
      <c r="AU19" s="749"/>
      <c r="AV19" s="749"/>
      <c r="AW19" s="749"/>
      <c r="AX19" s="749"/>
      <c r="AY19" s="749"/>
      <c r="AZ19" s="749"/>
      <c r="BA19" s="749"/>
      <c r="BB19" s="749"/>
      <c r="BC19" s="749"/>
      <c r="BD19" s="749"/>
      <c r="BE19" s="749"/>
      <c r="BF19" s="749"/>
      <c r="BG19" s="749"/>
      <c r="BH19" s="749"/>
      <c r="BI19" s="749"/>
    </row>
    <row r="20" spans="1:61" s="772" customFormat="1" ht="24.75" customHeight="1">
      <c r="A20" s="773" t="s">
        <v>364</v>
      </c>
      <c r="B20" s="765" t="s">
        <v>449</v>
      </c>
      <c r="C20" s="766"/>
      <c r="D20" s="766"/>
      <c r="E20" s="767"/>
      <c r="F20" s="767"/>
      <c r="G20" s="768">
        <f>G21+G26</f>
        <v>118628.532526</v>
      </c>
      <c r="H20" s="768">
        <f t="shared" ref="H20:AE20" si="13">H21+H26</f>
        <v>0</v>
      </c>
      <c r="I20" s="768">
        <f t="shared" si="13"/>
        <v>0</v>
      </c>
      <c r="J20" s="768">
        <f t="shared" si="13"/>
        <v>118628.532526</v>
      </c>
      <c r="K20" s="768">
        <f t="shared" si="13"/>
        <v>0</v>
      </c>
      <c r="L20" s="768">
        <f t="shared" si="13"/>
        <v>79129.539999999994</v>
      </c>
      <c r="M20" s="768">
        <f t="shared" si="13"/>
        <v>0</v>
      </c>
      <c r="N20" s="768">
        <f t="shared" si="13"/>
        <v>36549.817999999999</v>
      </c>
      <c r="O20" s="768">
        <f t="shared" si="13"/>
        <v>42579.722000000002</v>
      </c>
      <c r="P20" s="768">
        <f t="shared" si="13"/>
        <v>0</v>
      </c>
      <c r="Q20" s="768">
        <f t="shared" si="13"/>
        <v>80638.828000000009</v>
      </c>
      <c r="R20" s="768">
        <f t="shared" si="13"/>
        <v>0</v>
      </c>
      <c r="S20" s="768">
        <f t="shared" si="13"/>
        <v>36549.817999999999</v>
      </c>
      <c r="T20" s="768">
        <f t="shared" si="13"/>
        <v>44089.01</v>
      </c>
      <c r="U20" s="768">
        <f t="shared" si="13"/>
        <v>0</v>
      </c>
      <c r="V20" s="768">
        <f t="shared" si="13"/>
        <v>21823.588</v>
      </c>
      <c r="W20" s="768">
        <f t="shared" si="13"/>
        <v>0</v>
      </c>
      <c r="X20" s="768">
        <f t="shared" si="13"/>
        <v>0</v>
      </c>
      <c r="Y20" s="768">
        <f t="shared" si="13"/>
        <v>21823.588</v>
      </c>
      <c r="Z20" s="768">
        <f t="shared" si="13"/>
        <v>0</v>
      </c>
      <c r="AA20" s="768">
        <f t="shared" si="13"/>
        <v>20286</v>
      </c>
      <c r="AB20" s="768">
        <f t="shared" si="13"/>
        <v>0</v>
      </c>
      <c r="AC20" s="768">
        <f t="shared" si="13"/>
        <v>0</v>
      </c>
      <c r="AD20" s="768">
        <f t="shared" si="13"/>
        <v>20286</v>
      </c>
      <c r="AE20" s="768">
        <f t="shared" si="13"/>
        <v>0</v>
      </c>
      <c r="AF20" s="769">
        <f t="shared" si="6"/>
        <v>0.92954467432211418</v>
      </c>
      <c r="AG20" s="771"/>
      <c r="AH20" s="769"/>
      <c r="AI20" s="770">
        <f t="shared" si="7"/>
        <v>0.92954467432211418</v>
      </c>
      <c r="AJ20" s="771"/>
      <c r="AK20" s="757"/>
      <c r="AL20" s="749"/>
      <c r="AM20" s="749"/>
      <c r="AN20" s="749"/>
      <c r="AO20" s="749"/>
      <c r="AP20" s="749"/>
      <c r="AQ20" s="749"/>
      <c r="AR20" s="749"/>
      <c r="AS20" s="749"/>
      <c r="AT20" s="749"/>
      <c r="AU20" s="749"/>
      <c r="AV20" s="749"/>
      <c r="AW20" s="749"/>
      <c r="AX20" s="749"/>
      <c r="AY20" s="749"/>
      <c r="AZ20" s="749"/>
      <c r="BA20" s="749"/>
      <c r="BB20" s="749"/>
      <c r="BC20" s="749"/>
      <c r="BD20" s="749"/>
      <c r="BE20" s="749"/>
      <c r="BF20" s="749"/>
      <c r="BG20" s="749"/>
      <c r="BH20" s="749"/>
      <c r="BI20" s="749"/>
    </row>
    <row r="21" spans="1:61" s="772" customFormat="1" ht="24.75" customHeight="1">
      <c r="A21" s="773"/>
      <c r="B21" s="774" t="s">
        <v>450</v>
      </c>
      <c r="C21" s="766"/>
      <c r="D21" s="766"/>
      <c r="E21" s="767"/>
      <c r="F21" s="767"/>
      <c r="G21" s="768">
        <f>SUM(G22:G25)</f>
        <v>85628.532525999995</v>
      </c>
      <c r="H21" s="768">
        <f t="shared" ref="H21:AE21" si="14">H22+H23+H24+H25</f>
        <v>0</v>
      </c>
      <c r="I21" s="768">
        <f t="shared" si="14"/>
        <v>0</v>
      </c>
      <c r="J21" s="768">
        <f>SUM(J22:J25)</f>
        <v>85628.532525999995</v>
      </c>
      <c r="K21" s="768">
        <f t="shared" si="14"/>
        <v>0</v>
      </c>
      <c r="L21" s="768">
        <f>SUM(L22:L25)</f>
        <v>62891.212</v>
      </c>
      <c r="M21" s="768">
        <f t="shared" si="14"/>
        <v>0</v>
      </c>
      <c r="N21" s="768">
        <f>SUM(N22:N25)</f>
        <v>36549.817999999999</v>
      </c>
      <c r="O21" s="768">
        <f t="shared" ref="O21:AD21" si="15">SUM(O22:O25)</f>
        <v>26341.394</v>
      </c>
      <c r="P21" s="768">
        <f t="shared" si="15"/>
        <v>0</v>
      </c>
      <c r="Q21" s="768">
        <f t="shared" si="15"/>
        <v>62891.212</v>
      </c>
      <c r="R21" s="768">
        <f t="shared" si="15"/>
        <v>0</v>
      </c>
      <c r="S21" s="768">
        <f t="shared" si="15"/>
        <v>36549.817999999999</v>
      </c>
      <c r="T21" s="768">
        <f t="shared" si="15"/>
        <v>26341.394</v>
      </c>
      <c r="U21" s="768">
        <f t="shared" si="15"/>
        <v>0</v>
      </c>
      <c r="V21" s="768">
        <f t="shared" si="15"/>
        <v>10261.249</v>
      </c>
      <c r="W21" s="768">
        <f t="shared" si="15"/>
        <v>0</v>
      </c>
      <c r="X21" s="768">
        <f t="shared" si="15"/>
        <v>0</v>
      </c>
      <c r="Y21" s="768">
        <f t="shared" si="15"/>
        <v>10261.249</v>
      </c>
      <c r="Z21" s="768">
        <f t="shared" si="15"/>
        <v>0</v>
      </c>
      <c r="AA21" s="768">
        <f t="shared" si="15"/>
        <v>10232.949000000001</v>
      </c>
      <c r="AB21" s="768">
        <f t="shared" si="15"/>
        <v>0</v>
      </c>
      <c r="AC21" s="768">
        <f t="shared" si="15"/>
        <v>0</v>
      </c>
      <c r="AD21" s="768">
        <f t="shared" si="15"/>
        <v>10232.949000000001</v>
      </c>
      <c r="AE21" s="768">
        <f t="shared" si="14"/>
        <v>0</v>
      </c>
      <c r="AF21" s="787">
        <f t="shared" si="6"/>
        <v>0.99724205113821918</v>
      </c>
      <c r="AG21" s="771"/>
      <c r="AH21" s="769"/>
      <c r="AI21" s="787">
        <f t="shared" si="7"/>
        <v>0.99724205113821918</v>
      </c>
      <c r="AJ21" s="771"/>
      <c r="AK21" s="757"/>
      <c r="AL21" s="749"/>
      <c r="AM21" s="749"/>
      <c r="AN21" s="749"/>
      <c r="AO21" s="749"/>
      <c r="AP21" s="749"/>
      <c r="AQ21" s="749"/>
      <c r="AR21" s="749"/>
      <c r="AS21" s="749"/>
      <c r="AT21" s="749"/>
      <c r="AU21" s="749"/>
      <c r="AV21" s="749"/>
      <c r="AW21" s="749"/>
      <c r="AX21" s="749"/>
      <c r="AY21" s="749"/>
      <c r="AZ21" s="749"/>
      <c r="BA21" s="749"/>
      <c r="BB21" s="749"/>
      <c r="BC21" s="749"/>
      <c r="BD21" s="749"/>
      <c r="BE21" s="749"/>
      <c r="BF21" s="749"/>
      <c r="BG21" s="749"/>
      <c r="BH21" s="749"/>
      <c r="BI21" s="749"/>
    </row>
    <row r="22" spans="1:61" s="772" customFormat="1" ht="46.5" customHeight="1">
      <c r="A22" s="776" t="s">
        <v>442</v>
      </c>
      <c r="B22" s="777" t="s">
        <v>451</v>
      </c>
      <c r="C22" s="778" t="s">
        <v>415</v>
      </c>
      <c r="D22" s="778"/>
      <c r="E22" s="779" t="s">
        <v>444</v>
      </c>
      <c r="F22" s="780" t="s">
        <v>452</v>
      </c>
      <c r="G22" s="781">
        <v>40000</v>
      </c>
      <c r="H22" s="781"/>
      <c r="I22" s="781"/>
      <c r="J22" s="781">
        <f>G22</f>
        <v>40000</v>
      </c>
      <c r="K22" s="781"/>
      <c r="L22" s="781">
        <f>O22</f>
        <v>21909</v>
      </c>
      <c r="M22" s="781"/>
      <c r="N22" s="781"/>
      <c r="O22" s="781">
        <v>21909</v>
      </c>
      <c r="P22" s="781"/>
      <c r="Q22" s="781">
        <f>R22+S22+T22+U22</f>
        <v>21909</v>
      </c>
      <c r="R22" s="781"/>
      <c r="S22" s="781"/>
      <c r="T22" s="781">
        <v>21909</v>
      </c>
      <c r="U22" s="781"/>
      <c r="V22" s="781">
        <f>W22+X22+Y22+Z22</f>
        <v>9449</v>
      </c>
      <c r="W22" s="781"/>
      <c r="X22" s="781"/>
      <c r="Y22" s="781">
        <v>9449</v>
      </c>
      <c r="Z22" s="781"/>
      <c r="AA22" s="781">
        <f t="shared" si="11"/>
        <v>9449</v>
      </c>
      <c r="AB22" s="781"/>
      <c r="AC22" s="781"/>
      <c r="AD22" s="781">
        <v>9449</v>
      </c>
      <c r="AE22" s="782"/>
      <c r="AF22" s="783">
        <f t="shared" si="6"/>
        <v>1</v>
      </c>
      <c r="AG22" s="784"/>
      <c r="AH22" s="783"/>
      <c r="AI22" s="785">
        <f t="shared" si="7"/>
        <v>1</v>
      </c>
      <c r="AJ22" s="771"/>
      <c r="AK22" s="757"/>
      <c r="AL22" s="749"/>
      <c r="AM22" s="749"/>
      <c r="AN22" s="749"/>
      <c r="AO22" s="749"/>
      <c r="AP22" s="749"/>
      <c r="AQ22" s="749"/>
      <c r="AR22" s="749"/>
      <c r="AS22" s="749"/>
      <c r="AT22" s="749"/>
      <c r="AU22" s="749"/>
      <c r="AV22" s="749"/>
      <c r="AW22" s="749"/>
      <c r="AX22" s="749"/>
      <c r="AY22" s="749"/>
      <c r="AZ22" s="749"/>
      <c r="BA22" s="749"/>
      <c r="BB22" s="749"/>
      <c r="BC22" s="749"/>
      <c r="BD22" s="749"/>
      <c r="BE22" s="749"/>
      <c r="BF22" s="749"/>
      <c r="BG22" s="749"/>
      <c r="BH22" s="749"/>
      <c r="BI22" s="749"/>
    </row>
    <row r="23" spans="1:61" s="772" customFormat="1" ht="46.5" customHeight="1">
      <c r="A23" s="776" t="s">
        <v>442</v>
      </c>
      <c r="B23" s="777" t="s">
        <v>453</v>
      </c>
      <c r="C23" s="778" t="s">
        <v>454</v>
      </c>
      <c r="D23" s="778"/>
      <c r="E23" s="779" t="s">
        <v>444</v>
      </c>
      <c r="F23" s="780" t="s">
        <v>455</v>
      </c>
      <c r="G23" s="781">
        <v>3000</v>
      </c>
      <c r="H23" s="781"/>
      <c r="I23" s="781"/>
      <c r="J23" s="781">
        <f>G23</f>
        <v>3000</v>
      </c>
      <c r="K23" s="781"/>
      <c r="L23" s="781">
        <v>3000</v>
      </c>
      <c r="M23" s="781"/>
      <c r="N23" s="781"/>
      <c r="O23" s="781">
        <f>L23</f>
        <v>3000</v>
      </c>
      <c r="P23" s="781"/>
      <c r="Q23" s="781">
        <f>2000+1000</f>
        <v>3000</v>
      </c>
      <c r="R23" s="781"/>
      <c r="S23" s="781"/>
      <c r="T23" s="781">
        <f>Q23</f>
        <v>3000</v>
      </c>
      <c r="U23" s="781"/>
      <c r="V23" s="781">
        <f>W23+X23+Y23+Z23</f>
        <v>28.3</v>
      </c>
      <c r="W23" s="781"/>
      <c r="X23" s="781"/>
      <c r="Y23" s="781">
        <v>28.3</v>
      </c>
      <c r="Z23" s="781"/>
      <c r="AA23" s="781">
        <f t="shared" si="11"/>
        <v>0</v>
      </c>
      <c r="AB23" s="781"/>
      <c r="AC23" s="781"/>
      <c r="AD23" s="781">
        <v>0</v>
      </c>
      <c r="AE23" s="782"/>
      <c r="AF23" s="783">
        <f t="shared" si="6"/>
        <v>0</v>
      </c>
      <c r="AG23" s="784"/>
      <c r="AH23" s="783"/>
      <c r="AI23" s="785">
        <f t="shared" si="7"/>
        <v>0</v>
      </c>
      <c r="AJ23" s="771"/>
      <c r="AK23" s="757"/>
      <c r="AL23" s="749"/>
      <c r="AM23" s="749"/>
      <c r="AN23" s="749"/>
      <c r="AO23" s="749"/>
      <c r="AP23" s="749"/>
      <c r="AQ23" s="749"/>
      <c r="AR23" s="749"/>
      <c r="AS23" s="749"/>
      <c r="AT23" s="749"/>
      <c r="AU23" s="749"/>
      <c r="AV23" s="749"/>
      <c r="AW23" s="749"/>
      <c r="AX23" s="749"/>
      <c r="AY23" s="749"/>
      <c r="AZ23" s="749"/>
      <c r="BA23" s="749"/>
      <c r="BB23" s="749"/>
      <c r="BC23" s="749"/>
      <c r="BD23" s="749"/>
      <c r="BE23" s="749"/>
      <c r="BF23" s="749"/>
      <c r="BG23" s="749"/>
      <c r="BH23" s="749"/>
      <c r="BI23" s="749"/>
    </row>
    <row r="24" spans="1:61" s="772" customFormat="1" ht="102" customHeight="1">
      <c r="A24" s="776"/>
      <c r="B24" s="777" t="s">
        <v>760</v>
      </c>
      <c r="C24" s="778"/>
      <c r="D24" s="778"/>
      <c r="E24" s="779"/>
      <c r="F24" s="780"/>
      <c r="G24" s="781">
        <f>J24</f>
        <v>128.53252599999999</v>
      </c>
      <c r="H24" s="781"/>
      <c r="I24" s="781"/>
      <c r="J24" s="781">
        <v>128.53252599999999</v>
      </c>
      <c r="K24" s="781"/>
      <c r="L24" s="781">
        <f>O24</f>
        <v>107.39400000000001</v>
      </c>
      <c r="M24" s="781"/>
      <c r="N24" s="781"/>
      <c r="O24" s="781">
        <v>107.39400000000001</v>
      </c>
      <c r="P24" s="781"/>
      <c r="Q24" s="781">
        <f>R24+S24+T24+U24</f>
        <v>107.39400000000001</v>
      </c>
      <c r="R24" s="781"/>
      <c r="S24" s="781"/>
      <c r="T24" s="781">
        <v>107.39400000000001</v>
      </c>
      <c r="U24" s="781"/>
      <c r="V24" s="781">
        <f>W24+X24+Y24+Z24</f>
        <v>107.39400000000001</v>
      </c>
      <c r="W24" s="781"/>
      <c r="X24" s="781"/>
      <c r="Y24" s="781">
        <v>107.39400000000001</v>
      </c>
      <c r="Z24" s="781"/>
      <c r="AA24" s="781">
        <f t="shared" si="11"/>
        <v>107.39400000000001</v>
      </c>
      <c r="AB24" s="781"/>
      <c r="AC24" s="781"/>
      <c r="AD24" s="781">
        <v>107.39400000000001</v>
      </c>
      <c r="AE24" s="782"/>
      <c r="AF24" s="783">
        <f t="shared" si="6"/>
        <v>1</v>
      </c>
      <c r="AG24" s="784"/>
      <c r="AH24" s="783"/>
      <c r="AI24" s="785">
        <f t="shared" si="7"/>
        <v>1</v>
      </c>
      <c r="AJ24" s="771"/>
      <c r="AK24" s="757"/>
      <c r="AL24" s="749"/>
      <c r="AM24" s="749"/>
      <c r="AN24" s="749"/>
      <c r="AO24" s="749"/>
      <c r="AP24" s="749"/>
      <c r="AQ24" s="749"/>
      <c r="AR24" s="749"/>
      <c r="AS24" s="749"/>
      <c r="AT24" s="749"/>
      <c r="AU24" s="749"/>
      <c r="AV24" s="749"/>
      <c r="AW24" s="749"/>
      <c r="AX24" s="749"/>
      <c r="AY24" s="749"/>
      <c r="AZ24" s="749"/>
      <c r="BA24" s="749"/>
      <c r="BB24" s="749"/>
      <c r="BC24" s="749"/>
      <c r="BD24" s="749"/>
      <c r="BE24" s="749"/>
      <c r="BF24" s="749"/>
      <c r="BG24" s="749"/>
      <c r="BH24" s="749"/>
      <c r="BI24" s="749"/>
    </row>
    <row r="25" spans="1:61" s="772" customFormat="1" ht="92.25" customHeight="1">
      <c r="A25" s="776"/>
      <c r="B25" s="777" t="s">
        <v>675</v>
      </c>
      <c r="C25" s="778" t="s">
        <v>673</v>
      </c>
      <c r="D25" s="778"/>
      <c r="E25" s="779" t="s">
        <v>674</v>
      </c>
      <c r="F25" s="780" t="s">
        <v>676</v>
      </c>
      <c r="G25" s="781">
        <v>42500</v>
      </c>
      <c r="H25" s="781"/>
      <c r="I25" s="781"/>
      <c r="J25" s="781">
        <v>42500</v>
      </c>
      <c r="K25" s="781"/>
      <c r="L25" s="781">
        <f>SUM(M25:P25)</f>
        <v>37874.817999999999</v>
      </c>
      <c r="M25" s="781"/>
      <c r="N25" s="781">
        <f>37874.818-O25</f>
        <v>36549.817999999999</v>
      </c>
      <c r="O25" s="781">
        <f>648.445+676.555</f>
        <v>1325</v>
      </c>
      <c r="P25" s="781"/>
      <c r="Q25" s="781">
        <f>SUM(R25:U25)</f>
        <v>37874.817999999999</v>
      </c>
      <c r="R25" s="781"/>
      <c r="S25" s="781">
        <f>37874.818-T25</f>
        <v>36549.817999999999</v>
      </c>
      <c r="T25" s="781">
        <f>648.445+676.555</f>
        <v>1325</v>
      </c>
      <c r="U25" s="781"/>
      <c r="V25" s="781">
        <f>W25+X25+Y25+Z25</f>
        <v>676.55499999999995</v>
      </c>
      <c r="W25" s="781"/>
      <c r="X25" s="781"/>
      <c r="Y25" s="781">
        <v>676.55499999999995</v>
      </c>
      <c r="Z25" s="781"/>
      <c r="AA25" s="781">
        <f t="shared" si="11"/>
        <v>676.55499999999995</v>
      </c>
      <c r="AB25" s="781"/>
      <c r="AC25" s="781"/>
      <c r="AD25" s="781">
        <v>676.55499999999995</v>
      </c>
      <c r="AE25" s="782"/>
      <c r="AF25" s="783">
        <f>AA25/V25</f>
        <v>1</v>
      </c>
      <c r="AG25" s="784"/>
      <c r="AH25" s="783"/>
      <c r="AI25" s="785">
        <f>AD25/Y25</f>
        <v>1</v>
      </c>
      <c r="AJ25" s="771"/>
      <c r="AK25" s="757"/>
      <c r="AL25" s="749"/>
      <c r="AM25" s="749"/>
      <c r="AN25" s="749"/>
      <c r="AO25" s="749"/>
      <c r="AP25" s="749"/>
      <c r="AQ25" s="749"/>
      <c r="AR25" s="749"/>
      <c r="AS25" s="749"/>
      <c r="AT25" s="749"/>
      <c r="AU25" s="749"/>
      <c r="AV25" s="749"/>
      <c r="AW25" s="749"/>
      <c r="AX25" s="749"/>
      <c r="AY25" s="749"/>
      <c r="AZ25" s="749"/>
      <c r="BA25" s="749"/>
      <c r="BB25" s="749"/>
      <c r="BC25" s="749"/>
      <c r="BD25" s="749"/>
      <c r="BE25" s="749"/>
      <c r="BF25" s="749"/>
      <c r="BG25" s="749"/>
      <c r="BH25" s="749"/>
      <c r="BI25" s="749"/>
    </row>
    <row r="26" spans="1:61" s="772" customFormat="1" ht="28.5" customHeight="1">
      <c r="A26" s="773"/>
      <c r="B26" s="774" t="s">
        <v>456</v>
      </c>
      <c r="C26" s="766"/>
      <c r="D26" s="766"/>
      <c r="E26" s="767"/>
      <c r="F26" s="767"/>
      <c r="G26" s="768">
        <f>G27</f>
        <v>33000</v>
      </c>
      <c r="H26" s="768">
        <f t="shared" ref="H26:AE26" si="16">H27</f>
        <v>0</v>
      </c>
      <c r="I26" s="768">
        <f t="shared" si="16"/>
        <v>0</v>
      </c>
      <c r="J26" s="768">
        <f t="shared" si="16"/>
        <v>33000</v>
      </c>
      <c r="K26" s="768">
        <f t="shared" si="16"/>
        <v>0</v>
      </c>
      <c r="L26" s="768">
        <f t="shared" si="16"/>
        <v>16238.328</v>
      </c>
      <c r="M26" s="768">
        <f t="shared" si="16"/>
        <v>0</v>
      </c>
      <c r="N26" s="768">
        <f t="shared" si="16"/>
        <v>0</v>
      </c>
      <c r="O26" s="768">
        <f t="shared" si="16"/>
        <v>16238.328</v>
      </c>
      <c r="P26" s="768">
        <f t="shared" si="16"/>
        <v>0</v>
      </c>
      <c r="Q26" s="768">
        <f t="shared" si="16"/>
        <v>17747.616000000002</v>
      </c>
      <c r="R26" s="768">
        <f t="shared" si="16"/>
        <v>0</v>
      </c>
      <c r="S26" s="768">
        <f t="shared" si="16"/>
        <v>0</v>
      </c>
      <c r="T26" s="768">
        <f t="shared" si="16"/>
        <v>17747.616000000002</v>
      </c>
      <c r="U26" s="768">
        <f t="shared" si="16"/>
        <v>0</v>
      </c>
      <c r="V26" s="768">
        <f t="shared" si="16"/>
        <v>11562.339</v>
      </c>
      <c r="W26" s="768">
        <f t="shared" si="16"/>
        <v>0</v>
      </c>
      <c r="X26" s="768">
        <f t="shared" si="16"/>
        <v>0</v>
      </c>
      <c r="Y26" s="768">
        <f t="shared" si="16"/>
        <v>11562.339</v>
      </c>
      <c r="Z26" s="768">
        <f t="shared" si="16"/>
        <v>0</v>
      </c>
      <c r="AA26" s="768">
        <f t="shared" si="16"/>
        <v>10053.050999999999</v>
      </c>
      <c r="AB26" s="768">
        <f t="shared" si="16"/>
        <v>0</v>
      </c>
      <c r="AC26" s="768">
        <f t="shared" si="16"/>
        <v>0</v>
      </c>
      <c r="AD26" s="768">
        <f t="shared" si="16"/>
        <v>10053.050999999999</v>
      </c>
      <c r="AE26" s="775">
        <f t="shared" si="16"/>
        <v>0</v>
      </c>
      <c r="AF26" s="769">
        <f t="shared" si="6"/>
        <v>0.86946516617442193</v>
      </c>
      <c r="AG26" s="771"/>
      <c r="AH26" s="769"/>
      <c r="AI26" s="770">
        <f t="shared" si="7"/>
        <v>0.86946516617442193</v>
      </c>
      <c r="AJ26" s="771"/>
      <c r="AK26" s="757"/>
      <c r="AL26" s="749"/>
      <c r="AM26" s="749"/>
      <c r="AN26" s="749"/>
      <c r="AO26" s="749"/>
      <c r="AP26" s="749"/>
      <c r="AQ26" s="749"/>
      <c r="AR26" s="749"/>
      <c r="AS26" s="749"/>
      <c r="AT26" s="749"/>
      <c r="AU26" s="749"/>
      <c r="AV26" s="749"/>
      <c r="AW26" s="749"/>
      <c r="AX26" s="749"/>
      <c r="AY26" s="749"/>
      <c r="AZ26" s="749"/>
      <c r="BA26" s="749"/>
      <c r="BB26" s="749"/>
      <c r="BC26" s="749"/>
      <c r="BD26" s="749"/>
      <c r="BE26" s="749"/>
      <c r="BF26" s="749"/>
      <c r="BG26" s="749"/>
      <c r="BH26" s="749"/>
      <c r="BI26" s="749"/>
    </row>
    <row r="27" spans="1:61" s="772" customFormat="1" ht="51.75" customHeight="1">
      <c r="A27" s="776" t="s">
        <v>442</v>
      </c>
      <c r="B27" s="777" t="s">
        <v>457</v>
      </c>
      <c r="C27" s="778" t="s">
        <v>415</v>
      </c>
      <c r="D27" s="778"/>
      <c r="E27" s="779" t="s">
        <v>444</v>
      </c>
      <c r="F27" s="780" t="s">
        <v>677</v>
      </c>
      <c r="G27" s="781">
        <v>33000</v>
      </c>
      <c r="H27" s="781"/>
      <c r="I27" s="781"/>
      <c r="J27" s="781">
        <f>G27</f>
        <v>33000</v>
      </c>
      <c r="K27" s="781"/>
      <c r="L27" s="781">
        <f>M27+N27+O27+P27</f>
        <v>16238.328</v>
      </c>
      <c r="M27" s="781"/>
      <c r="N27" s="781"/>
      <c r="O27" s="781">
        <f>16660.712-422.384</f>
        <v>16238.328</v>
      </c>
      <c r="P27" s="781"/>
      <c r="Q27" s="781">
        <f>SUM(R27:U27)</f>
        <v>17747.616000000002</v>
      </c>
      <c r="R27" s="781"/>
      <c r="S27" s="781"/>
      <c r="T27" s="781">
        <f>18170-422.384</f>
        <v>17747.616000000002</v>
      </c>
      <c r="U27" s="781"/>
      <c r="V27" s="781">
        <f>W27+X27+Y27+Z27</f>
        <v>11562.339</v>
      </c>
      <c r="W27" s="781"/>
      <c r="X27" s="781"/>
      <c r="Y27" s="781">
        <f>11984.723-422.384</f>
        <v>11562.339</v>
      </c>
      <c r="Z27" s="781"/>
      <c r="AA27" s="781">
        <f t="shared" si="11"/>
        <v>10053.050999999999</v>
      </c>
      <c r="AB27" s="781"/>
      <c r="AC27" s="781"/>
      <c r="AD27" s="781">
        <f>10475.435-422.384</f>
        <v>10053.050999999999</v>
      </c>
      <c r="AE27" s="782"/>
      <c r="AF27" s="783">
        <f t="shared" si="6"/>
        <v>0.86946516617442193</v>
      </c>
      <c r="AG27" s="784"/>
      <c r="AH27" s="783"/>
      <c r="AI27" s="785">
        <f t="shared" si="7"/>
        <v>0.86946516617442193</v>
      </c>
      <c r="AJ27" s="771"/>
      <c r="AK27" s="757"/>
      <c r="AL27" s="749"/>
      <c r="AM27" s="749"/>
      <c r="AN27" s="749"/>
      <c r="AO27" s="749"/>
      <c r="AP27" s="749"/>
      <c r="AQ27" s="749"/>
      <c r="AR27" s="749"/>
      <c r="AS27" s="749"/>
      <c r="AT27" s="749"/>
      <c r="AU27" s="749"/>
      <c r="AV27" s="749"/>
      <c r="AW27" s="749"/>
      <c r="AX27" s="749"/>
      <c r="AY27" s="749"/>
      <c r="AZ27" s="749"/>
      <c r="BA27" s="749"/>
      <c r="BB27" s="749"/>
      <c r="BC27" s="749"/>
      <c r="BD27" s="749"/>
      <c r="BE27" s="749"/>
      <c r="BF27" s="749"/>
      <c r="BG27" s="749"/>
      <c r="BH27" s="749"/>
      <c r="BI27" s="749"/>
    </row>
    <row r="28" spans="1:61" s="772" customFormat="1" ht="27.75" customHeight="1">
      <c r="A28" s="773" t="s">
        <v>446</v>
      </c>
      <c r="B28" s="774" t="s">
        <v>485</v>
      </c>
      <c r="C28" s="778"/>
      <c r="D28" s="778"/>
      <c r="E28" s="788"/>
      <c r="F28" s="788"/>
      <c r="G28" s="768"/>
      <c r="H28" s="768"/>
      <c r="I28" s="768"/>
      <c r="J28" s="768"/>
      <c r="K28" s="768"/>
      <c r="L28" s="768"/>
      <c r="M28" s="768"/>
      <c r="N28" s="768"/>
      <c r="O28" s="768"/>
      <c r="P28" s="768"/>
      <c r="Q28" s="768"/>
      <c r="R28" s="768"/>
      <c r="S28" s="768"/>
      <c r="T28" s="768"/>
      <c r="U28" s="768"/>
      <c r="V28" s="768"/>
      <c r="W28" s="768"/>
      <c r="X28" s="768"/>
      <c r="Y28" s="768"/>
      <c r="Z28" s="768"/>
      <c r="AA28" s="768"/>
      <c r="AB28" s="768"/>
      <c r="AC28" s="768"/>
      <c r="AD28" s="768"/>
      <c r="AE28" s="768"/>
      <c r="AF28" s="769"/>
      <c r="AG28" s="771"/>
      <c r="AH28" s="769"/>
      <c r="AI28" s="770"/>
      <c r="AJ28" s="771"/>
      <c r="AK28" s="757"/>
      <c r="AL28" s="749"/>
      <c r="AM28" s="749"/>
      <c r="AN28" s="749"/>
      <c r="AO28" s="749"/>
      <c r="AP28" s="749"/>
      <c r="AQ28" s="749"/>
      <c r="AR28" s="749"/>
      <c r="AS28" s="749"/>
      <c r="AT28" s="749"/>
      <c r="AU28" s="749"/>
      <c r="AV28" s="749"/>
      <c r="AW28" s="749"/>
      <c r="AX28" s="749"/>
      <c r="AY28" s="749"/>
      <c r="AZ28" s="749"/>
      <c r="BA28" s="749"/>
      <c r="BB28" s="749"/>
      <c r="BC28" s="749"/>
      <c r="BD28" s="749"/>
      <c r="BE28" s="749"/>
      <c r="BF28" s="749"/>
      <c r="BG28" s="749"/>
      <c r="BH28" s="749"/>
      <c r="BI28" s="749"/>
    </row>
    <row r="29" spans="1:61" s="772" customFormat="1" ht="32.25" customHeight="1">
      <c r="A29" s="789" t="s">
        <v>280</v>
      </c>
      <c r="B29" s="790" t="s">
        <v>458</v>
      </c>
      <c r="C29" s="766"/>
      <c r="D29" s="766"/>
      <c r="E29" s="791"/>
      <c r="F29" s="792"/>
      <c r="G29" s="768">
        <f>G30+G46</f>
        <v>51840</v>
      </c>
      <c r="H29" s="768">
        <f t="shared" ref="H29:AE29" si="17">H30+H46</f>
        <v>0</v>
      </c>
      <c r="I29" s="768">
        <f t="shared" si="17"/>
        <v>0</v>
      </c>
      <c r="J29" s="768">
        <f t="shared" si="17"/>
        <v>51840</v>
      </c>
      <c r="K29" s="768">
        <f t="shared" si="17"/>
        <v>0</v>
      </c>
      <c r="L29" s="768">
        <f t="shared" si="17"/>
        <v>35809.140404999998</v>
      </c>
      <c r="M29" s="768">
        <f t="shared" si="17"/>
        <v>0</v>
      </c>
      <c r="N29" s="768">
        <f t="shared" si="17"/>
        <v>0</v>
      </c>
      <c r="O29" s="768">
        <f t="shared" si="17"/>
        <v>35809.140404999998</v>
      </c>
      <c r="P29" s="768">
        <f t="shared" si="17"/>
        <v>0</v>
      </c>
      <c r="Q29" s="768">
        <f t="shared" si="17"/>
        <v>38238.152187</v>
      </c>
      <c r="R29" s="768">
        <f t="shared" si="17"/>
        <v>0</v>
      </c>
      <c r="S29" s="768">
        <f t="shared" si="17"/>
        <v>0</v>
      </c>
      <c r="T29" s="768">
        <f t="shared" si="17"/>
        <v>38267.280186999997</v>
      </c>
      <c r="U29" s="768">
        <f t="shared" si="17"/>
        <v>0</v>
      </c>
      <c r="V29" s="768">
        <f t="shared" si="17"/>
        <v>15453.990266999999</v>
      </c>
      <c r="W29" s="768">
        <f t="shared" si="17"/>
        <v>0</v>
      </c>
      <c r="X29" s="768">
        <f t="shared" si="17"/>
        <v>0</v>
      </c>
      <c r="Y29" s="768">
        <f t="shared" si="17"/>
        <v>15453.990266999999</v>
      </c>
      <c r="Z29" s="768">
        <f t="shared" si="17"/>
        <v>0</v>
      </c>
      <c r="AA29" s="768">
        <f t="shared" si="17"/>
        <v>13024.978485000001</v>
      </c>
      <c r="AB29" s="768">
        <f t="shared" si="17"/>
        <v>0</v>
      </c>
      <c r="AC29" s="768">
        <f t="shared" si="17"/>
        <v>0</v>
      </c>
      <c r="AD29" s="768">
        <f t="shared" si="17"/>
        <v>13024.978485000001</v>
      </c>
      <c r="AE29" s="768">
        <f t="shared" si="17"/>
        <v>0</v>
      </c>
      <c r="AF29" s="769">
        <f>AA29/V29</f>
        <v>0.84282300298927726</v>
      </c>
      <c r="AG29" s="771"/>
      <c r="AH29" s="769"/>
      <c r="AI29" s="770">
        <f>AD29/Y29</f>
        <v>0.84282300298927726</v>
      </c>
      <c r="AJ29" s="771"/>
      <c r="AK29" s="793"/>
      <c r="AL29" s="794"/>
      <c r="AM29" s="794"/>
      <c r="AN29" s="794"/>
      <c r="AO29" s="794"/>
      <c r="AP29" s="794"/>
      <c r="AQ29" s="794"/>
      <c r="AR29" s="794"/>
      <c r="AS29" s="794"/>
      <c r="AT29" s="794"/>
      <c r="AU29" s="794"/>
      <c r="AV29" s="794"/>
      <c r="AW29" s="794"/>
      <c r="AX29" s="794"/>
      <c r="AY29" s="794"/>
      <c r="AZ29" s="794"/>
      <c r="BA29" s="794"/>
      <c r="BB29" s="794"/>
      <c r="BC29" s="794"/>
      <c r="BD29" s="794"/>
      <c r="BE29" s="794"/>
      <c r="BF29" s="794"/>
      <c r="BG29" s="794"/>
      <c r="BH29" s="794"/>
      <c r="BI29" s="794"/>
    </row>
    <row r="30" spans="1:61" s="772" customFormat="1" ht="32.25" customHeight="1">
      <c r="A30" s="773" t="s">
        <v>261</v>
      </c>
      <c r="B30" s="774" t="s">
        <v>759</v>
      </c>
      <c r="C30" s="766"/>
      <c r="D30" s="766"/>
      <c r="E30" s="767"/>
      <c r="F30" s="767"/>
      <c r="G30" s="768">
        <f>G31+G41</f>
        <v>42250</v>
      </c>
      <c r="H30" s="768">
        <f t="shared" ref="H30:AE30" si="18">H31+H41</f>
        <v>0</v>
      </c>
      <c r="I30" s="768">
        <f t="shared" si="18"/>
        <v>0</v>
      </c>
      <c r="J30" s="768">
        <f t="shared" si="18"/>
        <v>42250</v>
      </c>
      <c r="K30" s="768">
        <f t="shared" si="18"/>
        <v>0</v>
      </c>
      <c r="L30" s="768">
        <f t="shared" si="18"/>
        <v>26997.998</v>
      </c>
      <c r="M30" s="768">
        <f t="shared" si="18"/>
        <v>0</v>
      </c>
      <c r="N30" s="768">
        <f t="shared" si="18"/>
        <v>0</v>
      </c>
      <c r="O30" s="768">
        <f t="shared" si="18"/>
        <v>26997.998</v>
      </c>
      <c r="P30" s="768">
        <f t="shared" si="18"/>
        <v>0</v>
      </c>
      <c r="Q30" s="768">
        <f t="shared" si="18"/>
        <v>28914.215999999997</v>
      </c>
      <c r="R30" s="768">
        <f t="shared" si="18"/>
        <v>0</v>
      </c>
      <c r="S30" s="768">
        <f t="shared" si="18"/>
        <v>0</v>
      </c>
      <c r="T30" s="768">
        <f t="shared" si="18"/>
        <v>28943.343999999997</v>
      </c>
      <c r="U30" s="768">
        <f t="shared" si="18"/>
        <v>0</v>
      </c>
      <c r="V30" s="768">
        <f t="shared" si="18"/>
        <v>14220.195</v>
      </c>
      <c r="W30" s="768">
        <f t="shared" si="18"/>
        <v>0</v>
      </c>
      <c r="X30" s="768">
        <f t="shared" si="18"/>
        <v>0</v>
      </c>
      <c r="Y30" s="768">
        <f t="shared" si="18"/>
        <v>14220.195</v>
      </c>
      <c r="Z30" s="768">
        <f t="shared" si="18"/>
        <v>0</v>
      </c>
      <c r="AA30" s="768">
        <f t="shared" si="18"/>
        <v>12303.977000000001</v>
      </c>
      <c r="AB30" s="768">
        <f t="shared" si="18"/>
        <v>0</v>
      </c>
      <c r="AC30" s="768">
        <f t="shared" si="18"/>
        <v>0</v>
      </c>
      <c r="AD30" s="768">
        <f t="shared" si="18"/>
        <v>12303.977000000001</v>
      </c>
      <c r="AE30" s="768">
        <f t="shared" si="18"/>
        <v>0</v>
      </c>
      <c r="AF30" s="769">
        <f t="shared" si="6"/>
        <v>0.86524671426798305</v>
      </c>
      <c r="AG30" s="771"/>
      <c r="AH30" s="769"/>
      <c r="AI30" s="770">
        <f t="shared" si="7"/>
        <v>0.86524671426798305</v>
      </c>
      <c r="AJ30" s="771"/>
      <c r="AK30" s="757"/>
      <c r="AL30" s="749"/>
      <c r="AM30" s="749"/>
      <c r="AN30" s="749"/>
      <c r="AO30" s="749"/>
      <c r="AP30" s="749"/>
      <c r="AQ30" s="749"/>
      <c r="AR30" s="749"/>
      <c r="AS30" s="749"/>
      <c r="AT30" s="749"/>
      <c r="AU30" s="749"/>
      <c r="AV30" s="749"/>
      <c r="AW30" s="749"/>
      <c r="AX30" s="749"/>
      <c r="AY30" s="749"/>
      <c r="AZ30" s="749"/>
      <c r="BA30" s="749"/>
      <c r="BB30" s="749"/>
      <c r="BC30" s="749"/>
      <c r="BD30" s="749"/>
      <c r="BE30" s="749"/>
      <c r="BF30" s="749"/>
      <c r="BG30" s="749"/>
      <c r="BH30" s="749"/>
      <c r="BI30" s="749"/>
    </row>
    <row r="31" spans="1:61" s="772" customFormat="1" ht="27.75" customHeight="1">
      <c r="A31" s="764" t="s">
        <v>364</v>
      </c>
      <c r="B31" s="765" t="s">
        <v>450</v>
      </c>
      <c r="C31" s="766"/>
      <c r="D31" s="766"/>
      <c r="E31" s="767"/>
      <c r="F31" s="767"/>
      <c r="G31" s="768">
        <f>SUM(G32:G40)</f>
        <v>34600</v>
      </c>
      <c r="H31" s="768">
        <f t="shared" ref="H31:AE31" si="19">SUM(H32:H40)</f>
        <v>0</v>
      </c>
      <c r="I31" s="768">
        <f t="shared" si="19"/>
        <v>0</v>
      </c>
      <c r="J31" s="768">
        <f t="shared" si="19"/>
        <v>34600</v>
      </c>
      <c r="K31" s="768">
        <f t="shared" si="19"/>
        <v>0</v>
      </c>
      <c r="L31" s="768">
        <f t="shared" si="19"/>
        <v>20037.036</v>
      </c>
      <c r="M31" s="768">
        <f t="shared" si="19"/>
        <v>0</v>
      </c>
      <c r="N31" s="768">
        <f t="shared" si="19"/>
        <v>0</v>
      </c>
      <c r="O31" s="768">
        <f t="shared" si="19"/>
        <v>20037.036</v>
      </c>
      <c r="P31" s="768">
        <f t="shared" si="19"/>
        <v>0</v>
      </c>
      <c r="Q31" s="768">
        <f t="shared" si="19"/>
        <v>21953.253999999997</v>
      </c>
      <c r="R31" s="768">
        <f t="shared" si="19"/>
        <v>0</v>
      </c>
      <c r="S31" s="768">
        <f t="shared" si="19"/>
        <v>0</v>
      </c>
      <c r="T31" s="768">
        <f t="shared" si="19"/>
        <v>21982.381999999998</v>
      </c>
      <c r="U31" s="768">
        <f t="shared" si="19"/>
        <v>0</v>
      </c>
      <c r="V31" s="768">
        <f t="shared" si="19"/>
        <v>12056.205</v>
      </c>
      <c r="W31" s="768">
        <f t="shared" si="19"/>
        <v>0</v>
      </c>
      <c r="X31" s="768">
        <f t="shared" si="19"/>
        <v>0</v>
      </c>
      <c r="Y31" s="768">
        <f t="shared" si="19"/>
        <v>12056.205</v>
      </c>
      <c r="Z31" s="768">
        <f t="shared" si="19"/>
        <v>0</v>
      </c>
      <c r="AA31" s="768">
        <f t="shared" si="19"/>
        <v>10139.987000000001</v>
      </c>
      <c r="AB31" s="768">
        <f t="shared" si="19"/>
        <v>0</v>
      </c>
      <c r="AC31" s="768">
        <f t="shared" si="19"/>
        <v>0</v>
      </c>
      <c r="AD31" s="768">
        <f t="shared" si="19"/>
        <v>10139.987000000001</v>
      </c>
      <c r="AE31" s="768">
        <f t="shared" si="19"/>
        <v>0</v>
      </c>
      <c r="AF31" s="769">
        <f t="shared" si="6"/>
        <v>0.8410596037476139</v>
      </c>
      <c r="AG31" s="771"/>
      <c r="AH31" s="769"/>
      <c r="AI31" s="770">
        <f t="shared" si="7"/>
        <v>0.8410596037476139</v>
      </c>
      <c r="AJ31" s="771"/>
      <c r="AK31" s="757"/>
      <c r="AL31" s="795"/>
      <c r="AM31" s="749"/>
      <c r="AN31" s="749"/>
      <c r="AO31" s="749"/>
      <c r="AP31" s="749"/>
      <c r="AQ31" s="749"/>
      <c r="AR31" s="749"/>
      <c r="AS31" s="749"/>
      <c r="AT31" s="749"/>
      <c r="AU31" s="749"/>
      <c r="AV31" s="749"/>
      <c r="AW31" s="749"/>
      <c r="AX31" s="749"/>
      <c r="AY31" s="749"/>
      <c r="AZ31" s="749"/>
      <c r="BA31" s="749"/>
      <c r="BB31" s="749"/>
      <c r="BC31" s="749"/>
      <c r="BD31" s="749"/>
      <c r="BE31" s="749"/>
      <c r="BF31" s="749"/>
      <c r="BG31" s="749"/>
      <c r="BH31" s="749"/>
      <c r="BI31" s="749"/>
    </row>
    <row r="32" spans="1:61" s="772" customFormat="1" ht="33.75" customHeight="1">
      <c r="A32" s="776" t="s">
        <v>442</v>
      </c>
      <c r="B32" s="777" t="s">
        <v>459</v>
      </c>
      <c r="C32" s="778" t="s">
        <v>415</v>
      </c>
      <c r="D32" s="778"/>
      <c r="E32" s="779" t="s">
        <v>460</v>
      </c>
      <c r="F32" s="780" t="s">
        <v>761</v>
      </c>
      <c r="G32" s="781">
        <v>5200</v>
      </c>
      <c r="H32" s="781"/>
      <c r="I32" s="781"/>
      <c r="J32" s="781">
        <f>G32</f>
        <v>5200</v>
      </c>
      <c r="K32" s="781"/>
      <c r="L32" s="781">
        <f t="shared" ref="L32:L38" si="20">SUM(M32:P32)</f>
        <v>3741.1460000000002</v>
      </c>
      <c r="M32" s="781"/>
      <c r="N32" s="781"/>
      <c r="O32" s="781">
        <v>3741.1460000000002</v>
      </c>
      <c r="P32" s="781"/>
      <c r="Q32" s="781">
        <f>T32</f>
        <v>3752</v>
      </c>
      <c r="R32" s="781"/>
      <c r="S32" s="781"/>
      <c r="T32" s="781">
        <f>3050+202+500</f>
        <v>3752</v>
      </c>
      <c r="U32" s="781"/>
      <c r="V32" s="781">
        <f t="shared" ref="V32:V42" si="21">W32+X32+Y32+Z32</f>
        <v>1497.2619999999999</v>
      </c>
      <c r="W32" s="781"/>
      <c r="X32" s="781"/>
      <c r="Y32" s="781">
        <v>1497.2619999999999</v>
      </c>
      <c r="Z32" s="781"/>
      <c r="AA32" s="781">
        <f t="shared" ref="AA32:AA42" si="22">AB32+AC32+AD32+AE32</f>
        <v>1486.4079999999999</v>
      </c>
      <c r="AB32" s="781"/>
      <c r="AC32" s="781"/>
      <c r="AD32" s="781">
        <v>1486.4079999999999</v>
      </c>
      <c r="AE32" s="782"/>
      <c r="AF32" s="783">
        <f t="shared" si="6"/>
        <v>0.99275076773470505</v>
      </c>
      <c r="AG32" s="784"/>
      <c r="AH32" s="783"/>
      <c r="AI32" s="785">
        <f t="shared" si="7"/>
        <v>0.99275076773470505</v>
      </c>
      <c r="AJ32" s="771"/>
      <c r="AK32" s="757"/>
      <c r="AL32" s="749"/>
      <c r="AM32" s="749"/>
      <c r="AN32" s="749"/>
      <c r="AO32" s="749"/>
      <c r="AP32" s="749"/>
      <c r="AQ32" s="749"/>
      <c r="AR32" s="749"/>
      <c r="AS32" s="749"/>
      <c r="AT32" s="749"/>
      <c r="AU32" s="749"/>
      <c r="AV32" s="749"/>
      <c r="AW32" s="749"/>
      <c r="AX32" s="749"/>
      <c r="AY32" s="749"/>
      <c r="AZ32" s="749"/>
      <c r="BA32" s="749"/>
      <c r="BB32" s="749"/>
      <c r="BC32" s="749"/>
      <c r="BD32" s="749"/>
      <c r="BE32" s="749"/>
      <c r="BF32" s="749"/>
      <c r="BG32" s="749"/>
      <c r="BH32" s="749"/>
      <c r="BI32" s="749"/>
    </row>
    <row r="33" spans="1:61" s="772" customFormat="1" ht="33.75" customHeight="1">
      <c r="A33" s="776" t="s">
        <v>442</v>
      </c>
      <c r="B33" s="777" t="s">
        <v>461</v>
      </c>
      <c r="C33" s="778" t="s">
        <v>415</v>
      </c>
      <c r="D33" s="778"/>
      <c r="E33" s="779" t="s">
        <v>460</v>
      </c>
      <c r="F33" s="780" t="s">
        <v>462</v>
      </c>
      <c r="G33" s="781">
        <v>5000</v>
      </c>
      <c r="H33" s="781"/>
      <c r="I33" s="781"/>
      <c r="J33" s="781">
        <f>G33</f>
        <v>5000</v>
      </c>
      <c r="K33" s="781"/>
      <c r="L33" s="781">
        <f t="shared" si="20"/>
        <v>304.64600000000002</v>
      </c>
      <c r="M33" s="781"/>
      <c r="N33" s="781"/>
      <c r="O33" s="781">
        <v>304.64600000000002</v>
      </c>
      <c r="P33" s="781"/>
      <c r="Q33" s="781">
        <f>T33</f>
        <v>1254.646</v>
      </c>
      <c r="R33" s="781"/>
      <c r="S33" s="781"/>
      <c r="T33" s="781">
        <v>1254.646</v>
      </c>
      <c r="U33" s="781"/>
      <c r="V33" s="781">
        <f t="shared" si="21"/>
        <v>950</v>
      </c>
      <c r="W33" s="781"/>
      <c r="X33" s="781"/>
      <c r="Y33" s="781">
        <v>950</v>
      </c>
      <c r="Z33" s="781"/>
      <c r="AA33" s="781">
        <f t="shared" si="22"/>
        <v>0</v>
      </c>
      <c r="AB33" s="781"/>
      <c r="AC33" s="781"/>
      <c r="AD33" s="781">
        <v>0</v>
      </c>
      <c r="AE33" s="782"/>
      <c r="AF33" s="783">
        <f t="shared" si="6"/>
        <v>0</v>
      </c>
      <c r="AG33" s="784"/>
      <c r="AH33" s="783"/>
      <c r="AI33" s="785">
        <f t="shared" si="7"/>
        <v>0</v>
      </c>
      <c r="AJ33" s="771"/>
      <c r="AK33" s="757"/>
      <c r="AL33" s="749"/>
      <c r="AM33" s="749"/>
      <c r="AN33" s="749"/>
      <c r="AO33" s="749"/>
      <c r="AP33" s="749"/>
      <c r="AQ33" s="749"/>
      <c r="AR33" s="749"/>
      <c r="AS33" s="749"/>
      <c r="AT33" s="749"/>
      <c r="AU33" s="749"/>
      <c r="AV33" s="749"/>
      <c r="AW33" s="749"/>
      <c r="AX33" s="749"/>
      <c r="AY33" s="749"/>
      <c r="AZ33" s="749"/>
      <c r="BA33" s="749"/>
      <c r="BB33" s="749"/>
      <c r="BC33" s="749"/>
      <c r="BD33" s="749"/>
      <c r="BE33" s="749"/>
      <c r="BF33" s="749"/>
      <c r="BG33" s="749"/>
      <c r="BH33" s="749"/>
      <c r="BI33" s="749"/>
    </row>
    <row r="34" spans="1:61" s="772" customFormat="1" ht="36.75" customHeight="1">
      <c r="A34" s="776"/>
      <c r="B34" s="777" t="s">
        <v>678</v>
      </c>
      <c r="C34" s="778" t="s">
        <v>679</v>
      </c>
      <c r="D34" s="778"/>
      <c r="E34" s="779" t="s">
        <v>680</v>
      </c>
      <c r="F34" s="780" t="s">
        <v>681</v>
      </c>
      <c r="G34" s="781">
        <v>2100</v>
      </c>
      <c r="H34" s="781"/>
      <c r="I34" s="781"/>
      <c r="J34" s="781">
        <v>2100</v>
      </c>
      <c r="K34" s="781"/>
      <c r="L34" s="781">
        <f t="shared" si="20"/>
        <v>1842.492</v>
      </c>
      <c r="M34" s="781"/>
      <c r="N34" s="781"/>
      <c r="O34" s="781">
        <v>1842.492</v>
      </c>
      <c r="P34" s="781"/>
      <c r="Q34" s="781">
        <f>T34</f>
        <v>1842.492</v>
      </c>
      <c r="R34" s="781"/>
      <c r="S34" s="781"/>
      <c r="T34" s="781">
        <v>1842.492</v>
      </c>
      <c r="U34" s="781"/>
      <c r="V34" s="781">
        <f t="shared" si="21"/>
        <v>753.85900000000004</v>
      </c>
      <c r="W34" s="781"/>
      <c r="X34" s="781"/>
      <c r="Y34" s="781">
        <v>753.85900000000004</v>
      </c>
      <c r="Z34" s="781"/>
      <c r="AA34" s="781">
        <f t="shared" si="22"/>
        <v>753.85900000000004</v>
      </c>
      <c r="AB34" s="781"/>
      <c r="AC34" s="781"/>
      <c r="AD34" s="781">
        <v>753.85900000000004</v>
      </c>
      <c r="AE34" s="782"/>
      <c r="AF34" s="783">
        <f t="shared" si="6"/>
        <v>1</v>
      </c>
      <c r="AG34" s="784"/>
      <c r="AH34" s="783"/>
      <c r="AI34" s="785">
        <f t="shared" si="7"/>
        <v>1</v>
      </c>
      <c r="AJ34" s="771"/>
      <c r="AK34" s="757"/>
      <c r="AL34" s="796"/>
      <c r="AM34" s="749"/>
      <c r="AN34" s="749"/>
      <c r="AO34" s="749"/>
      <c r="AP34" s="749"/>
      <c r="AQ34" s="749"/>
      <c r="AR34" s="749"/>
      <c r="AS34" s="749"/>
      <c r="AT34" s="749"/>
      <c r="AU34" s="749"/>
      <c r="AV34" s="749"/>
      <c r="AW34" s="749"/>
      <c r="AX34" s="749"/>
      <c r="AY34" s="749"/>
      <c r="AZ34" s="749"/>
      <c r="BA34" s="749"/>
      <c r="BB34" s="749"/>
      <c r="BC34" s="749"/>
      <c r="BD34" s="749"/>
      <c r="BE34" s="749"/>
      <c r="BF34" s="749"/>
      <c r="BG34" s="749"/>
      <c r="BH34" s="749"/>
      <c r="BI34" s="749"/>
    </row>
    <row r="35" spans="1:61" s="772" customFormat="1" ht="36.75" customHeight="1">
      <c r="A35" s="776"/>
      <c r="B35" s="777" t="s">
        <v>682</v>
      </c>
      <c r="C35" s="778" t="s">
        <v>683</v>
      </c>
      <c r="D35" s="778"/>
      <c r="E35" s="779" t="s">
        <v>680</v>
      </c>
      <c r="F35" s="780" t="s">
        <v>684</v>
      </c>
      <c r="G35" s="781">
        <v>3600</v>
      </c>
      <c r="H35" s="781"/>
      <c r="I35" s="781"/>
      <c r="J35" s="781">
        <v>3600</v>
      </c>
      <c r="K35" s="781"/>
      <c r="L35" s="781">
        <f t="shared" si="20"/>
        <v>1429.7059999999999</v>
      </c>
      <c r="M35" s="781"/>
      <c r="N35" s="781"/>
      <c r="O35" s="781">
        <v>1429.7059999999999</v>
      </c>
      <c r="P35" s="781"/>
      <c r="Q35" s="781">
        <f>T35</f>
        <v>1429.7059999999999</v>
      </c>
      <c r="R35" s="781"/>
      <c r="S35" s="781"/>
      <c r="T35" s="781">
        <v>1429.7059999999999</v>
      </c>
      <c r="U35" s="781"/>
      <c r="V35" s="781">
        <f t="shared" si="21"/>
        <v>1200</v>
      </c>
      <c r="W35" s="781"/>
      <c r="X35" s="781"/>
      <c r="Y35" s="781">
        <v>1200</v>
      </c>
      <c r="Z35" s="781"/>
      <c r="AA35" s="781">
        <f t="shared" si="22"/>
        <v>1200</v>
      </c>
      <c r="AB35" s="781"/>
      <c r="AC35" s="781"/>
      <c r="AD35" s="781">
        <v>1200</v>
      </c>
      <c r="AE35" s="782"/>
      <c r="AF35" s="783">
        <f t="shared" si="6"/>
        <v>1</v>
      </c>
      <c r="AG35" s="784"/>
      <c r="AH35" s="783"/>
      <c r="AI35" s="785">
        <f t="shared" si="7"/>
        <v>1</v>
      </c>
      <c r="AJ35" s="771"/>
      <c r="AK35" s="757"/>
      <c r="AL35" s="796"/>
      <c r="AM35" s="749"/>
      <c r="AN35" s="749"/>
      <c r="AO35" s="749"/>
      <c r="AP35" s="749"/>
      <c r="AQ35" s="749"/>
      <c r="AR35" s="749"/>
      <c r="AS35" s="749"/>
      <c r="AT35" s="749"/>
      <c r="AU35" s="749"/>
      <c r="AV35" s="749"/>
      <c r="AW35" s="749"/>
      <c r="AX35" s="749"/>
      <c r="AY35" s="749"/>
      <c r="AZ35" s="749"/>
      <c r="BA35" s="749"/>
      <c r="BB35" s="749"/>
      <c r="BC35" s="749"/>
      <c r="BD35" s="749"/>
      <c r="BE35" s="749"/>
      <c r="BF35" s="749"/>
      <c r="BG35" s="749"/>
      <c r="BH35" s="749"/>
      <c r="BI35" s="749"/>
    </row>
    <row r="36" spans="1:61" s="772" customFormat="1" ht="36.75" customHeight="1">
      <c r="A36" s="776"/>
      <c r="B36" s="777" t="s">
        <v>685</v>
      </c>
      <c r="C36" s="778" t="s">
        <v>473</v>
      </c>
      <c r="D36" s="778"/>
      <c r="E36" s="779" t="s">
        <v>680</v>
      </c>
      <c r="F36" s="780" t="s">
        <v>686</v>
      </c>
      <c r="G36" s="781">
        <v>3000</v>
      </c>
      <c r="H36" s="781"/>
      <c r="I36" s="781"/>
      <c r="J36" s="781">
        <v>3000</v>
      </c>
      <c r="K36" s="781"/>
      <c r="L36" s="781">
        <f t="shared" si="20"/>
        <v>2703.2250000000004</v>
      </c>
      <c r="M36" s="781"/>
      <c r="N36" s="781"/>
      <c r="O36" s="781">
        <f>2882.51-179.285</f>
        <v>2703.2250000000004</v>
      </c>
      <c r="P36" s="781"/>
      <c r="Q36" s="781">
        <f t="shared" ref="Q36:Q40" si="23">T36</f>
        <v>2703.2250000000004</v>
      </c>
      <c r="R36" s="781"/>
      <c r="S36" s="781"/>
      <c r="T36" s="781">
        <f>2882.51-179.285</f>
        <v>2703.2250000000004</v>
      </c>
      <c r="U36" s="781"/>
      <c r="V36" s="781">
        <f t="shared" si="21"/>
        <v>2500</v>
      </c>
      <c r="W36" s="781"/>
      <c r="X36" s="781"/>
      <c r="Y36" s="781">
        <f>2679.285-179.285</f>
        <v>2500</v>
      </c>
      <c r="Z36" s="781"/>
      <c r="AA36" s="781">
        <f t="shared" si="22"/>
        <v>2500</v>
      </c>
      <c r="AB36" s="781"/>
      <c r="AC36" s="781"/>
      <c r="AD36" s="781">
        <f>2679.285-179.285</f>
        <v>2500</v>
      </c>
      <c r="AE36" s="782"/>
      <c r="AF36" s="783">
        <f t="shared" si="6"/>
        <v>1</v>
      </c>
      <c r="AG36" s="784"/>
      <c r="AH36" s="783"/>
      <c r="AI36" s="785">
        <f t="shared" si="7"/>
        <v>1</v>
      </c>
      <c r="AJ36" s="771"/>
      <c r="AK36" s="757"/>
      <c r="AL36" s="749"/>
      <c r="AM36" s="749"/>
      <c r="AN36" s="749"/>
      <c r="AO36" s="749"/>
      <c r="AP36" s="749"/>
      <c r="AQ36" s="749"/>
      <c r="AR36" s="749"/>
      <c r="AS36" s="749"/>
      <c r="AT36" s="749"/>
      <c r="AU36" s="749"/>
      <c r="AV36" s="749"/>
      <c r="AW36" s="749"/>
      <c r="AX36" s="749"/>
      <c r="AY36" s="749"/>
      <c r="AZ36" s="749"/>
      <c r="BA36" s="749"/>
      <c r="BB36" s="749"/>
      <c r="BC36" s="749"/>
      <c r="BD36" s="749"/>
      <c r="BE36" s="749"/>
      <c r="BF36" s="749"/>
      <c r="BG36" s="749"/>
      <c r="BH36" s="749"/>
      <c r="BI36" s="749"/>
    </row>
    <row r="37" spans="1:61" s="772" customFormat="1" ht="39.75" customHeight="1">
      <c r="A37" s="776"/>
      <c r="B37" s="777" t="s">
        <v>687</v>
      </c>
      <c r="C37" s="778" t="s">
        <v>415</v>
      </c>
      <c r="D37" s="778"/>
      <c r="E37" s="779" t="s">
        <v>680</v>
      </c>
      <c r="F37" s="780" t="s">
        <v>688</v>
      </c>
      <c r="G37" s="781">
        <v>4600</v>
      </c>
      <c r="H37" s="781"/>
      <c r="I37" s="781"/>
      <c r="J37" s="781">
        <v>4600</v>
      </c>
      <c r="K37" s="781"/>
      <c r="L37" s="781">
        <f t="shared" si="20"/>
        <v>2250.1849999999999</v>
      </c>
      <c r="M37" s="781"/>
      <c r="N37" s="781"/>
      <c r="O37" s="781">
        <v>2250.1849999999999</v>
      </c>
      <c r="P37" s="781"/>
      <c r="Q37" s="781">
        <f t="shared" si="23"/>
        <v>2287.8879999999999</v>
      </c>
      <c r="R37" s="781"/>
      <c r="S37" s="781"/>
      <c r="T37" s="781">
        <v>2287.8879999999999</v>
      </c>
      <c r="U37" s="781"/>
      <c r="V37" s="781">
        <f t="shared" si="21"/>
        <v>2024.9559999999999</v>
      </c>
      <c r="W37" s="781"/>
      <c r="X37" s="781"/>
      <c r="Y37" s="781">
        <v>2024.9559999999999</v>
      </c>
      <c r="Z37" s="781"/>
      <c r="AA37" s="781">
        <f t="shared" si="22"/>
        <v>1987.2529999999999</v>
      </c>
      <c r="AB37" s="781"/>
      <c r="AC37" s="781"/>
      <c r="AD37" s="781">
        <v>1987.2529999999999</v>
      </c>
      <c r="AE37" s="782"/>
      <c r="AF37" s="783">
        <f t="shared" si="6"/>
        <v>0.98138083000321985</v>
      </c>
      <c r="AG37" s="784"/>
      <c r="AH37" s="783"/>
      <c r="AI37" s="785">
        <f t="shared" si="7"/>
        <v>0.98138083000321985</v>
      </c>
      <c r="AJ37" s="771"/>
      <c r="AK37" s="757"/>
      <c r="AL37" s="749"/>
      <c r="AM37" s="749"/>
      <c r="AN37" s="749"/>
      <c r="AO37" s="749"/>
      <c r="AP37" s="749"/>
      <c r="AQ37" s="749"/>
      <c r="AR37" s="749"/>
      <c r="AS37" s="749"/>
      <c r="AT37" s="749"/>
      <c r="AU37" s="749"/>
      <c r="AV37" s="749"/>
      <c r="AW37" s="749"/>
      <c r="AX37" s="749"/>
      <c r="AY37" s="749"/>
      <c r="AZ37" s="749"/>
      <c r="BA37" s="749"/>
      <c r="BB37" s="749"/>
      <c r="BC37" s="749"/>
      <c r="BD37" s="749"/>
      <c r="BE37" s="749"/>
      <c r="BF37" s="749"/>
      <c r="BG37" s="749"/>
      <c r="BH37" s="749"/>
      <c r="BI37" s="749"/>
    </row>
    <row r="38" spans="1:61" s="772" customFormat="1" ht="34.5" customHeight="1">
      <c r="A38" s="776"/>
      <c r="B38" s="777" t="s">
        <v>762</v>
      </c>
      <c r="C38" s="778" t="s">
        <v>763</v>
      </c>
      <c r="D38" s="778"/>
      <c r="E38" s="779" t="s">
        <v>680</v>
      </c>
      <c r="F38" s="780"/>
      <c r="G38" s="781">
        <f>SUM(H38:K38)</f>
        <v>3600</v>
      </c>
      <c r="H38" s="781"/>
      <c r="I38" s="781"/>
      <c r="J38" s="781">
        <v>3600</v>
      </c>
      <c r="K38" s="781"/>
      <c r="L38" s="781">
        <f t="shared" si="20"/>
        <v>582.33900000000006</v>
      </c>
      <c r="M38" s="781"/>
      <c r="N38" s="781"/>
      <c r="O38" s="781">
        <v>582.33900000000006</v>
      </c>
      <c r="P38" s="781"/>
      <c r="Q38" s="781">
        <f t="shared" si="23"/>
        <v>1500</v>
      </c>
      <c r="R38" s="781"/>
      <c r="S38" s="781"/>
      <c r="T38" s="781">
        <v>1500</v>
      </c>
      <c r="U38" s="781"/>
      <c r="V38" s="781">
        <f t="shared" si="21"/>
        <v>1500</v>
      </c>
      <c r="W38" s="781"/>
      <c r="X38" s="781"/>
      <c r="Y38" s="781">
        <v>1500</v>
      </c>
      <c r="Z38" s="781"/>
      <c r="AA38" s="781">
        <f t="shared" si="22"/>
        <v>582.33900000000006</v>
      </c>
      <c r="AB38" s="781"/>
      <c r="AC38" s="781"/>
      <c r="AD38" s="781">
        <v>582.33900000000006</v>
      </c>
      <c r="AE38" s="782"/>
      <c r="AF38" s="783">
        <f t="shared" si="6"/>
        <v>0.38822600000000002</v>
      </c>
      <c r="AG38" s="784"/>
      <c r="AH38" s="783"/>
      <c r="AI38" s="785">
        <f t="shared" si="7"/>
        <v>0.38822600000000002</v>
      </c>
      <c r="AJ38" s="771"/>
      <c r="AK38" s="757"/>
      <c r="AL38" s="749"/>
      <c r="AM38" s="749"/>
      <c r="AN38" s="749"/>
      <c r="AO38" s="749"/>
      <c r="AP38" s="749"/>
      <c r="AQ38" s="749"/>
      <c r="AR38" s="749"/>
      <c r="AS38" s="749"/>
      <c r="AT38" s="749"/>
      <c r="AU38" s="749"/>
      <c r="AV38" s="749"/>
      <c r="AW38" s="749"/>
      <c r="AX38" s="749"/>
      <c r="AY38" s="749"/>
      <c r="AZ38" s="749"/>
      <c r="BA38" s="749"/>
      <c r="BB38" s="749"/>
      <c r="BC38" s="749"/>
      <c r="BD38" s="749"/>
      <c r="BE38" s="749"/>
      <c r="BF38" s="749"/>
      <c r="BG38" s="749"/>
      <c r="BH38" s="749"/>
      <c r="BI38" s="749"/>
    </row>
    <row r="39" spans="1:61" s="772" customFormat="1" ht="34.5" customHeight="1">
      <c r="A39" s="776"/>
      <c r="B39" s="777" t="s">
        <v>764</v>
      </c>
      <c r="C39" s="778" t="s">
        <v>415</v>
      </c>
      <c r="D39" s="778"/>
      <c r="E39" s="779"/>
      <c r="F39" s="780"/>
      <c r="G39" s="781"/>
      <c r="H39" s="781"/>
      <c r="I39" s="781"/>
      <c r="J39" s="781"/>
      <c r="K39" s="781"/>
      <c r="L39" s="781"/>
      <c r="M39" s="781"/>
      <c r="N39" s="781"/>
      <c r="O39" s="781"/>
      <c r="P39" s="781"/>
      <c r="Q39" s="781"/>
      <c r="R39" s="781"/>
      <c r="S39" s="781"/>
      <c r="T39" s="781">
        <v>29.128</v>
      </c>
      <c r="U39" s="781"/>
      <c r="V39" s="781">
        <f t="shared" si="21"/>
        <v>29.128</v>
      </c>
      <c r="W39" s="781"/>
      <c r="X39" s="781"/>
      <c r="Y39" s="781">
        <v>29.128</v>
      </c>
      <c r="Z39" s="781"/>
      <c r="AA39" s="781">
        <f t="shared" si="22"/>
        <v>29.128</v>
      </c>
      <c r="AB39" s="781"/>
      <c r="AC39" s="781"/>
      <c r="AD39" s="781">
        <v>29.128</v>
      </c>
      <c r="AE39" s="782"/>
      <c r="AF39" s="783">
        <f t="shared" si="6"/>
        <v>1</v>
      </c>
      <c r="AG39" s="784"/>
      <c r="AH39" s="783"/>
      <c r="AI39" s="785">
        <f t="shared" si="7"/>
        <v>1</v>
      </c>
      <c r="AJ39" s="771"/>
      <c r="AK39" s="757"/>
      <c r="AL39" s="749"/>
      <c r="AM39" s="749"/>
      <c r="AN39" s="749"/>
      <c r="AO39" s="749"/>
      <c r="AP39" s="749"/>
      <c r="AQ39" s="749"/>
      <c r="AR39" s="749"/>
      <c r="AS39" s="749"/>
      <c r="AT39" s="749"/>
      <c r="AU39" s="749"/>
      <c r="AV39" s="749"/>
      <c r="AW39" s="749"/>
      <c r="AX39" s="749"/>
      <c r="AY39" s="749"/>
      <c r="AZ39" s="749"/>
      <c r="BA39" s="749"/>
      <c r="BB39" s="749"/>
      <c r="BC39" s="749"/>
      <c r="BD39" s="749"/>
      <c r="BE39" s="749"/>
      <c r="BF39" s="749"/>
      <c r="BG39" s="749"/>
      <c r="BH39" s="749"/>
      <c r="BI39" s="749"/>
    </row>
    <row r="40" spans="1:61" s="772" customFormat="1" ht="34.5" customHeight="1">
      <c r="A40" s="776"/>
      <c r="B40" s="777" t="s">
        <v>697</v>
      </c>
      <c r="C40" s="778" t="s">
        <v>711</v>
      </c>
      <c r="D40" s="778"/>
      <c r="E40" s="779"/>
      <c r="F40" s="780"/>
      <c r="G40" s="781">
        <f>SUM(H40:K40)</f>
        <v>7500</v>
      </c>
      <c r="H40" s="781"/>
      <c r="I40" s="781"/>
      <c r="J40" s="781">
        <v>7500</v>
      </c>
      <c r="K40" s="781"/>
      <c r="L40" s="781">
        <f>SUM(M40:P40)</f>
        <v>7183.2969999999996</v>
      </c>
      <c r="M40" s="781"/>
      <c r="N40" s="781"/>
      <c r="O40" s="781">
        <v>7183.2969999999996</v>
      </c>
      <c r="P40" s="781"/>
      <c r="Q40" s="781">
        <f t="shared" si="23"/>
        <v>7183.2969999999996</v>
      </c>
      <c r="R40" s="781"/>
      <c r="S40" s="781"/>
      <c r="T40" s="781">
        <v>7183.2969999999996</v>
      </c>
      <c r="U40" s="781"/>
      <c r="V40" s="781">
        <f t="shared" si="21"/>
        <v>1601</v>
      </c>
      <c r="W40" s="781"/>
      <c r="X40" s="781"/>
      <c r="Y40" s="781">
        <v>1601</v>
      </c>
      <c r="Z40" s="781"/>
      <c r="AA40" s="781">
        <f t="shared" si="22"/>
        <v>1601</v>
      </c>
      <c r="AB40" s="781"/>
      <c r="AC40" s="781"/>
      <c r="AD40" s="781">
        <v>1601</v>
      </c>
      <c r="AE40" s="782"/>
      <c r="AF40" s="783">
        <f t="shared" si="6"/>
        <v>1</v>
      </c>
      <c r="AG40" s="784"/>
      <c r="AH40" s="783"/>
      <c r="AI40" s="785">
        <f t="shared" si="7"/>
        <v>1</v>
      </c>
      <c r="AJ40" s="771"/>
      <c r="AK40" s="757"/>
      <c r="AL40" s="749"/>
      <c r="AM40" s="749"/>
      <c r="AN40" s="749"/>
      <c r="AO40" s="749"/>
      <c r="AP40" s="749"/>
      <c r="AQ40" s="749"/>
      <c r="AR40" s="749"/>
      <c r="AS40" s="749"/>
      <c r="AT40" s="749"/>
      <c r="AU40" s="749"/>
      <c r="AV40" s="749"/>
      <c r="AW40" s="749"/>
      <c r="AX40" s="749"/>
      <c r="AY40" s="749"/>
      <c r="AZ40" s="749"/>
      <c r="BA40" s="749"/>
      <c r="BB40" s="749"/>
      <c r="BC40" s="749"/>
      <c r="BD40" s="749"/>
      <c r="BE40" s="749"/>
      <c r="BF40" s="749"/>
      <c r="BG40" s="749"/>
      <c r="BH40" s="749"/>
      <c r="BI40" s="749"/>
    </row>
    <row r="41" spans="1:61" s="772" customFormat="1" ht="29.25" customHeight="1">
      <c r="A41" s="764" t="s">
        <v>364</v>
      </c>
      <c r="B41" s="765" t="s">
        <v>456</v>
      </c>
      <c r="C41" s="766"/>
      <c r="D41" s="766"/>
      <c r="E41" s="767"/>
      <c r="F41" s="767"/>
      <c r="G41" s="768">
        <f>SUM(G42:G44)</f>
        <v>7650</v>
      </c>
      <c r="H41" s="768">
        <f t="shared" ref="H41:AE41" si="24">SUM(H42:H44)</f>
        <v>0</v>
      </c>
      <c r="I41" s="768">
        <f t="shared" si="24"/>
        <v>0</v>
      </c>
      <c r="J41" s="768">
        <f t="shared" si="24"/>
        <v>7650</v>
      </c>
      <c r="K41" s="768">
        <f t="shared" si="24"/>
        <v>0</v>
      </c>
      <c r="L41" s="768">
        <f t="shared" si="24"/>
        <v>6960.9620000000004</v>
      </c>
      <c r="M41" s="768">
        <f t="shared" si="24"/>
        <v>0</v>
      </c>
      <c r="N41" s="768">
        <f t="shared" si="24"/>
        <v>0</v>
      </c>
      <c r="O41" s="768">
        <f t="shared" si="24"/>
        <v>6960.9620000000004</v>
      </c>
      <c r="P41" s="768">
        <f t="shared" si="24"/>
        <v>0</v>
      </c>
      <c r="Q41" s="768">
        <f t="shared" si="24"/>
        <v>6960.9620000000004</v>
      </c>
      <c r="R41" s="768">
        <f t="shared" si="24"/>
        <v>0</v>
      </c>
      <c r="S41" s="768">
        <f t="shared" si="24"/>
        <v>0</v>
      </c>
      <c r="T41" s="768">
        <f t="shared" si="24"/>
        <v>6960.9620000000004</v>
      </c>
      <c r="U41" s="768">
        <f t="shared" si="24"/>
        <v>0</v>
      </c>
      <c r="V41" s="768">
        <f t="shared" si="24"/>
        <v>2163.9900000000002</v>
      </c>
      <c r="W41" s="768">
        <f t="shared" si="24"/>
        <v>0</v>
      </c>
      <c r="X41" s="768">
        <f t="shared" si="24"/>
        <v>0</v>
      </c>
      <c r="Y41" s="768">
        <f t="shared" si="24"/>
        <v>2163.9900000000002</v>
      </c>
      <c r="Z41" s="768">
        <f t="shared" si="24"/>
        <v>0</v>
      </c>
      <c r="AA41" s="768">
        <f t="shared" si="24"/>
        <v>2163.9900000000002</v>
      </c>
      <c r="AB41" s="768">
        <f t="shared" si="24"/>
        <v>0</v>
      </c>
      <c r="AC41" s="768">
        <f t="shared" si="24"/>
        <v>0</v>
      </c>
      <c r="AD41" s="768">
        <f t="shared" si="24"/>
        <v>2163.9900000000002</v>
      </c>
      <c r="AE41" s="768">
        <f t="shared" si="24"/>
        <v>0</v>
      </c>
      <c r="AF41" s="769">
        <f t="shared" si="6"/>
        <v>1</v>
      </c>
      <c r="AG41" s="771"/>
      <c r="AH41" s="769"/>
      <c r="AI41" s="770">
        <f t="shared" si="7"/>
        <v>1</v>
      </c>
      <c r="AJ41" s="771"/>
      <c r="AK41" s="757"/>
      <c r="AL41" s="749"/>
      <c r="AM41" s="749"/>
      <c r="AN41" s="749"/>
      <c r="AO41" s="749"/>
      <c r="AP41" s="749"/>
      <c r="AQ41" s="749"/>
      <c r="AR41" s="749"/>
      <c r="AS41" s="749"/>
      <c r="AT41" s="749"/>
      <c r="AU41" s="749"/>
      <c r="AV41" s="749"/>
      <c r="AW41" s="749"/>
      <c r="AX41" s="749"/>
      <c r="AY41" s="749"/>
      <c r="AZ41" s="749"/>
      <c r="BA41" s="749"/>
      <c r="BB41" s="749"/>
      <c r="BC41" s="749"/>
      <c r="BD41" s="749"/>
      <c r="BE41" s="749"/>
      <c r="BF41" s="749"/>
      <c r="BG41" s="749"/>
      <c r="BH41" s="749"/>
      <c r="BI41" s="749"/>
    </row>
    <row r="42" spans="1:61" s="798" customFormat="1" ht="51" customHeight="1">
      <c r="A42" s="797" t="s">
        <v>442</v>
      </c>
      <c r="B42" s="777" t="s">
        <v>765</v>
      </c>
      <c r="C42" s="778" t="s">
        <v>415</v>
      </c>
      <c r="D42" s="778"/>
      <c r="E42" s="788"/>
      <c r="F42" s="788"/>
      <c r="G42" s="781">
        <f>SUM(H42:K42)</f>
        <v>4800</v>
      </c>
      <c r="H42" s="781"/>
      <c r="I42" s="781"/>
      <c r="J42" s="781">
        <v>4800</v>
      </c>
      <c r="K42" s="781"/>
      <c r="L42" s="781">
        <f t="shared" ref="L42" si="25">O42</f>
        <v>4479.0330000000004</v>
      </c>
      <c r="M42" s="781"/>
      <c r="N42" s="781"/>
      <c r="O42" s="781">
        <v>4479.0330000000004</v>
      </c>
      <c r="P42" s="781"/>
      <c r="Q42" s="781">
        <f t="shared" ref="Q42" si="26">T42</f>
        <v>4479.0330000000004</v>
      </c>
      <c r="R42" s="781"/>
      <c r="S42" s="781"/>
      <c r="T42" s="781">
        <v>4479.0330000000004</v>
      </c>
      <c r="U42" s="781"/>
      <c r="V42" s="781">
        <f t="shared" si="21"/>
        <v>1750</v>
      </c>
      <c r="W42" s="781"/>
      <c r="X42" s="781"/>
      <c r="Y42" s="781">
        <v>1750</v>
      </c>
      <c r="Z42" s="781"/>
      <c r="AA42" s="781">
        <f t="shared" si="22"/>
        <v>1750</v>
      </c>
      <c r="AB42" s="781"/>
      <c r="AC42" s="781"/>
      <c r="AD42" s="781">
        <v>1750</v>
      </c>
      <c r="AE42" s="781"/>
      <c r="AF42" s="783">
        <v>0.99999999999999978</v>
      </c>
      <c r="AG42" s="784"/>
      <c r="AH42" s="783"/>
      <c r="AI42" s="785">
        <v>0.99999999999999978</v>
      </c>
      <c r="AJ42" s="784"/>
      <c r="AK42" s="757"/>
      <c r="AL42" s="749"/>
      <c r="AM42" s="749"/>
      <c r="AN42" s="749"/>
      <c r="AO42" s="749"/>
      <c r="AP42" s="749"/>
      <c r="AQ42" s="749"/>
      <c r="AR42" s="749"/>
      <c r="AS42" s="749"/>
      <c r="AT42" s="749"/>
      <c r="AU42" s="749"/>
      <c r="AV42" s="749"/>
      <c r="AW42" s="749"/>
      <c r="AX42" s="749"/>
      <c r="AY42" s="749"/>
      <c r="AZ42" s="749"/>
      <c r="BA42" s="749"/>
      <c r="BB42" s="749"/>
      <c r="BC42" s="749"/>
      <c r="BD42" s="749"/>
      <c r="BE42" s="749"/>
      <c r="BF42" s="749"/>
      <c r="BG42" s="749"/>
      <c r="BH42" s="749"/>
      <c r="BI42" s="749"/>
    </row>
    <row r="43" spans="1:61" s="772" customFormat="1" ht="39" customHeight="1">
      <c r="A43" s="776" t="s">
        <v>442</v>
      </c>
      <c r="B43" s="777" t="s">
        <v>689</v>
      </c>
      <c r="C43" s="778" t="s">
        <v>415</v>
      </c>
      <c r="D43" s="778"/>
      <c r="E43" s="779" t="s">
        <v>690</v>
      </c>
      <c r="F43" s="780" t="s">
        <v>691</v>
      </c>
      <c r="G43" s="781">
        <v>1800</v>
      </c>
      <c r="H43" s="781"/>
      <c r="I43" s="781"/>
      <c r="J43" s="781">
        <f>G43</f>
        <v>1800</v>
      </c>
      <c r="K43" s="781"/>
      <c r="L43" s="781">
        <f>SUM(M43:P43)</f>
        <v>1708.204</v>
      </c>
      <c r="M43" s="781"/>
      <c r="N43" s="781"/>
      <c r="O43" s="781">
        <v>1708.204</v>
      </c>
      <c r="P43" s="781"/>
      <c r="Q43" s="781">
        <f>SUM(R43:U43)</f>
        <v>1708.204</v>
      </c>
      <c r="R43" s="781"/>
      <c r="S43" s="781"/>
      <c r="T43" s="781">
        <v>1708.204</v>
      </c>
      <c r="U43" s="781"/>
      <c r="V43" s="781">
        <f>W43+X43+Y43+Z43</f>
        <v>315.48700000000002</v>
      </c>
      <c r="W43" s="781"/>
      <c r="X43" s="781"/>
      <c r="Y43" s="781">
        <v>315.48700000000002</v>
      </c>
      <c r="Z43" s="781"/>
      <c r="AA43" s="781">
        <f>AB43+AC43+AD43+AE43</f>
        <v>315.48700000000002</v>
      </c>
      <c r="AB43" s="781"/>
      <c r="AC43" s="781"/>
      <c r="AD43" s="781">
        <v>315.48700000000002</v>
      </c>
      <c r="AE43" s="782"/>
      <c r="AF43" s="783">
        <f t="shared" si="6"/>
        <v>1</v>
      </c>
      <c r="AG43" s="784"/>
      <c r="AH43" s="783"/>
      <c r="AI43" s="785">
        <f t="shared" si="7"/>
        <v>1</v>
      </c>
      <c r="AJ43" s="771"/>
      <c r="AK43" s="757"/>
      <c r="AL43" s="749"/>
      <c r="AM43" s="749"/>
      <c r="AN43" s="749"/>
      <c r="AO43" s="749"/>
      <c r="AP43" s="749"/>
      <c r="AQ43" s="749"/>
      <c r="AR43" s="749"/>
      <c r="AS43" s="749"/>
      <c r="AT43" s="749"/>
      <c r="AU43" s="749"/>
      <c r="AV43" s="749"/>
      <c r="AW43" s="749"/>
      <c r="AX43" s="749"/>
      <c r="AY43" s="749"/>
      <c r="AZ43" s="749"/>
      <c r="BA43" s="749"/>
      <c r="BB43" s="749"/>
      <c r="BC43" s="749"/>
      <c r="BD43" s="749"/>
      <c r="BE43" s="749"/>
      <c r="BF43" s="749"/>
      <c r="BG43" s="749"/>
      <c r="BH43" s="749"/>
      <c r="BI43" s="749"/>
    </row>
    <row r="44" spans="1:61" s="772" customFormat="1" ht="39" customHeight="1">
      <c r="A44" s="776"/>
      <c r="B44" s="777" t="s">
        <v>692</v>
      </c>
      <c r="C44" s="778" t="s">
        <v>468</v>
      </c>
      <c r="D44" s="778"/>
      <c r="E44" s="788" t="s">
        <v>693</v>
      </c>
      <c r="F44" s="779" t="s">
        <v>694</v>
      </c>
      <c r="G44" s="781">
        <f>SUM(H44:K44)</f>
        <v>1050</v>
      </c>
      <c r="H44" s="781"/>
      <c r="I44" s="781"/>
      <c r="J44" s="781">
        <v>1050</v>
      </c>
      <c r="K44" s="781"/>
      <c r="L44" s="781">
        <f>SUM(M44:P44)</f>
        <v>773.72500000000002</v>
      </c>
      <c r="M44" s="781"/>
      <c r="N44" s="781"/>
      <c r="O44" s="781">
        <v>773.72500000000002</v>
      </c>
      <c r="P44" s="781"/>
      <c r="Q44" s="781">
        <f t="shared" ref="Q44" si="27">T44</f>
        <v>773.72500000000002</v>
      </c>
      <c r="R44" s="781"/>
      <c r="S44" s="781"/>
      <c r="T44" s="781">
        <v>773.72500000000002</v>
      </c>
      <c r="U44" s="781"/>
      <c r="V44" s="781">
        <f t="shared" ref="V44" si="28">W44+X44+Y44+Z44</f>
        <v>98.503</v>
      </c>
      <c r="W44" s="781"/>
      <c r="X44" s="781"/>
      <c r="Y44" s="781">
        <v>98.503</v>
      </c>
      <c r="Z44" s="781"/>
      <c r="AA44" s="781">
        <f t="shared" ref="AA44" si="29">AB44+AC44+AD44+AE44</f>
        <v>98.503</v>
      </c>
      <c r="AB44" s="781"/>
      <c r="AC44" s="781"/>
      <c r="AD44" s="781">
        <v>98.503</v>
      </c>
      <c r="AE44" s="782"/>
      <c r="AF44" s="783">
        <f t="shared" si="6"/>
        <v>1</v>
      </c>
      <c r="AG44" s="784"/>
      <c r="AH44" s="783"/>
      <c r="AI44" s="785">
        <f>AD44/Y44</f>
        <v>1</v>
      </c>
      <c r="AJ44" s="771"/>
      <c r="AK44" s="757"/>
      <c r="AL44" s="749"/>
      <c r="AM44" s="749"/>
      <c r="AN44" s="749"/>
      <c r="AO44" s="749"/>
      <c r="AP44" s="749"/>
      <c r="AQ44" s="749"/>
      <c r="AR44" s="749"/>
      <c r="AS44" s="749"/>
      <c r="AT44" s="749"/>
      <c r="AU44" s="749"/>
      <c r="AV44" s="749"/>
      <c r="AW44" s="749"/>
      <c r="AX44" s="749"/>
      <c r="AY44" s="749"/>
      <c r="AZ44" s="749"/>
      <c r="BA44" s="749"/>
      <c r="BB44" s="749"/>
      <c r="BC44" s="749"/>
      <c r="BD44" s="749"/>
      <c r="BE44" s="749"/>
      <c r="BF44" s="749"/>
      <c r="BG44" s="749"/>
      <c r="BH44" s="749"/>
      <c r="BI44" s="749"/>
    </row>
    <row r="45" spans="1:61" s="772" customFormat="1" ht="36" customHeight="1">
      <c r="A45" s="789" t="s">
        <v>364</v>
      </c>
      <c r="B45" s="799" t="s">
        <v>695</v>
      </c>
      <c r="C45" s="766"/>
      <c r="D45" s="766"/>
      <c r="E45" s="767"/>
      <c r="F45" s="791"/>
      <c r="G45" s="768"/>
      <c r="H45" s="768"/>
      <c r="I45" s="768"/>
      <c r="J45" s="768"/>
      <c r="K45" s="768"/>
      <c r="L45" s="768"/>
      <c r="M45" s="768"/>
      <c r="N45" s="768"/>
      <c r="O45" s="768"/>
      <c r="P45" s="768"/>
      <c r="Q45" s="768"/>
      <c r="R45" s="768"/>
      <c r="S45" s="768"/>
      <c r="T45" s="768"/>
      <c r="U45" s="768"/>
      <c r="V45" s="768">
        <f>W45+X45+Y45+Z45</f>
        <v>0</v>
      </c>
      <c r="W45" s="768"/>
      <c r="X45" s="768"/>
      <c r="Y45" s="768"/>
      <c r="Z45" s="768"/>
      <c r="AA45" s="768">
        <f>AB45+AC45+AD45+AE45</f>
        <v>0</v>
      </c>
      <c r="AB45" s="768"/>
      <c r="AC45" s="768"/>
      <c r="AD45" s="768">
        <v>0</v>
      </c>
      <c r="AE45" s="775"/>
      <c r="AF45" s="769"/>
      <c r="AG45" s="771"/>
      <c r="AH45" s="769"/>
      <c r="AI45" s="770"/>
      <c r="AJ45" s="771"/>
      <c r="AK45" s="793"/>
      <c r="AL45" s="794"/>
      <c r="AM45" s="794"/>
      <c r="AN45" s="794"/>
      <c r="AO45" s="794"/>
      <c r="AP45" s="794"/>
      <c r="AQ45" s="794"/>
      <c r="AR45" s="794"/>
      <c r="AS45" s="794"/>
      <c r="AT45" s="794"/>
      <c r="AU45" s="794"/>
      <c r="AV45" s="794"/>
      <c r="AW45" s="794"/>
      <c r="AX45" s="794"/>
      <c r="AY45" s="794"/>
      <c r="AZ45" s="794"/>
      <c r="BA45" s="794"/>
      <c r="BB45" s="794"/>
      <c r="BC45" s="794"/>
      <c r="BD45" s="794"/>
      <c r="BE45" s="794"/>
      <c r="BF45" s="794"/>
      <c r="BG45" s="794"/>
      <c r="BH45" s="794"/>
      <c r="BI45" s="794"/>
    </row>
    <row r="46" spans="1:61" s="772" customFormat="1" ht="30.2" customHeight="1">
      <c r="A46" s="773" t="s">
        <v>263</v>
      </c>
      <c r="B46" s="774" t="s">
        <v>463</v>
      </c>
      <c r="C46" s="766"/>
      <c r="D46" s="766"/>
      <c r="E46" s="767"/>
      <c r="F46" s="767"/>
      <c r="G46" s="768">
        <f>G47+G52</f>
        <v>9590</v>
      </c>
      <c r="H46" s="768">
        <f t="shared" ref="H46:AE46" si="30">H47+H52</f>
        <v>0</v>
      </c>
      <c r="I46" s="768">
        <f t="shared" si="30"/>
        <v>0</v>
      </c>
      <c r="J46" s="768">
        <f t="shared" si="30"/>
        <v>9590</v>
      </c>
      <c r="K46" s="768">
        <f t="shared" si="30"/>
        <v>0</v>
      </c>
      <c r="L46" s="768">
        <f t="shared" si="30"/>
        <v>8811.1424049999987</v>
      </c>
      <c r="M46" s="768">
        <f t="shared" si="30"/>
        <v>0</v>
      </c>
      <c r="N46" s="768">
        <f t="shared" si="30"/>
        <v>0</v>
      </c>
      <c r="O46" s="768">
        <f t="shared" si="30"/>
        <v>8811.1424049999987</v>
      </c>
      <c r="P46" s="768">
        <f t="shared" si="30"/>
        <v>0</v>
      </c>
      <c r="Q46" s="768">
        <f t="shared" si="30"/>
        <v>9323.9361869999993</v>
      </c>
      <c r="R46" s="768">
        <f t="shared" si="30"/>
        <v>0</v>
      </c>
      <c r="S46" s="768">
        <f t="shared" si="30"/>
        <v>0</v>
      </c>
      <c r="T46" s="768">
        <f t="shared" si="30"/>
        <v>9323.9361869999993</v>
      </c>
      <c r="U46" s="768">
        <f t="shared" si="30"/>
        <v>0</v>
      </c>
      <c r="V46" s="768">
        <f t="shared" si="30"/>
        <v>1233.7952670000002</v>
      </c>
      <c r="W46" s="768">
        <f t="shared" si="30"/>
        <v>0</v>
      </c>
      <c r="X46" s="768">
        <f t="shared" si="30"/>
        <v>0</v>
      </c>
      <c r="Y46" s="768">
        <f t="shared" si="30"/>
        <v>1233.7952670000002</v>
      </c>
      <c r="Z46" s="768">
        <f t="shared" si="30"/>
        <v>0</v>
      </c>
      <c r="AA46" s="768">
        <f t="shared" si="30"/>
        <v>721.001485</v>
      </c>
      <c r="AB46" s="768">
        <f t="shared" si="30"/>
        <v>0</v>
      </c>
      <c r="AC46" s="768">
        <f t="shared" si="30"/>
        <v>0</v>
      </c>
      <c r="AD46" s="768">
        <f t="shared" si="30"/>
        <v>721.001485</v>
      </c>
      <c r="AE46" s="768">
        <f t="shared" si="30"/>
        <v>0</v>
      </c>
      <c r="AF46" s="769">
        <f t="shared" si="6"/>
        <v>0.58437692564109978</v>
      </c>
      <c r="AG46" s="771"/>
      <c r="AH46" s="769"/>
      <c r="AI46" s="770">
        <f>AD46/Y46</f>
        <v>0.58437692564109978</v>
      </c>
      <c r="AJ46" s="771"/>
      <c r="AK46" s="757"/>
      <c r="AL46" s="749"/>
      <c r="AM46" s="749"/>
      <c r="AN46" s="749"/>
      <c r="AO46" s="749"/>
      <c r="AP46" s="749"/>
      <c r="AQ46" s="749"/>
      <c r="AR46" s="749"/>
      <c r="AS46" s="749"/>
      <c r="AT46" s="749"/>
      <c r="AU46" s="749"/>
      <c r="AV46" s="749"/>
      <c r="AW46" s="749"/>
      <c r="AX46" s="749"/>
      <c r="AY46" s="749"/>
      <c r="AZ46" s="749"/>
      <c r="BA46" s="749"/>
      <c r="BB46" s="749"/>
      <c r="BC46" s="749"/>
      <c r="BD46" s="749"/>
      <c r="BE46" s="749"/>
      <c r="BF46" s="749"/>
      <c r="BG46" s="749"/>
      <c r="BH46" s="749"/>
      <c r="BI46" s="749"/>
    </row>
    <row r="47" spans="1:61" s="772" customFormat="1" ht="30.2" customHeight="1">
      <c r="A47" s="800" t="s">
        <v>364</v>
      </c>
      <c r="B47" s="801" t="s">
        <v>450</v>
      </c>
      <c r="C47" s="766"/>
      <c r="D47" s="766"/>
      <c r="E47" s="767"/>
      <c r="F47" s="767"/>
      <c r="G47" s="768">
        <f>G48</f>
        <v>8190</v>
      </c>
      <c r="H47" s="768">
        <f t="shared" ref="H47:AE47" si="31">H48</f>
        <v>0</v>
      </c>
      <c r="I47" s="768">
        <f t="shared" si="31"/>
        <v>0</v>
      </c>
      <c r="J47" s="768">
        <f t="shared" si="31"/>
        <v>8190</v>
      </c>
      <c r="K47" s="768">
        <f t="shared" si="31"/>
        <v>0</v>
      </c>
      <c r="L47" s="768">
        <f t="shared" si="31"/>
        <v>7641.1424049999996</v>
      </c>
      <c r="M47" s="768">
        <f t="shared" si="31"/>
        <v>0</v>
      </c>
      <c r="N47" s="768">
        <f t="shared" si="31"/>
        <v>0</v>
      </c>
      <c r="O47" s="768">
        <f t="shared" si="31"/>
        <v>7641.1424049999996</v>
      </c>
      <c r="P47" s="768">
        <f t="shared" si="31"/>
        <v>0</v>
      </c>
      <c r="Q47" s="768">
        <f t="shared" si="31"/>
        <v>8072.3479200000002</v>
      </c>
      <c r="R47" s="768">
        <f t="shared" si="31"/>
        <v>0</v>
      </c>
      <c r="S47" s="768">
        <f t="shared" si="31"/>
        <v>0</v>
      </c>
      <c r="T47" s="768">
        <f t="shared" si="31"/>
        <v>8072.3479200000002</v>
      </c>
      <c r="U47" s="768">
        <f t="shared" si="31"/>
        <v>0</v>
      </c>
      <c r="V47" s="768">
        <f t="shared" si="31"/>
        <v>1152.2070000000001</v>
      </c>
      <c r="W47" s="768">
        <f t="shared" si="31"/>
        <v>0</v>
      </c>
      <c r="X47" s="768">
        <f t="shared" si="31"/>
        <v>0</v>
      </c>
      <c r="Y47" s="768">
        <f t="shared" si="31"/>
        <v>1152.2070000000001</v>
      </c>
      <c r="Z47" s="768">
        <f t="shared" si="31"/>
        <v>0</v>
      </c>
      <c r="AA47" s="768">
        <f t="shared" si="31"/>
        <v>721.001485</v>
      </c>
      <c r="AB47" s="768">
        <f t="shared" si="31"/>
        <v>0</v>
      </c>
      <c r="AC47" s="768">
        <f t="shared" si="31"/>
        <v>0</v>
      </c>
      <c r="AD47" s="768">
        <f t="shared" si="31"/>
        <v>721.001485</v>
      </c>
      <c r="AE47" s="768">
        <f t="shared" si="31"/>
        <v>0</v>
      </c>
      <c r="AF47" s="769">
        <f t="shared" si="6"/>
        <v>0.62575690392438155</v>
      </c>
      <c r="AG47" s="771"/>
      <c r="AH47" s="769"/>
      <c r="AI47" s="770">
        <f t="shared" si="7"/>
        <v>0.62575690392438155</v>
      </c>
      <c r="AJ47" s="771"/>
      <c r="AK47" s="757"/>
      <c r="AL47" s="749"/>
      <c r="AM47" s="749"/>
      <c r="AN47" s="749"/>
      <c r="AO47" s="749"/>
      <c r="AP47" s="749"/>
      <c r="AQ47" s="749"/>
      <c r="AR47" s="749"/>
      <c r="AS47" s="749"/>
      <c r="AT47" s="749"/>
      <c r="AU47" s="749"/>
      <c r="AV47" s="749"/>
      <c r="AW47" s="749"/>
      <c r="AX47" s="749"/>
      <c r="AY47" s="749"/>
      <c r="AZ47" s="749"/>
      <c r="BA47" s="749"/>
      <c r="BB47" s="749"/>
      <c r="BC47" s="749"/>
      <c r="BD47" s="749"/>
      <c r="BE47" s="749"/>
      <c r="BF47" s="749"/>
      <c r="BG47" s="749"/>
      <c r="BH47" s="749"/>
      <c r="BI47" s="749"/>
    </row>
    <row r="48" spans="1:61" s="772" customFormat="1" ht="30.2" customHeight="1">
      <c r="A48" s="773"/>
      <c r="B48" s="802" t="s">
        <v>383</v>
      </c>
      <c r="C48" s="766"/>
      <c r="D48" s="766"/>
      <c r="E48" s="767"/>
      <c r="F48" s="767"/>
      <c r="G48" s="768">
        <f>SUM(G49:G51)</f>
        <v>8190</v>
      </c>
      <c r="H48" s="768">
        <f t="shared" ref="H48:AE48" si="32">SUM(H49:H51)</f>
        <v>0</v>
      </c>
      <c r="I48" s="768">
        <f t="shared" si="32"/>
        <v>0</v>
      </c>
      <c r="J48" s="768">
        <f t="shared" si="32"/>
        <v>8190</v>
      </c>
      <c r="K48" s="768">
        <f t="shared" si="32"/>
        <v>0</v>
      </c>
      <c r="L48" s="768">
        <f t="shared" si="32"/>
        <v>7641.1424049999996</v>
      </c>
      <c r="M48" s="768">
        <f t="shared" si="32"/>
        <v>0</v>
      </c>
      <c r="N48" s="768">
        <f t="shared" si="32"/>
        <v>0</v>
      </c>
      <c r="O48" s="768">
        <f t="shared" si="32"/>
        <v>7641.1424049999996</v>
      </c>
      <c r="P48" s="768">
        <f t="shared" si="32"/>
        <v>0</v>
      </c>
      <c r="Q48" s="768">
        <f t="shared" si="32"/>
        <v>8072.3479200000002</v>
      </c>
      <c r="R48" s="768">
        <f t="shared" si="32"/>
        <v>0</v>
      </c>
      <c r="S48" s="768">
        <f t="shared" si="32"/>
        <v>0</v>
      </c>
      <c r="T48" s="768">
        <f t="shared" si="32"/>
        <v>8072.3479200000002</v>
      </c>
      <c r="U48" s="768">
        <f t="shared" si="32"/>
        <v>0</v>
      </c>
      <c r="V48" s="768">
        <f t="shared" si="32"/>
        <v>1152.2070000000001</v>
      </c>
      <c r="W48" s="768">
        <f t="shared" si="32"/>
        <v>0</v>
      </c>
      <c r="X48" s="768">
        <f t="shared" si="32"/>
        <v>0</v>
      </c>
      <c r="Y48" s="768">
        <f t="shared" si="32"/>
        <v>1152.2070000000001</v>
      </c>
      <c r="Z48" s="768">
        <f t="shared" si="32"/>
        <v>0</v>
      </c>
      <c r="AA48" s="768">
        <f t="shared" si="32"/>
        <v>721.001485</v>
      </c>
      <c r="AB48" s="768">
        <f t="shared" si="32"/>
        <v>0</v>
      </c>
      <c r="AC48" s="768">
        <f t="shared" si="32"/>
        <v>0</v>
      </c>
      <c r="AD48" s="768">
        <f t="shared" si="32"/>
        <v>721.001485</v>
      </c>
      <c r="AE48" s="768">
        <f t="shared" si="32"/>
        <v>0</v>
      </c>
      <c r="AF48" s="769">
        <f t="shared" si="6"/>
        <v>0.62575690392438155</v>
      </c>
      <c r="AG48" s="771"/>
      <c r="AH48" s="769"/>
      <c r="AI48" s="770">
        <f t="shared" si="7"/>
        <v>0.62575690392438155</v>
      </c>
      <c r="AJ48" s="771"/>
      <c r="AK48" s="757"/>
      <c r="AL48" s="803"/>
      <c r="AM48" s="749"/>
      <c r="AN48" s="749"/>
      <c r="AO48" s="749"/>
      <c r="AP48" s="749"/>
      <c r="AQ48" s="749"/>
      <c r="AR48" s="749"/>
      <c r="AS48" s="749"/>
      <c r="AT48" s="749"/>
      <c r="AU48" s="749"/>
      <c r="AV48" s="749"/>
      <c r="AW48" s="749"/>
      <c r="AX48" s="749"/>
      <c r="AY48" s="749"/>
      <c r="AZ48" s="749"/>
      <c r="BA48" s="749"/>
      <c r="BB48" s="749"/>
      <c r="BC48" s="749"/>
      <c r="BD48" s="749"/>
      <c r="BE48" s="749"/>
      <c r="BF48" s="749"/>
      <c r="BG48" s="749"/>
      <c r="BH48" s="749"/>
      <c r="BI48" s="749"/>
    </row>
    <row r="49" spans="1:61" s="772" customFormat="1" ht="34.5" customHeight="1">
      <c r="A49" s="776" t="s">
        <v>442</v>
      </c>
      <c r="B49" s="804" t="s">
        <v>464</v>
      </c>
      <c r="C49" s="778" t="s">
        <v>766</v>
      </c>
      <c r="D49" s="778"/>
      <c r="E49" s="779" t="s">
        <v>416</v>
      </c>
      <c r="F49" s="779" t="s">
        <v>465</v>
      </c>
      <c r="G49" s="781">
        <v>3400</v>
      </c>
      <c r="H49" s="781"/>
      <c r="I49" s="781"/>
      <c r="J49" s="781">
        <v>3400</v>
      </c>
      <c r="K49" s="781"/>
      <c r="L49" s="781">
        <f>O49</f>
        <v>3139.5839999999998</v>
      </c>
      <c r="M49" s="781"/>
      <c r="N49" s="781"/>
      <c r="O49" s="781">
        <v>3139.5839999999998</v>
      </c>
      <c r="P49" s="781"/>
      <c r="Q49" s="781">
        <f>R49+S49+T49+U49</f>
        <v>3348.5619999999999</v>
      </c>
      <c r="R49" s="781"/>
      <c r="S49" s="781"/>
      <c r="T49" s="781">
        <v>3348.5619999999999</v>
      </c>
      <c r="U49" s="781"/>
      <c r="V49" s="781">
        <f>W49+X49+Y49+Z49</f>
        <v>300</v>
      </c>
      <c r="W49" s="781"/>
      <c r="X49" s="781"/>
      <c r="Y49" s="781">
        <v>300</v>
      </c>
      <c r="Z49" s="781"/>
      <c r="AA49" s="781">
        <f t="shared" ref="AA49:AA51" si="33">AB49+AC49+AD49+AE49</f>
        <v>91.022000000000006</v>
      </c>
      <c r="AB49" s="781"/>
      <c r="AC49" s="781"/>
      <c r="AD49" s="781">
        <v>91.022000000000006</v>
      </c>
      <c r="AE49" s="782"/>
      <c r="AF49" s="783">
        <f t="shared" si="6"/>
        <v>0.30340666666666666</v>
      </c>
      <c r="AG49" s="784"/>
      <c r="AH49" s="783"/>
      <c r="AI49" s="785">
        <f t="shared" si="7"/>
        <v>0.30340666666666666</v>
      </c>
      <c r="AJ49" s="771"/>
      <c r="AK49" s="757"/>
      <c r="AL49" s="749"/>
      <c r="AM49" s="749"/>
      <c r="AN49" s="749"/>
      <c r="AO49" s="749"/>
      <c r="AP49" s="749"/>
      <c r="AQ49" s="749"/>
      <c r="AR49" s="749"/>
      <c r="AS49" s="749"/>
      <c r="AT49" s="749"/>
      <c r="AU49" s="749"/>
      <c r="AV49" s="749"/>
      <c r="AW49" s="749"/>
      <c r="AX49" s="749"/>
      <c r="AY49" s="749"/>
      <c r="AZ49" s="749"/>
      <c r="BA49" s="749"/>
      <c r="BB49" s="749"/>
      <c r="BC49" s="749"/>
      <c r="BD49" s="749"/>
      <c r="BE49" s="749"/>
      <c r="BF49" s="749"/>
      <c r="BG49" s="749"/>
      <c r="BH49" s="749"/>
      <c r="BI49" s="749"/>
    </row>
    <row r="50" spans="1:61" s="772" customFormat="1" ht="34.5" customHeight="1">
      <c r="A50" s="776" t="s">
        <v>442</v>
      </c>
      <c r="B50" s="804" t="s">
        <v>466</v>
      </c>
      <c r="C50" s="778" t="s">
        <v>766</v>
      </c>
      <c r="D50" s="778"/>
      <c r="E50" s="779" t="s">
        <v>416</v>
      </c>
      <c r="F50" s="779" t="s">
        <v>467</v>
      </c>
      <c r="G50" s="781">
        <v>3700</v>
      </c>
      <c r="H50" s="781"/>
      <c r="I50" s="781"/>
      <c r="J50" s="781">
        <v>3700</v>
      </c>
      <c r="K50" s="781"/>
      <c r="L50" s="781">
        <f>O50</f>
        <v>3555.5144049999999</v>
      </c>
      <c r="M50" s="781"/>
      <c r="N50" s="781"/>
      <c r="O50" s="781">
        <v>3555.5144049999999</v>
      </c>
      <c r="P50" s="781"/>
      <c r="Q50" s="781">
        <f>R50+S50+T50+U50</f>
        <v>3725.5349200000001</v>
      </c>
      <c r="R50" s="781"/>
      <c r="S50" s="781"/>
      <c r="T50" s="781">
        <v>3725.5349200000001</v>
      </c>
      <c r="U50" s="781"/>
      <c r="V50" s="781">
        <f>W50+X50+Y50+Z50</f>
        <v>800</v>
      </c>
      <c r="W50" s="781"/>
      <c r="X50" s="781"/>
      <c r="Y50" s="781">
        <v>800</v>
      </c>
      <c r="Z50" s="781"/>
      <c r="AA50" s="781">
        <f t="shared" si="33"/>
        <v>629.97948499999995</v>
      </c>
      <c r="AB50" s="781"/>
      <c r="AC50" s="781"/>
      <c r="AD50" s="781">
        <v>629.97948499999995</v>
      </c>
      <c r="AE50" s="782"/>
      <c r="AF50" s="783">
        <f t="shared" si="6"/>
        <v>0.78747435624999995</v>
      </c>
      <c r="AG50" s="784"/>
      <c r="AH50" s="783"/>
      <c r="AI50" s="785">
        <f t="shared" si="7"/>
        <v>0.78747435624999995</v>
      </c>
      <c r="AJ50" s="771"/>
      <c r="AK50" s="757"/>
      <c r="AL50" s="749"/>
      <c r="AM50" s="749"/>
      <c r="AN50" s="749"/>
      <c r="AO50" s="749"/>
      <c r="AP50" s="749"/>
      <c r="AQ50" s="749"/>
      <c r="AR50" s="749"/>
      <c r="AS50" s="749"/>
      <c r="AT50" s="749"/>
      <c r="AU50" s="749"/>
      <c r="AV50" s="749"/>
      <c r="AW50" s="749"/>
      <c r="AX50" s="749"/>
      <c r="AY50" s="749"/>
      <c r="AZ50" s="749"/>
      <c r="BA50" s="749"/>
      <c r="BB50" s="749"/>
      <c r="BC50" s="749"/>
      <c r="BD50" s="749"/>
      <c r="BE50" s="749"/>
      <c r="BF50" s="749"/>
      <c r="BG50" s="749"/>
      <c r="BH50" s="749"/>
      <c r="BI50" s="749"/>
    </row>
    <row r="51" spans="1:61" s="772" customFormat="1" ht="34.5" customHeight="1">
      <c r="A51" s="776"/>
      <c r="B51" s="804" t="s">
        <v>767</v>
      </c>
      <c r="C51" s="778" t="s">
        <v>766</v>
      </c>
      <c r="D51" s="778"/>
      <c r="E51" s="779" t="s">
        <v>416</v>
      </c>
      <c r="F51" s="779"/>
      <c r="G51" s="781">
        <f>J51</f>
        <v>1090</v>
      </c>
      <c r="H51" s="781"/>
      <c r="I51" s="781"/>
      <c r="J51" s="781">
        <v>1090</v>
      </c>
      <c r="K51" s="781"/>
      <c r="L51" s="781">
        <f>O51</f>
        <v>946.04399999999998</v>
      </c>
      <c r="M51" s="781"/>
      <c r="N51" s="781"/>
      <c r="O51" s="781">
        <v>946.04399999999998</v>
      </c>
      <c r="P51" s="781"/>
      <c r="Q51" s="781">
        <f>R51+S51+T51+U51</f>
        <v>998.25099999999998</v>
      </c>
      <c r="R51" s="781"/>
      <c r="S51" s="781"/>
      <c r="T51" s="781">
        <v>998.25099999999998</v>
      </c>
      <c r="U51" s="781"/>
      <c r="V51" s="781">
        <f>W51+X51+Y51+Z51</f>
        <v>52.207000000000001</v>
      </c>
      <c r="W51" s="781"/>
      <c r="X51" s="781"/>
      <c r="Y51" s="781">
        <v>52.207000000000001</v>
      </c>
      <c r="Z51" s="781"/>
      <c r="AA51" s="781">
        <f t="shared" si="33"/>
        <v>0</v>
      </c>
      <c r="AB51" s="781"/>
      <c r="AC51" s="781"/>
      <c r="AD51" s="781">
        <v>0</v>
      </c>
      <c r="AE51" s="782"/>
      <c r="AF51" s="783">
        <f t="shared" si="6"/>
        <v>0</v>
      </c>
      <c r="AG51" s="784"/>
      <c r="AH51" s="783"/>
      <c r="AI51" s="785">
        <f>AD51/Y51</f>
        <v>0</v>
      </c>
      <c r="AJ51" s="771"/>
      <c r="AK51" s="757"/>
      <c r="AL51" s="749"/>
      <c r="AM51" s="749"/>
      <c r="AN51" s="749"/>
      <c r="AO51" s="749"/>
      <c r="AP51" s="749"/>
      <c r="AQ51" s="749"/>
      <c r="AR51" s="749"/>
      <c r="AS51" s="749"/>
      <c r="AT51" s="749"/>
      <c r="AU51" s="749"/>
      <c r="AV51" s="749"/>
      <c r="AW51" s="749"/>
      <c r="AX51" s="749"/>
      <c r="AY51" s="749"/>
      <c r="AZ51" s="749"/>
      <c r="BA51" s="749"/>
      <c r="BB51" s="749"/>
      <c r="BC51" s="749"/>
      <c r="BD51" s="749"/>
      <c r="BE51" s="749"/>
      <c r="BF51" s="749"/>
      <c r="BG51" s="749"/>
      <c r="BH51" s="749"/>
      <c r="BI51" s="749"/>
    </row>
    <row r="52" spans="1:61" s="772" customFormat="1" ht="34.5" customHeight="1">
      <c r="A52" s="764" t="s">
        <v>364</v>
      </c>
      <c r="B52" s="765" t="s">
        <v>456</v>
      </c>
      <c r="C52" s="778"/>
      <c r="D52" s="778"/>
      <c r="E52" s="779"/>
      <c r="F52" s="779"/>
      <c r="G52" s="768">
        <f>G53</f>
        <v>1400</v>
      </c>
      <c r="H52" s="768">
        <f t="shared" ref="H52:AE53" si="34">H53</f>
        <v>0</v>
      </c>
      <c r="I52" s="768">
        <f t="shared" si="34"/>
        <v>0</v>
      </c>
      <c r="J52" s="768">
        <f t="shared" si="34"/>
        <v>1400</v>
      </c>
      <c r="K52" s="768">
        <f t="shared" si="34"/>
        <v>0</v>
      </c>
      <c r="L52" s="768">
        <f t="shared" si="34"/>
        <v>1170</v>
      </c>
      <c r="M52" s="768">
        <f t="shared" si="34"/>
        <v>0</v>
      </c>
      <c r="N52" s="768">
        <f t="shared" si="34"/>
        <v>0</v>
      </c>
      <c r="O52" s="768">
        <f t="shared" si="34"/>
        <v>1170</v>
      </c>
      <c r="P52" s="768">
        <f t="shared" si="34"/>
        <v>0</v>
      </c>
      <c r="Q52" s="768">
        <f t="shared" si="34"/>
        <v>1251.5882670000001</v>
      </c>
      <c r="R52" s="768">
        <f t="shared" si="34"/>
        <v>0</v>
      </c>
      <c r="S52" s="768">
        <f t="shared" si="34"/>
        <v>0</v>
      </c>
      <c r="T52" s="768">
        <f t="shared" si="34"/>
        <v>1251.5882670000001</v>
      </c>
      <c r="U52" s="768">
        <f t="shared" si="34"/>
        <v>0</v>
      </c>
      <c r="V52" s="768">
        <f t="shared" si="34"/>
        <v>81.588267000000002</v>
      </c>
      <c r="W52" s="768">
        <f t="shared" si="34"/>
        <v>0</v>
      </c>
      <c r="X52" s="768">
        <f t="shared" si="34"/>
        <v>0</v>
      </c>
      <c r="Y52" s="768">
        <f t="shared" si="34"/>
        <v>81.588267000000002</v>
      </c>
      <c r="Z52" s="768">
        <f t="shared" si="34"/>
        <v>0</v>
      </c>
      <c r="AA52" s="768">
        <f t="shared" si="34"/>
        <v>0</v>
      </c>
      <c r="AB52" s="768">
        <f t="shared" si="34"/>
        <v>0</v>
      </c>
      <c r="AC52" s="768">
        <f t="shared" si="34"/>
        <v>0</v>
      </c>
      <c r="AD52" s="768">
        <f t="shared" si="34"/>
        <v>0</v>
      </c>
      <c r="AE52" s="768">
        <f t="shared" si="34"/>
        <v>0</v>
      </c>
      <c r="AF52" s="769">
        <f t="shared" si="6"/>
        <v>0</v>
      </c>
      <c r="AG52" s="771"/>
      <c r="AH52" s="769"/>
      <c r="AI52" s="770">
        <f>AD52/Y52</f>
        <v>0</v>
      </c>
      <c r="AJ52" s="771"/>
      <c r="AK52" s="757"/>
      <c r="AL52" s="749"/>
      <c r="AM52" s="749"/>
      <c r="AN52" s="749"/>
      <c r="AO52" s="749"/>
      <c r="AP52" s="749"/>
      <c r="AQ52" s="749"/>
      <c r="AR52" s="749"/>
      <c r="AS52" s="749"/>
      <c r="AT52" s="749"/>
      <c r="AU52" s="749"/>
      <c r="AV52" s="749"/>
      <c r="AW52" s="749"/>
      <c r="AX52" s="749"/>
      <c r="AY52" s="749"/>
      <c r="AZ52" s="749"/>
      <c r="BA52" s="749"/>
      <c r="BB52" s="749"/>
      <c r="BC52" s="749"/>
      <c r="BD52" s="749"/>
      <c r="BE52" s="749"/>
      <c r="BF52" s="749"/>
      <c r="BG52" s="749"/>
      <c r="BH52" s="749"/>
      <c r="BI52" s="749"/>
    </row>
    <row r="53" spans="1:61" s="772" customFormat="1" ht="34.5" customHeight="1">
      <c r="A53" s="764"/>
      <c r="B53" s="802" t="s">
        <v>383</v>
      </c>
      <c r="C53" s="778"/>
      <c r="D53" s="778"/>
      <c r="E53" s="779"/>
      <c r="F53" s="779"/>
      <c r="G53" s="768">
        <f>G54</f>
        <v>1400</v>
      </c>
      <c r="H53" s="768">
        <f t="shared" si="34"/>
        <v>0</v>
      </c>
      <c r="I53" s="768">
        <f t="shared" si="34"/>
        <v>0</v>
      </c>
      <c r="J53" s="768">
        <f t="shared" si="34"/>
        <v>1400</v>
      </c>
      <c r="K53" s="768">
        <f t="shared" si="34"/>
        <v>0</v>
      </c>
      <c r="L53" s="768">
        <f t="shared" si="34"/>
        <v>1170</v>
      </c>
      <c r="M53" s="768">
        <f t="shared" si="34"/>
        <v>0</v>
      </c>
      <c r="N53" s="768">
        <f t="shared" si="34"/>
        <v>0</v>
      </c>
      <c r="O53" s="768">
        <f t="shared" si="34"/>
        <v>1170</v>
      </c>
      <c r="P53" s="768">
        <f t="shared" si="34"/>
        <v>0</v>
      </c>
      <c r="Q53" s="768">
        <f t="shared" si="34"/>
        <v>1251.5882670000001</v>
      </c>
      <c r="R53" s="768">
        <f t="shared" si="34"/>
        <v>0</v>
      </c>
      <c r="S53" s="768">
        <f t="shared" si="34"/>
        <v>0</v>
      </c>
      <c r="T53" s="768">
        <f t="shared" si="34"/>
        <v>1251.5882670000001</v>
      </c>
      <c r="U53" s="768">
        <f t="shared" si="34"/>
        <v>0</v>
      </c>
      <c r="V53" s="768">
        <f t="shared" si="34"/>
        <v>81.588267000000002</v>
      </c>
      <c r="W53" s="768">
        <f t="shared" si="34"/>
        <v>0</v>
      </c>
      <c r="X53" s="768">
        <f t="shared" si="34"/>
        <v>0</v>
      </c>
      <c r="Y53" s="768">
        <f t="shared" si="34"/>
        <v>81.588267000000002</v>
      </c>
      <c r="Z53" s="768">
        <f t="shared" si="34"/>
        <v>0</v>
      </c>
      <c r="AA53" s="768">
        <f t="shared" si="34"/>
        <v>0</v>
      </c>
      <c r="AB53" s="768">
        <f t="shared" si="34"/>
        <v>0</v>
      </c>
      <c r="AC53" s="768">
        <f t="shared" si="34"/>
        <v>0</v>
      </c>
      <c r="AD53" s="768">
        <f t="shared" si="34"/>
        <v>0</v>
      </c>
      <c r="AE53" s="768">
        <f t="shared" si="34"/>
        <v>0</v>
      </c>
      <c r="AF53" s="769">
        <f t="shared" si="6"/>
        <v>0</v>
      </c>
      <c r="AG53" s="771"/>
      <c r="AH53" s="769"/>
      <c r="AI53" s="770">
        <f>AD53/Y53</f>
        <v>0</v>
      </c>
      <c r="AJ53" s="771"/>
      <c r="AK53" s="757"/>
      <c r="AL53" s="749"/>
      <c r="AM53" s="749"/>
      <c r="AN53" s="749"/>
      <c r="AO53" s="749"/>
      <c r="AP53" s="749"/>
      <c r="AQ53" s="749"/>
      <c r="AR53" s="749"/>
      <c r="AS53" s="749"/>
      <c r="AT53" s="749"/>
      <c r="AU53" s="749"/>
      <c r="AV53" s="749"/>
      <c r="AW53" s="749"/>
      <c r="AX53" s="749"/>
      <c r="AY53" s="749"/>
      <c r="AZ53" s="749"/>
      <c r="BA53" s="749"/>
      <c r="BB53" s="749"/>
      <c r="BC53" s="749"/>
      <c r="BD53" s="749"/>
      <c r="BE53" s="749"/>
      <c r="BF53" s="749"/>
      <c r="BG53" s="749"/>
      <c r="BH53" s="749"/>
      <c r="BI53" s="749"/>
    </row>
    <row r="54" spans="1:61" s="772" customFormat="1" ht="34.5" customHeight="1">
      <c r="A54" s="764"/>
      <c r="B54" s="804" t="s">
        <v>768</v>
      </c>
      <c r="C54" s="778" t="s">
        <v>766</v>
      </c>
      <c r="D54" s="778"/>
      <c r="E54" s="779" t="s">
        <v>416</v>
      </c>
      <c r="F54" s="779"/>
      <c r="G54" s="781">
        <f>J54</f>
        <v>1400</v>
      </c>
      <c r="H54" s="781"/>
      <c r="I54" s="781"/>
      <c r="J54" s="781">
        <v>1400</v>
      </c>
      <c r="K54" s="781"/>
      <c r="L54" s="781">
        <f>O54</f>
        <v>1170</v>
      </c>
      <c r="M54" s="781"/>
      <c r="N54" s="781"/>
      <c r="O54" s="781">
        <v>1170</v>
      </c>
      <c r="P54" s="781"/>
      <c r="Q54" s="781">
        <f>R54+S54+T54+U54</f>
        <v>1251.5882670000001</v>
      </c>
      <c r="R54" s="781"/>
      <c r="S54" s="781"/>
      <c r="T54" s="781">
        <v>1251.5882670000001</v>
      </c>
      <c r="U54" s="781"/>
      <c r="V54" s="781">
        <f>W54+X54+Y54+Z54</f>
        <v>81.588267000000002</v>
      </c>
      <c r="W54" s="781"/>
      <c r="X54" s="781"/>
      <c r="Y54" s="781">
        <v>81.588267000000002</v>
      </c>
      <c r="Z54" s="781"/>
      <c r="AA54" s="781">
        <f t="shared" ref="AA54" si="35">AB54+AC54+AD54+AE54</f>
        <v>0</v>
      </c>
      <c r="AB54" s="781"/>
      <c r="AC54" s="781"/>
      <c r="AD54" s="781">
        <v>0</v>
      </c>
      <c r="AE54" s="782"/>
      <c r="AF54" s="783">
        <f t="shared" si="6"/>
        <v>0</v>
      </c>
      <c r="AG54" s="784"/>
      <c r="AH54" s="783"/>
      <c r="AI54" s="785">
        <f>AD54/Y54</f>
        <v>0</v>
      </c>
      <c r="AJ54" s="771"/>
      <c r="AK54" s="757"/>
      <c r="AL54" s="749"/>
      <c r="AM54" s="749"/>
      <c r="AN54" s="749"/>
      <c r="AO54" s="749"/>
      <c r="AP54" s="749"/>
      <c r="AQ54" s="749"/>
      <c r="AR54" s="749"/>
      <c r="AS54" s="749"/>
      <c r="AT54" s="749"/>
      <c r="AU54" s="749"/>
      <c r="AV54" s="749"/>
      <c r="AW54" s="749"/>
      <c r="AX54" s="749"/>
      <c r="AY54" s="749"/>
      <c r="AZ54" s="749"/>
      <c r="BA54" s="749"/>
      <c r="BB54" s="749"/>
      <c r="BC54" s="749"/>
      <c r="BD54" s="749"/>
      <c r="BE54" s="749"/>
      <c r="BF54" s="749"/>
      <c r="BG54" s="749"/>
      <c r="BH54" s="749"/>
      <c r="BI54" s="749"/>
    </row>
    <row r="55" spans="1:61" s="772" customFormat="1" ht="34.5" customHeight="1">
      <c r="A55" s="789">
        <v>3</v>
      </c>
      <c r="B55" s="790" t="s">
        <v>486</v>
      </c>
      <c r="C55" s="766"/>
      <c r="D55" s="766"/>
      <c r="E55" s="791"/>
      <c r="F55" s="792"/>
      <c r="G55" s="768"/>
      <c r="H55" s="768"/>
      <c r="I55" s="768"/>
      <c r="J55" s="768"/>
      <c r="K55" s="768"/>
      <c r="L55" s="768"/>
      <c r="M55" s="768"/>
      <c r="N55" s="768"/>
      <c r="O55" s="768"/>
      <c r="P55" s="768"/>
      <c r="Q55" s="768"/>
      <c r="R55" s="768"/>
      <c r="S55" s="768"/>
      <c r="T55" s="768"/>
      <c r="U55" s="768"/>
      <c r="V55" s="768"/>
      <c r="W55" s="768"/>
      <c r="X55" s="768"/>
      <c r="Y55" s="768"/>
      <c r="Z55" s="768"/>
      <c r="AA55" s="768"/>
      <c r="AB55" s="768"/>
      <c r="AC55" s="768"/>
      <c r="AD55" s="768"/>
      <c r="AE55" s="768"/>
      <c r="AF55" s="769"/>
      <c r="AG55" s="771"/>
      <c r="AH55" s="769"/>
      <c r="AI55" s="770"/>
      <c r="AJ55" s="771"/>
      <c r="AK55" s="793"/>
      <c r="AL55" s="794"/>
      <c r="AM55" s="794"/>
      <c r="AN55" s="794"/>
      <c r="AO55" s="794"/>
      <c r="AP55" s="794"/>
      <c r="AQ55" s="794"/>
      <c r="AR55" s="794"/>
      <c r="AS55" s="794"/>
      <c r="AT55" s="794"/>
      <c r="AU55" s="794"/>
      <c r="AV55" s="794"/>
      <c r="AW55" s="794"/>
      <c r="AX55" s="794"/>
      <c r="AY55" s="794"/>
      <c r="AZ55" s="794"/>
      <c r="BA55" s="794"/>
      <c r="BB55" s="794"/>
      <c r="BC55" s="794"/>
      <c r="BD55" s="794"/>
      <c r="BE55" s="794"/>
      <c r="BF55" s="794"/>
      <c r="BG55" s="794"/>
      <c r="BH55" s="794"/>
      <c r="BI55" s="794"/>
    </row>
    <row r="56" spans="1:61" s="798" customFormat="1" ht="34.700000000000003" customHeight="1">
      <c r="A56" s="789" t="s">
        <v>282</v>
      </c>
      <c r="B56" s="790" t="s">
        <v>769</v>
      </c>
      <c r="C56" s="778"/>
      <c r="D56" s="778"/>
      <c r="E56" s="788"/>
      <c r="F56" s="788"/>
      <c r="G56" s="768">
        <f>G57+G61</f>
        <v>42450</v>
      </c>
      <c r="H56" s="768">
        <f t="shared" ref="H56:AE56" si="36">H57+H61</f>
        <v>0</v>
      </c>
      <c r="I56" s="768">
        <f t="shared" si="36"/>
        <v>0</v>
      </c>
      <c r="J56" s="768">
        <f t="shared" si="36"/>
        <v>42450</v>
      </c>
      <c r="K56" s="768">
        <f t="shared" si="36"/>
        <v>0</v>
      </c>
      <c r="L56" s="768">
        <f t="shared" si="36"/>
        <v>3303.6940000000004</v>
      </c>
      <c r="M56" s="768">
        <f t="shared" si="36"/>
        <v>0</v>
      </c>
      <c r="N56" s="768">
        <f t="shared" si="36"/>
        <v>0</v>
      </c>
      <c r="O56" s="768">
        <f t="shared" si="36"/>
        <v>3303.6940000000004</v>
      </c>
      <c r="P56" s="768">
        <f t="shared" si="36"/>
        <v>0</v>
      </c>
      <c r="Q56" s="768">
        <f t="shared" si="36"/>
        <v>3303.6940000000004</v>
      </c>
      <c r="R56" s="768">
        <f t="shared" si="36"/>
        <v>0</v>
      </c>
      <c r="S56" s="768">
        <f t="shared" si="36"/>
        <v>0</v>
      </c>
      <c r="T56" s="768">
        <f t="shared" si="36"/>
        <v>3303.6940000000004</v>
      </c>
      <c r="U56" s="768">
        <f t="shared" si="36"/>
        <v>0</v>
      </c>
      <c r="V56" s="768">
        <f t="shared" si="36"/>
        <v>2589.357</v>
      </c>
      <c r="W56" s="768">
        <f t="shared" si="36"/>
        <v>0</v>
      </c>
      <c r="X56" s="768">
        <f t="shared" si="36"/>
        <v>0</v>
      </c>
      <c r="Y56" s="768">
        <f t="shared" si="36"/>
        <v>2589.357</v>
      </c>
      <c r="Z56" s="768">
        <f t="shared" si="36"/>
        <v>0</v>
      </c>
      <c r="AA56" s="768">
        <f t="shared" si="36"/>
        <v>2589.357</v>
      </c>
      <c r="AB56" s="768">
        <f t="shared" si="36"/>
        <v>0</v>
      </c>
      <c r="AC56" s="768">
        <f t="shared" si="36"/>
        <v>0</v>
      </c>
      <c r="AD56" s="768">
        <f t="shared" si="36"/>
        <v>2589.357</v>
      </c>
      <c r="AE56" s="768">
        <f t="shared" si="36"/>
        <v>0</v>
      </c>
      <c r="AF56" s="769">
        <f t="shared" ref="AF56:AF69" si="37">AA56/V56</f>
        <v>1</v>
      </c>
      <c r="AG56" s="771"/>
      <c r="AH56" s="769"/>
      <c r="AI56" s="770">
        <f t="shared" si="7"/>
        <v>1</v>
      </c>
      <c r="AJ56" s="771"/>
      <c r="AK56" s="757"/>
      <c r="AL56" s="749"/>
      <c r="AM56" s="749"/>
      <c r="AN56" s="749"/>
      <c r="AO56" s="749"/>
      <c r="AP56" s="749"/>
      <c r="AQ56" s="749"/>
      <c r="AR56" s="749"/>
      <c r="AS56" s="749"/>
      <c r="AT56" s="749"/>
      <c r="AU56" s="749"/>
      <c r="AV56" s="749"/>
      <c r="AW56" s="749"/>
      <c r="AX56" s="749"/>
      <c r="AY56" s="749"/>
      <c r="AZ56" s="749"/>
      <c r="BA56" s="749"/>
      <c r="BB56" s="749"/>
      <c r="BC56" s="749"/>
      <c r="BD56" s="749"/>
      <c r="BE56" s="749"/>
      <c r="BF56" s="749"/>
      <c r="BG56" s="749"/>
      <c r="BH56" s="749"/>
      <c r="BI56" s="749"/>
    </row>
    <row r="57" spans="1:61" s="798" customFormat="1" ht="34.700000000000003" customHeight="1">
      <c r="A57" s="773" t="s">
        <v>696</v>
      </c>
      <c r="B57" s="774" t="s">
        <v>759</v>
      </c>
      <c r="C57" s="778"/>
      <c r="D57" s="778"/>
      <c r="E57" s="788"/>
      <c r="F57" s="788"/>
      <c r="G57" s="768">
        <f>G58+G59+G60</f>
        <v>36950</v>
      </c>
      <c r="H57" s="768">
        <f t="shared" ref="H57:AE57" si="38">H58+H59+H60</f>
        <v>0</v>
      </c>
      <c r="I57" s="768">
        <f t="shared" si="38"/>
        <v>0</v>
      </c>
      <c r="J57" s="768">
        <f t="shared" si="38"/>
        <v>36950</v>
      </c>
      <c r="K57" s="768">
        <f t="shared" si="38"/>
        <v>0</v>
      </c>
      <c r="L57" s="768">
        <f t="shared" si="38"/>
        <v>1470.3220000000001</v>
      </c>
      <c r="M57" s="768">
        <f t="shared" si="38"/>
        <v>0</v>
      </c>
      <c r="N57" s="768">
        <f t="shared" si="38"/>
        <v>0</v>
      </c>
      <c r="O57" s="768">
        <f t="shared" si="38"/>
        <v>1470.3220000000001</v>
      </c>
      <c r="P57" s="768">
        <f t="shared" si="38"/>
        <v>0</v>
      </c>
      <c r="Q57" s="768">
        <f t="shared" si="38"/>
        <v>1470.3220000000001</v>
      </c>
      <c r="R57" s="768">
        <f t="shared" si="38"/>
        <v>0</v>
      </c>
      <c r="S57" s="768">
        <f t="shared" si="38"/>
        <v>0</v>
      </c>
      <c r="T57" s="768">
        <f t="shared" si="38"/>
        <v>1470.3220000000001</v>
      </c>
      <c r="U57" s="768">
        <f t="shared" si="38"/>
        <v>0</v>
      </c>
      <c r="V57" s="768">
        <f t="shared" si="38"/>
        <v>755.98500000000001</v>
      </c>
      <c r="W57" s="768">
        <f t="shared" si="38"/>
        <v>0</v>
      </c>
      <c r="X57" s="768">
        <f t="shared" si="38"/>
        <v>0</v>
      </c>
      <c r="Y57" s="768">
        <f t="shared" si="38"/>
        <v>755.98500000000001</v>
      </c>
      <c r="Z57" s="768">
        <f t="shared" si="38"/>
        <v>0</v>
      </c>
      <c r="AA57" s="768">
        <f t="shared" si="38"/>
        <v>755.98500000000001</v>
      </c>
      <c r="AB57" s="768">
        <f t="shared" si="38"/>
        <v>0</v>
      </c>
      <c r="AC57" s="768">
        <f t="shared" si="38"/>
        <v>0</v>
      </c>
      <c r="AD57" s="768">
        <f t="shared" si="38"/>
        <v>755.98500000000001</v>
      </c>
      <c r="AE57" s="768">
        <f t="shared" si="38"/>
        <v>0</v>
      </c>
      <c r="AF57" s="769">
        <f t="shared" si="37"/>
        <v>1</v>
      </c>
      <c r="AG57" s="771"/>
      <c r="AH57" s="769"/>
      <c r="AI57" s="770">
        <f t="shared" si="7"/>
        <v>1</v>
      </c>
      <c r="AJ57" s="771"/>
      <c r="AK57" s="757"/>
      <c r="AL57" s="749"/>
      <c r="AM57" s="749"/>
      <c r="AN57" s="749"/>
      <c r="AO57" s="749"/>
      <c r="AP57" s="749"/>
      <c r="AQ57" s="749"/>
      <c r="AR57" s="749"/>
      <c r="AS57" s="749"/>
      <c r="AT57" s="749"/>
      <c r="AU57" s="749"/>
      <c r="AV57" s="749"/>
      <c r="AW57" s="749"/>
      <c r="AX57" s="749"/>
      <c r="AY57" s="749"/>
      <c r="AZ57" s="749"/>
      <c r="BA57" s="749"/>
      <c r="BB57" s="749"/>
      <c r="BC57" s="749"/>
      <c r="BD57" s="749"/>
      <c r="BE57" s="749"/>
      <c r="BF57" s="749"/>
      <c r="BG57" s="749"/>
      <c r="BH57" s="749"/>
      <c r="BI57" s="749"/>
    </row>
    <row r="58" spans="1:61" s="772" customFormat="1" ht="36.75" customHeight="1">
      <c r="A58" s="776"/>
      <c r="B58" s="777" t="s">
        <v>685</v>
      </c>
      <c r="C58" s="778" t="s">
        <v>473</v>
      </c>
      <c r="D58" s="778"/>
      <c r="E58" s="779" t="s">
        <v>680</v>
      </c>
      <c r="F58" s="780" t="s">
        <v>686</v>
      </c>
      <c r="G58" s="781">
        <v>3000</v>
      </c>
      <c r="H58" s="781"/>
      <c r="I58" s="781"/>
      <c r="J58" s="781">
        <v>3000</v>
      </c>
      <c r="K58" s="781"/>
      <c r="L58" s="781">
        <f>SUM(M58:P58)</f>
        <v>179.285</v>
      </c>
      <c r="M58" s="781"/>
      <c r="N58" s="781"/>
      <c r="O58" s="781">
        <f>179.285</f>
        <v>179.285</v>
      </c>
      <c r="P58" s="781"/>
      <c r="Q58" s="781">
        <f t="shared" ref="Q58:Q59" si="39">T58</f>
        <v>179.285</v>
      </c>
      <c r="R58" s="781"/>
      <c r="S58" s="781"/>
      <c r="T58" s="781">
        <f>179.285</f>
        <v>179.285</v>
      </c>
      <c r="U58" s="781"/>
      <c r="V58" s="781">
        <f t="shared" ref="V58:V59" si="40">W58+X58+Y58+Z58</f>
        <v>179.285</v>
      </c>
      <c r="W58" s="781"/>
      <c r="X58" s="781"/>
      <c r="Y58" s="781">
        <f>179.285</f>
        <v>179.285</v>
      </c>
      <c r="Z58" s="781"/>
      <c r="AA58" s="781">
        <f t="shared" ref="AA58:AA60" si="41">AB58+AC58+AD58+AE58</f>
        <v>179.285</v>
      </c>
      <c r="AB58" s="781"/>
      <c r="AC58" s="781"/>
      <c r="AD58" s="781">
        <f>179.285</f>
        <v>179.285</v>
      </c>
      <c r="AE58" s="782"/>
      <c r="AF58" s="783">
        <f t="shared" si="37"/>
        <v>1</v>
      </c>
      <c r="AG58" s="784"/>
      <c r="AH58" s="783"/>
      <c r="AI58" s="785">
        <f t="shared" si="7"/>
        <v>1</v>
      </c>
      <c r="AJ58" s="771"/>
      <c r="AK58" s="757"/>
      <c r="AL58" s="749"/>
      <c r="AM58" s="749"/>
      <c r="AN58" s="749"/>
      <c r="AO58" s="749"/>
      <c r="AP58" s="749"/>
      <c r="AQ58" s="749"/>
      <c r="AR58" s="749"/>
      <c r="AS58" s="749"/>
      <c r="AT58" s="749"/>
      <c r="AU58" s="749"/>
      <c r="AV58" s="749"/>
      <c r="AW58" s="749"/>
      <c r="AX58" s="749"/>
      <c r="AY58" s="749"/>
      <c r="AZ58" s="749"/>
      <c r="BA58" s="749"/>
      <c r="BB58" s="749"/>
      <c r="BC58" s="749"/>
      <c r="BD58" s="749"/>
      <c r="BE58" s="749"/>
      <c r="BF58" s="749"/>
      <c r="BG58" s="749"/>
      <c r="BH58" s="749"/>
      <c r="BI58" s="749"/>
    </row>
    <row r="59" spans="1:61" s="772" customFormat="1" ht="36.75" customHeight="1">
      <c r="A59" s="776"/>
      <c r="B59" s="777" t="s">
        <v>770</v>
      </c>
      <c r="C59" s="778" t="s">
        <v>771</v>
      </c>
      <c r="D59" s="778"/>
      <c r="E59" s="779"/>
      <c r="F59" s="780"/>
      <c r="G59" s="781">
        <f>J59</f>
        <v>950</v>
      </c>
      <c r="H59" s="781"/>
      <c r="I59" s="781"/>
      <c r="J59" s="781">
        <v>950</v>
      </c>
      <c r="K59" s="781"/>
      <c r="L59" s="781">
        <f>SUM(M59:P59)</f>
        <v>868.65300000000002</v>
      </c>
      <c r="M59" s="781"/>
      <c r="N59" s="781"/>
      <c r="O59" s="781">
        <v>868.65300000000002</v>
      </c>
      <c r="P59" s="781"/>
      <c r="Q59" s="781">
        <f t="shared" si="39"/>
        <v>868.65300000000002</v>
      </c>
      <c r="R59" s="781"/>
      <c r="S59" s="781"/>
      <c r="T59" s="781">
        <v>868.65300000000002</v>
      </c>
      <c r="U59" s="781"/>
      <c r="V59" s="781">
        <f t="shared" si="40"/>
        <v>154.316</v>
      </c>
      <c r="W59" s="781"/>
      <c r="X59" s="781"/>
      <c r="Y59" s="781">
        <v>154.316</v>
      </c>
      <c r="Z59" s="781"/>
      <c r="AA59" s="781">
        <f t="shared" si="41"/>
        <v>154.316</v>
      </c>
      <c r="AB59" s="781"/>
      <c r="AC59" s="781"/>
      <c r="AD59" s="781">
        <v>154.316</v>
      </c>
      <c r="AE59" s="782"/>
      <c r="AF59" s="783">
        <f t="shared" si="37"/>
        <v>1</v>
      </c>
      <c r="AG59" s="784"/>
      <c r="AH59" s="783"/>
      <c r="AI59" s="785">
        <f t="shared" si="7"/>
        <v>1</v>
      </c>
      <c r="AJ59" s="771"/>
      <c r="AK59" s="757"/>
      <c r="AL59" s="749"/>
      <c r="AM59" s="749"/>
      <c r="AN59" s="749"/>
      <c r="AO59" s="749"/>
      <c r="AP59" s="749"/>
      <c r="AQ59" s="749"/>
      <c r="AR59" s="749"/>
      <c r="AS59" s="749"/>
      <c r="AT59" s="749"/>
      <c r="AU59" s="749"/>
      <c r="AV59" s="749"/>
      <c r="AW59" s="749"/>
      <c r="AX59" s="749"/>
      <c r="AY59" s="749"/>
      <c r="AZ59" s="749"/>
      <c r="BA59" s="749"/>
      <c r="BB59" s="749"/>
      <c r="BC59" s="749"/>
      <c r="BD59" s="749"/>
      <c r="BE59" s="749"/>
      <c r="BF59" s="749"/>
      <c r="BG59" s="749"/>
      <c r="BH59" s="749"/>
      <c r="BI59" s="749"/>
    </row>
    <row r="60" spans="1:61" s="772" customFormat="1" ht="48" customHeight="1">
      <c r="A60" s="776" t="s">
        <v>442</v>
      </c>
      <c r="B60" s="777" t="s">
        <v>772</v>
      </c>
      <c r="C60" s="778" t="s">
        <v>415</v>
      </c>
      <c r="D60" s="778"/>
      <c r="E60" s="779" t="s">
        <v>444</v>
      </c>
      <c r="F60" s="780" t="s">
        <v>677</v>
      </c>
      <c r="G60" s="781">
        <v>33000</v>
      </c>
      <c r="H60" s="781"/>
      <c r="I60" s="781"/>
      <c r="J60" s="781">
        <f>G60</f>
        <v>33000</v>
      </c>
      <c r="K60" s="781"/>
      <c r="L60" s="781">
        <f>M60+N60+O60+P60</f>
        <v>422.38400000000001</v>
      </c>
      <c r="M60" s="781"/>
      <c r="N60" s="781"/>
      <c r="O60" s="781">
        <f>422.384</f>
        <v>422.38400000000001</v>
      </c>
      <c r="P60" s="781"/>
      <c r="Q60" s="781">
        <f>SUM(R60:U60)</f>
        <v>422.38400000000001</v>
      </c>
      <c r="R60" s="781"/>
      <c r="S60" s="781"/>
      <c r="T60" s="781">
        <f>422.384</f>
        <v>422.38400000000001</v>
      </c>
      <c r="U60" s="781"/>
      <c r="V60" s="781">
        <f>W60+X60+Y60+Z60</f>
        <v>422.38400000000001</v>
      </c>
      <c r="W60" s="781"/>
      <c r="X60" s="781"/>
      <c r="Y60" s="781">
        <f>422.384</f>
        <v>422.38400000000001</v>
      </c>
      <c r="Z60" s="781"/>
      <c r="AA60" s="781">
        <f t="shared" si="41"/>
        <v>422.38400000000001</v>
      </c>
      <c r="AB60" s="781"/>
      <c r="AC60" s="781"/>
      <c r="AD60" s="781">
        <f>422.384</f>
        <v>422.38400000000001</v>
      </c>
      <c r="AE60" s="782"/>
      <c r="AF60" s="783">
        <f t="shared" si="37"/>
        <v>1</v>
      </c>
      <c r="AG60" s="784"/>
      <c r="AH60" s="783"/>
      <c r="AI60" s="785">
        <f t="shared" si="7"/>
        <v>1</v>
      </c>
      <c r="AJ60" s="771"/>
      <c r="AK60" s="757"/>
      <c r="AL60" s="749"/>
      <c r="AM60" s="749"/>
      <c r="AN60" s="749"/>
      <c r="AO60" s="749"/>
      <c r="AP60" s="749"/>
      <c r="AQ60" s="749"/>
      <c r="AR60" s="749"/>
      <c r="AS60" s="749"/>
      <c r="AT60" s="749"/>
      <c r="AU60" s="749"/>
      <c r="AV60" s="749"/>
      <c r="AW60" s="749"/>
      <c r="AX60" s="749"/>
      <c r="AY60" s="749"/>
      <c r="AZ60" s="749"/>
      <c r="BA60" s="749"/>
      <c r="BB60" s="749"/>
      <c r="BC60" s="749"/>
      <c r="BD60" s="749"/>
      <c r="BE60" s="749"/>
      <c r="BF60" s="749"/>
      <c r="BG60" s="749"/>
      <c r="BH60" s="749"/>
      <c r="BI60" s="749"/>
    </row>
    <row r="61" spans="1:61" s="772" customFormat="1" ht="36.75" customHeight="1">
      <c r="A61" s="773" t="s">
        <v>703</v>
      </c>
      <c r="B61" s="790" t="s">
        <v>773</v>
      </c>
      <c r="C61" s="778"/>
      <c r="D61" s="778"/>
      <c r="E61" s="779"/>
      <c r="F61" s="780"/>
      <c r="G61" s="768">
        <f>G62</f>
        <v>5500</v>
      </c>
      <c r="H61" s="768">
        <f t="shared" ref="H61:AE61" si="42">H62</f>
        <v>0</v>
      </c>
      <c r="I61" s="768">
        <f t="shared" si="42"/>
        <v>0</v>
      </c>
      <c r="J61" s="768">
        <f t="shared" si="42"/>
        <v>5500</v>
      </c>
      <c r="K61" s="768">
        <f t="shared" si="42"/>
        <v>0</v>
      </c>
      <c r="L61" s="768">
        <f t="shared" si="42"/>
        <v>1833.3720000000001</v>
      </c>
      <c r="M61" s="768">
        <f t="shared" si="42"/>
        <v>0</v>
      </c>
      <c r="N61" s="768">
        <f t="shared" si="42"/>
        <v>0</v>
      </c>
      <c r="O61" s="768">
        <f t="shared" si="42"/>
        <v>1833.3720000000001</v>
      </c>
      <c r="P61" s="768">
        <f t="shared" si="42"/>
        <v>0</v>
      </c>
      <c r="Q61" s="768">
        <f t="shared" si="42"/>
        <v>1833.3720000000001</v>
      </c>
      <c r="R61" s="768">
        <f t="shared" si="42"/>
        <v>0</v>
      </c>
      <c r="S61" s="768">
        <f t="shared" si="42"/>
        <v>0</v>
      </c>
      <c r="T61" s="768">
        <f t="shared" si="42"/>
        <v>1833.3720000000001</v>
      </c>
      <c r="U61" s="768">
        <f t="shared" si="42"/>
        <v>0</v>
      </c>
      <c r="V61" s="768">
        <f t="shared" si="42"/>
        <v>1833.3720000000001</v>
      </c>
      <c r="W61" s="768">
        <f t="shared" si="42"/>
        <v>0</v>
      </c>
      <c r="X61" s="768">
        <f t="shared" si="42"/>
        <v>0</v>
      </c>
      <c r="Y61" s="768">
        <f t="shared" si="42"/>
        <v>1833.3720000000001</v>
      </c>
      <c r="Z61" s="768">
        <f t="shared" si="42"/>
        <v>0</v>
      </c>
      <c r="AA61" s="768">
        <f t="shared" si="42"/>
        <v>1833.3720000000001</v>
      </c>
      <c r="AB61" s="768">
        <f t="shared" si="42"/>
        <v>0</v>
      </c>
      <c r="AC61" s="768">
        <f t="shared" si="42"/>
        <v>0</v>
      </c>
      <c r="AD61" s="768">
        <f t="shared" si="42"/>
        <v>1833.3720000000001</v>
      </c>
      <c r="AE61" s="768">
        <f t="shared" si="42"/>
        <v>0</v>
      </c>
      <c r="AF61" s="769">
        <f t="shared" si="37"/>
        <v>1</v>
      </c>
      <c r="AG61" s="771"/>
      <c r="AH61" s="769"/>
      <c r="AI61" s="770">
        <f t="shared" si="7"/>
        <v>1</v>
      </c>
      <c r="AJ61" s="771"/>
      <c r="AK61" s="757"/>
      <c r="AL61" s="749"/>
      <c r="AM61" s="749"/>
      <c r="AN61" s="749"/>
      <c r="AO61" s="749"/>
      <c r="AP61" s="749"/>
      <c r="AQ61" s="749"/>
      <c r="AR61" s="749"/>
      <c r="AS61" s="749"/>
      <c r="AT61" s="749"/>
      <c r="AU61" s="749"/>
      <c r="AV61" s="749"/>
      <c r="AW61" s="749"/>
      <c r="AX61" s="749"/>
      <c r="AY61" s="749"/>
      <c r="AZ61" s="749"/>
      <c r="BA61" s="749"/>
      <c r="BB61" s="749"/>
      <c r="BC61" s="749"/>
      <c r="BD61" s="749"/>
      <c r="BE61" s="749"/>
      <c r="BF61" s="749"/>
      <c r="BG61" s="749"/>
      <c r="BH61" s="749"/>
      <c r="BI61" s="749"/>
    </row>
    <row r="62" spans="1:61" s="772" customFormat="1" ht="36.75" customHeight="1">
      <c r="A62" s="776"/>
      <c r="B62" s="777" t="s">
        <v>774</v>
      </c>
      <c r="C62" s="778" t="s">
        <v>775</v>
      </c>
      <c r="D62" s="778"/>
      <c r="E62" s="779"/>
      <c r="F62" s="780"/>
      <c r="G62" s="781">
        <f>J62</f>
        <v>5500</v>
      </c>
      <c r="H62" s="781"/>
      <c r="I62" s="781"/>
      <c r="J62" s="781">
        <v>5500</v>
      </c>
      <c r="K62" s="781"/>
      <c r="L62" s="781">
        <f>SUM(M62:P62)</f>
        <v>1833.3720000000001</v>
      </c>
      <c r="M62" s="781"/>
      <c r="N62" s="781"/>
      <c r="O62" s="781">
        <v>1833.3720000000001</v>
      </c>
      <c r="P62" s="781"/>
      <c r="Q62" s="781">
        <f t="shared" ref="Q62" si="43">T62</f>
        <v>1833.3720000000001</v>
      </c>
      <c r="R62" s="781"/>
      <c r="S62" s="781"/>
      <c r="T62" s="781">
        <v>1833.3720000000001</v>
      </c>
      <c r="U62" s="781"/>
      <c r="V62" s="781">
        <f t="shared" ref="V62" si="44">W62+X62+Y62+Z62</f>
        <v>1833.3720000000001</v>
      </c>
      <c r="W62" s="781"/>
      <c r="X62" s="781"/>
      <c r="Y62" s="781">
        <v>1833.3720000000001</v>
      </c>
      <c r="Z62" s="781"/>
      <c r="AA62" s="781">
        <f t="shared" ref="AA62" si="45">AB62+AC62+AD62+AE62</f>
        <v>1833.3720000000001</v>
      </c>
      <c r="AB62" s="781"/>
      <c r="AC62" s="781"/>
      <c r="AD62" s="781">
        <v>1833.3720000000001</v>
      </c>
      <c r="AE62" s="782"/>
      <c r="AF62" s="783">
        <f t="shared" si="37"/>
        <v>1</v>
      </c>
      <c r="AG62" s="784"/>
      <c r="AH62" s="783"/>
      <c r="AI62" s="785">
        <f t="shared" si="7"/>
        <v>1</v>
      </c>
      <c r="AJ62" s="771"/>
      <c r="AK62" s="757"/>
      <c r="AL62" s="749"/>
      <c r="AM62" s="749"/>
      <c r="AN62" s="749"/>
      <c r="AO62" s="749"/>
      <c r="AP62" s="749"/>
      <c r="AQ62" s="749"/>
      <c r="AR62" s="749"/>
      <c r="AS62" s="749"/>
      <c r="AT62" s="749"/>
      <c r="AU62" s="749"/>
      <c r="AV62" s="749"/>
      <c r="AW62" s="749"/>
      <c r="AX62" s="749"/>
      <c r="AY62" s="749"/>
      <c r="AZ62" s="749"/>
      <c r="BA62" s="749"/>
      <c r="BB62" s="749"/>
      <c r="BC62" s="749"/>
      <c r="BD62" s="749"/>
      <c r="BE62" s="749"/>
      <c r="BF62" s="749"/>
      <c r="BG62" s="749"/>
      <c r="BH62" s="749"/>
      <c r="BI62" s="749"/>
    </row>
    <row r="63" spans="1:61" s="798" customFormat="1" ht="34.700000000000003" customHeight="1">
      <c r="A63" s="789">
        <v>5</v>
      </c>
      <c r="B63" s="790" t="s">
        <v>698</v>
      </c>
      <c r="C63" s="778"/>
      <c r="D63" s="778"/>
      <c r="E63" s="788"/>
      <c r="F63" s="788"/>
      <c r="G63" s="781"/>
      <c r="H63" s="781"/>
      <c r="I63" s="781"/>
      <c r="J63" s="781"/>
      <c r="K63" s="781"/>
      <c r="L63" s="781"/>
      <c r="M63" s="781"/>
      <c r="N63" s="781"/>
      <c r="O63" s="781"/>
      <c r="P63" s="781"/>
      <c r="Q63" s="781"/>
      <c r="R63" s="781"/>
      <c r="S63" s="781"/>
      <c r="T63" s="781"/>
      <c r="U63" s="781"/>
      <c r="V63" s="768">
        <f>W63+X63+Y63+Z63</f>
        <v>1164.597409</v>
      </c>
      <c r="W63" s="768"/>
      <c r="X63" s="768"/>
      <c r="Y63" s="768">
        <f>Y64</f>
        <v>1164.597409</v>
      </c>
      <c r="Z63" s="768"/>
      <c r="AA63" s="768">
        <f>AB63+AC63+AD63+AE63</f>
        <v>1164.597409</v>
      </c>
      <c r="AB63" s="768"/>
      <c r="AC63" s="768"/>
      <c r="AD63" s="768">
        <f>AD64</f>
        <v>1164.597409</v>
      </c>
      <c r="AE63" s="775"/>
      <c r="AF63" s="769">
        <f t="shared" si="37"/>
        <v>1</v>
      </c>
      <c r="AG63" s="771"/>
      <c r="AH63" s="769"/>
      <c r="AI63" s="770">
        <f t="shared" si="7"/>
        <v>1</v>
      </c>
      <c r="AJ63" s="771"/>
      <c r="AK63" s="757"/>
      <c r="AL63" s="749"/>
      <c r="AM63" s="749"/>
      <c r="AN63" s="749"/>
      <c r="AO63" s="749"/>
      <c r="AP63" s="749"/>
      <c r="AQ63" s="749"/>
      <c r="AR63" s="749"/>
      <c r="AS63" s="749"/>
      <c r="AT63" s="749"/>
      <c r="AU63" s="749"/>
      <c r="AV63" s="749"/>
      <c r="AW63" s="749"/>
      <c r="AX63" s="749"/>
      <c r="AY63" s="749"/>
      <c r="AZ63" s="749"/>
      <c r="BA63" s="749"/>
      <c r="BB63" s="749"/>
      <c r="BC63" s="749"/>
      <c r="BD63" s="749"/>
      <c r="BE63" s="749"/>
      <c r="BF63" s="749"/>
      <c r="BG63" s="749"/>
      <c r="BH63" s="749"/>
      <c r="BI63" s="749"/>
    </row>
    <row r="64" spans="1:61" s="798" customFormat="1" ht="34.700000000000003" customHeight="1">
      <c r="A64" s="805"/>
      <c r="B64" s="806" t="s">
        <v>699</v>
      </c>
      <c r="C64" s="778"/>
      <c r="D64" s="778"/>
      <c r="E64" s="788"/>
      <c r="F64" s="788"/>
      <c r="G64" s="781"/>
      <c r="H64" s="781"/>
      <c r="I64" s="781"/>
      <c r="J64" s="781"/>
      <c r="K64" s="781"/>
      <c r="L64" s="781"/>
      <c r="M64" s="781"/>
      <c r="N64" s="781"/>
      <c r="O64" s="781"/>
      <c r="P64" s="781"/>
      <c r="Q64" s="781"/>
      <c r="R64" s="781"/>
      <c r="S64" s="781"/>
      <c r="T64" s="781"/>
      <c r="U64" s="781"/>
      <c r="V64" s="781">
        <f>W64+X64+Y64+Z64</f>
        <v>1164.597409</v>
      </c>
      <c r="W64" s="781"/>
      <c r="X64" s="781"/>
      <c r="Y64" s="781">
        <v>1164.597409</v>
      </c>
      <c r="Z64" s="781"/>
      <c r="AA64" s="781">
        <f>AB64+AC64+AD64+AE64</f>
        <v>1164.597409</v>
      </c>
      <c r="AB64" s="781"/>
      <c r="AC64" s="781"/>
      <c r="AD64" s="781">
        <v>1164.597409</v>
      </c>
      <c r="AE64" s="782"/>
      <c r="AF64" s="783">
        <f t="shared" si="37"/>
        <v>1</v>
      </c>
      <c r="AG64" s="784"/>
      <c r="AH64" s="783"/>
      <c r="AI64" s="785">
        <f t="shared" si="7"/>
        <v>1</v>
      </c>
      <c r="AJ64" s="771"/>
      <c r="AK64" s="757"/>
      <c r="AL64" s="749"/>
      <c r="AM64" s="749"/>
      <c r="AN64" s="749"/>
      <c r="AO64" s="749"/>
      <c r="AP64" s="749"/>
      <c r="AQ64" s="749"/>
      <c r="AR64" s="749"/>
      <c r="AS64" s="749"/>
      <c r="AT64" s="749"/>
      <c r="AU64" s="749"/>
      <c r="AV64" s="749"/>
      <c r="AW64" s="749"/>
      <c r="AX64" s="749"/>
      <c r="AY64" s="749"/>
      <c r="AZ64" s="749"/>
      <c r="BA64" s="749"/>
      <c r="BB64" s="749"/>
      <c r="BC64" s="749"/>
      <c r="BD64" s="749"/>
      <c r="BE64" s="749"/>
      <c r="BF64" s="749"/>
      <c r="BG64" s="749"/>
      <c r="BH64" s="749"/>
      <c r="BI64" s="749"/>
    </row>
    <row r="65" spans="1:61" s="772" customFormat="1" ht="33.4" customHeight="1">
      <c r="A65" s="773" t="s">
        <v>4</v>
      </c>
      <c r="B65" s="807" t="s">
        <v>469</v>
      </c>
      <c r="C65" s="766"/>
      <c r="D65" s="766"/>
      <c r="E65" s="767"/>
      <c r="F65" s="767"/>
      <c r="G65" s="768">
        <f>G66</f>
        <v>246056</v>
      </c>
      <c r="H65" s="768">
        <f t="shared" ref="H65:AE65" si="46">H66</f>
        <v>0</v>
      </c>
      <c r="I65" s="768">
        <f t="shared" si="46"/>
        <v>232973</v>
      </c>
      <c r="J65" s="768">
        <f t="shared" si="46"/>
        <v>10926</v>
      </c>
      <c r="K65" s="768">
        <f t="shared" si="46"/>
        <v>2157</v>
      </c>
      <c r="L65" s="768">
        <f t="shared" si="46"/>
        <v>105878.24100000001</v>
      </c>
      <c r="M65" s="768">
        <f t="shared" si="46"/>
        <v>0</v>
      </c>
      <c r="N65" s="768">
        <f t="shared" si="46"/>
        <v>105878.24100000001</v>
      </c>
      <c r="O65" s="768">
        <f t="shared" si="46"/>
        <v>0</v>
      </c>
      <c r="P65" s="768">
        <f t="shared" si="46"/>
        <v>0</v>
      </c>
      <c r="Q65" s="768">
        <f t="shared" si="46"/>
        <v>130484.851</v>
      </c>
      <c r="R65" s="768">
        <f t="shared" si="46"/>
        <v>0</v>
      </c>
      <c r="S65" s="768">
        <f t="shared" si="46"/>
        <v>130484.851</v>
      </c>
      <c r="T65" s="768">
        <f t="shared" si="46"/>
        <v>0</v>
      </c>
      <c r="U65" s="768">
        <f t="shared" si="46"/>
        <v>0</v>
      </c>
      <c r="V65" s="768">
        <f t="shared" si="46"/>
        <v>107259.974</v>
      </c>
      <c r="W65" s="768">
        <f t="shared" si="46"/>
        <v>0</v>
      </c>
      <c r="X65" s="768">
        <f t="shared" si="46"/>
        <v>107259.974</v>
      </c>
      <c r="Y65" s="768">
        <f t="shared" si="46"/>
        <v>0</v>
      </c>
      <c r="Z65" s="768">
        <f t="shared" si="46"/>
        <v>0</v>
      </c>
      <c r="AA65" s="768">
        <f t="shared" si="46"/>
        <v>82420.411999999997</v>
      </c>
      <c r="AB65" s="768">
        <f t="shared" si="46"/>
        <v>0</v>
      </c>
      <c r="AC65" s="768">
        <f t="shared" si="46"/>
        <v>82420.411999999997</v>
      </c>
      <c r="AD65" s="768">
        <f t="shared" si="46"/>
        <v>0</v>
      </c>
      <c r="AE65" s="768">
        <f t="shared" si="46"/>
        <v>0</v>
      </c>
      <c r="AF65" s="769">
        <f t="shared" si="37"/>
        <v>0.76841722896557851</v>
      </c>
      <c r="AG65" s="769"/>
      <c r="AH65" s="770">
        <f>AC65/X65</f>
        <v>0.76841722896557851</v>
      </c>
      <c r="AI65" s="808"/>
      <c r="AJ65" s="771"/>
      <c r="AK65" s="757"/>
      <c r="AL65" s="749"/>
      <c r="AM65" s="749"/>
      <c r="AN65" s="749"/>
      <c r="AO65" s="749"/>
      <c r="AP65" s="749"/>
      <c r="AQ65" s="749"/>
      <c r="AR65" s="749"/>
      <c r="AS65" s="749"/>
      <c r="AT65" s="749"/>
      <c r="AU65" s="749"/>
      <c r="AV65" s="749"/>
      <c r="AW65" s="749"/>
      <c r="AX65" s="749"/>
      <c r="AY65" s="749"/>
      <c r="AZ65" s="749"/>
      <c r="BA65" s="749"/>
      <c r="BB65" s="749"/>
      <c r="BC65" s="749"/>
      <c r="BD65" s="749"/>
      <c r="BE65" s="749"/>
      <c r="BF65" s="749"/>
      <c r="BG65" s="749"/>
      <c r="BH65" s="749"/>
      <c r="BI65" s="749"/>
    </row>
    <row r="66" spans="1:61" s="772" customFormat="1" ht="26.45" customHeight="1">
      <c r="A66" s="773" t="s">
        <v>475</v>
      </c>
      <c r="B66" s="807" t="s">
        <v>470</v>
      </c>
      <c r="C66" s="766"/>
      <c r="D66" s="766"/>
      <c r="E66" s="767"/>
      <c r="F66" s="767"/>
      <c r="G66" s="768">
        <f>G67+G68</f>
        <v>246056</v>
      </c>
      <c r="H66" s="768">
        <f t="shared" ref="H66:AE66" si="47">H67+H68</f>
        <v>0</v>
      </c>
      <c r="I66" s="768">
        <f t="shared" si="47"/>
        <v>232973</v>
      </c>
      <c r="J66" s="768">
        <f t="shared" si="47"/>
        <v>10926</v>
      </c>
      <c r="K66" s="768">
        <f t="shared" si="47"/>
        <v>2157</v>
      </c>
      <c r="L66" s="768">
        <f t="shared" si="47"/>
        <v>105878.24100000001</v>
      </c>
      <c r="M66" s="768">
        <f t="shared" si="47"/>
        <v>0</v>
      </c>
      <c r="N66" s="768">
        <f t="shared" si="47"/>
        <v>105878.24100000001</v>
      </c>
      <c r="O66" s="768">
        <f t="shared" si="47"/>
        <v>0</v>
      </c>
      <c r="P66" s="768">
        <f t="shared" si="47"/>
        <v>0</v>
      </c>
      <c r="Q66" s="768">
        <f t="shared" si="47"/>
        <v>130484.851</v>
      </c>
      <c r="R66" s="768">
        <f t="shared" si="47"/>
        <v>0</v>
      </c>
      <c r="S66" s="768">
        <f t="shared" si="47"/>
        <v>130484.851</v>
      </c>
      <c r="T66" s="768">
        <f t="shared" si="47"/>
        <v>0</v>
      </c>
      <c r="U66" s="768">
        <f t="shared" si="47"/>
        <v>0</v>
      </c>
      <c r="V66" s="768">
        <f t="shared" si="47"/>
        <v>107259.974</v>
      </c>
      <c r="W66" s="768">
        <f t="shared" si="47"/>
        <v>0</v>
      </c>
      <c r="X66" s="768">
        <f t="shared" si="47"/>
        <v>107259.974</v>
      </c>
      <c r="Y66" s="768">
        <f t="shared" si="47"/>
        <v>0</v>
      </c>
      <c r="Z66" s="768">
        <f t="shared" si="47"/>
        <v>0</v>
      </c>
      <c r="AA66" s="768">
        <f t="shared" si="47"/>
        <v>82420.411999999997</v>
      </c>
      <c r="AB66" s="768">
        <f t="shared" si="47"/>
        <v>0</v>
      </c>
      <c r="AC66" s="768">
        <f t="shared" si="47"/>
        <v>82420.411999999997</v>
      </c>
      <c r="AD66" s="768">
        <f t="shared" si="47"/>
        <v>0</v>
      </c>
      <c r="AE66" s="768">
        <f t="shared" si="47"/>
        <v>0</v>
      </c>
      <c r="AF66" s="769">
        <f t="shared" si="37"/>
        <v>0.76841722896557851</v>
      </c>
      <c r="AG66" s="769"/>
      <c r="AH66" s="770">
        <f>AC66/X66</f>
        <v>0.76841722896557851</v>
      </c>
      <c r="AI66" s="770"/>
      <c r="AJ66" s="771"/>
      <c r="AK66" s="757"/>
      <c r="AL66" s="749"/>
      <c r="AM66" s="749"/>
      <c r="AN66" s="749"/>
      <c r="AO66" s="749"/>
      <c r="AP66" s="749"/>
      <c r="AQ66" s="749"/>
      <c r="AR66" s="749"/>
      <c r="AS66" s="749"/>
      <c r="AT66" s="749"/>
      <c r="AU66" s="749"/>
      <c r="AV66" s="749"/>
      <c r="AW66" s="749"/>
      <c r="AX66" s="749"/>
      <c r="AY66" s="749"/>
      <c r="AZ66" s="749"/>
      <c r="BA66" s="749"/>
      <c r="BB66" s="749"/>
      <c r="BC66" s="749"/>
      <c r="BD66" s="749"/>
      <c r="BE66" s="749"/>
      <c r="BF66" s="749"/>
      <c r="BG66" s="749"/>
      <c r="BH66" s="749"/>
      <c r="BI66" s="749"/>
    </row>
    <row r="67" spans="1:61" s="772" customFormat="1" ht="26.45" customHeight="1">
      <c r="A67" s="773"/>
      <c r="B67" s="801" t="s">
        <v>60</v>
      </c>
      <c r="C67" s="766"/>
      <c r="D67" s="766"/>
      <c r="E67" s="767"/>
      <c r="F67" s="767"/>
      <c r="G67" s="768">
        <f>G71+G76+G87</f>
        <v>246056</v>
      </c>
      <c r="H67" s="768">
        <f t="shared" ref="H67:AE67" si="48">H71+H76+H87</f>
        <v>0</v>
      </c>
      <c r="I67" s="768">
        <f t="shared" si="48"/>
        <v>232973</v>
      </c>
      <c r="J67" s="768">
        <f t="shared" si="48"/>
        <v>10926</v>
      </c>
      <c r="K67" s="768">
        <f t="shared" si="48"/>
        <v>2157</v>
      </c>
      <c r="L67" s="768">
        <f t="shared" si="48"/>
        <v>105878.24100000001</v>
      </c>
      <c r="M67" s="768">
        <f t="shared" si="48"/>
        <v>0</v>
      </c>
      <c r="N67" s="768">
        <f t="shared" si="48"/>
        <v>105878.24100000001</v>
      </c>
      <c r="O67" s="768">
        <f t="shared" si="48"/>
        <v>0</v>
      </c>
      <c r="P67" s="768">
        <f t="shared" si="48"/>
        <v>0</v>
      </c>
      <c r="Q67" s="768">
        <f t="shared" si="48"/>
        <v>130484.851</v>
      </c>
      <c r="R67" s="768">
        <f t="shared" si="48"/>
        <v>0</v>
      </c>
      <c r="S67" s="768">
        <f t="shared" si="48"/>
        <v>130484.851</v>
      </c>
      <c r="T67" s="768">
        <f t="shared" si="48"/>
        <v>0</v>
      </c>
      <c r="U67" s="768">
        <f t="shared" si="48"/>
        <v>0</v>
      </c>
      <c r="V67" s="768">
        <f t="shared" si="48"/>
        <v>107259.974</v>
      </c>
      <c r="W67" s="768">
        <f t="shared" si="48"/>
        <v>0</v>
      </c>
      <c r="X67" s="768">
        <f t="shared" si="48"/>
        <v>107259.974</v>
      </c>
      <c r="Y67" s="768">
        <f t="shared" si="48"/>
        <v>0</v>
      </c>
      <c r="Z67" s="768">
        <f t="shared" si="48"/>
        <v>0</v>
      </c>
      <c r="AA67" s="768">
        <f t="shared" si="48"/>
        <v>82420.411999999997</v>
      </c>
      <c r="AB67" s="768">
        <f t="shared" si="48"/>
        <v>0</v>
      </c>
      <c r="AC67" s="768">
        <f t="shared" si="48"/>
        <v>82420.411999999997</v>
      </c>
      <c r="AD67" s="768">
        <f t="shared" si="48"/>
        <v>0</v>
      </c>
      <c r="AE67" s="768">
        <f t="shared" si="48"/>
        <v>0</v>
      </c>
      <c r="AF67" s="769">
        <f t="shared" si="37"/>
        <v>0.76841722896557851</v>
      </c>
      <c r="AG67" s="771"/>
      <c r="AH67" s="770">
        <f>AC67/X67</f>
        <v>0.76841722896557851</v>
      </c>
      <c r="AI67" s="770"/>
      <c r="AJ67" s="771"/>
      <c r="AK67" s="757"/>
      <c r="AL67" s="749"/>
      <c r="AM67" s="749"/>
      <c r="AN67" s="749"/>
      <c r="AO67" s="749"/>
      <c r="AP67" s="749"/>
      <c r="AQ67" s="749"/>
      <c r="AR67" s="749"/>
      <c r="AS67" s="749"/>
      <c r="AT67" s="749"/>
      <c r="AU67" s="749"/>
      <c r="AV67" s="749"/>
      <c r="AW67" s="749"/>
      <c r="AX67" s="749"/>
      <c r="AY67" s="749"/>
      <c r="AZ67" s="749"/>
      <c r="BA67" s="749"/>
      <c r="BB67" s="749"/>
      <c r="BC67" s="749"/>
      <c r="BD67" s="749"/>
      <c r="BE67" s="749"/>
      <c r="BF67" s="749"/>
      <c r="BG67" s="749"/>
      <c r="BH67" s="749"/>
      <c r="BI67" s="749"/>
    </row>
    <row r="68" spans="1:61" s="772" customFormat="1" ht="26.45" customHeight="1">
      <c r="A68" s="773"/>
      <c r="B68" s="801" t="s">
        <v>397</v>
      </c>
      <c r="C68" s="766"/>
      <c r="D68" s="766"/>
      <c r="E68" s="767"/>
      <c r="F68" s="767"/>
      <c r="G68" s="768">
        <f>G73+G85+G116</f>
        <v>0</v>
      </c>
      <c r="H68" s="768">
        <f t="shared" ref="H68:AE68" si="49">H73+H85+H116</f>
        <v>0</v>
      </c>
      <c r="I68" s="768">
        <f t="shared" si="49"/>
        <v>0</v>
      </c>
      <c r="J68" s="768">
        <f t="shared" si="49"/>
        <v>0</v>
      </c>
      <c r="K68" s="768">
        <f t="shared" si="49"/>
        <v>0</v>
      </c>
      <c r="L68" s="768">
        <f t="shared" si="49"/>
        <v>0</v>
      </c>
      <c r="M68" s="768">
        <f t="shared" si="49"/>
        <v>0</v>
      </c>
      <c r="N68" s="768">
        <f t="shared" si="49"/>
        <v>0</v>
      </c>
      <c r="O68" s="768">
        <f t="shared" si="49"/>
        <v>0</v>
      </c>
      <c r="P68" s="768">
        <f t="shared" si="49"/>
        <v>0</v>
      </c>
      <c r="Q68" s="768">
        <f t="shared" si="49"/>
        <v>0</v>
      </c>
      <c r="R68" s="768">
        <f t="shared" si="49"/>
        <v>0</v>
      </c>
      <c r="S68" s="768">
        <f t="shared" si="49"/>
        <v>0</v>
      </c>
      <c r="T68" s="768">
        <f t="shared" si="49"/>
        <v>0</v>
      </c>
      <c r="U68" s="768">
        <f t="shared" si="49"/>
        <v>0</v>
      </c>
      <c r="V68" s="768">
        <f t="shared" si="49"/>
        <v>0</v>
      </c>
      <c r="W68" s="768">
        <f t="shared" si="49"/>
        <v>0</v>
      </c>
      <c r="X68" s="768">
        <f t="shared" si="49"/>
        <v>0</v>
      </c>
      <c r="Y68" s="768">
        <f t="shared" si="49"/>
        <v>0</v>
      </c>
      <c r="Z68" s="768">
        <f t="shared" si="49"/>
        <v>0</v>
      </c>
      <c r="AA68" s="768">
        <f t="shared" si="49"/>
        <v>0</v>
      </c>
      <c r="AB68" s="768">
        <f t="shared" si="49"/>
        <v>0</v>
      </c>
      <c r="AC68" s="768">
        <f t="shared" si="49"/>
        <v>0</v>
      </c>
      <c r="AD68" s="768">
        <f t="shared" si="49"/>
        <v>0</v>
      </c>
      <c r="AE68" s="768">
        <f t="shared" si="49"/>
        <v>0</v>
      </c>
      <c r="AF68" s="769"/>
      <c r="AG68" s="769"/>
      <c r="AH68" s="770"/>
      <c r="AI68" s="770"/>
      <c r="AJ68" s="771"/>
      <c r="AK68" s="757"/>
      <c r="AL68" s="749"/>
      <c r="AM68" s="749"/>
      <c r="AN68" s="749"/>
      <c r="AO68" s="749"/>
      <c r="AP68" s="749"/>
      <c r="AQ68" s="749"/>
      <c r="AR68" s="749"/>
      <c r="AS68" s="749"/>
      <c r="AT68" s="749"/>
      <c r="AU68" s="749"/>
      <c r="AV68" s="749"/>
      <c r="AW68" s="749"/>
      <c r="AX68" s="749"/>
      <c r="AY68" s="749"/>
      <c r="AZ68" s="749"/>
      <c r="BA68" s="749"/>
      <c r="BB68" s="749"/>
      <c r="BC68" s="749"/>
      <c r="BD68" s="749"/>
      <c r="BE68" s="749"/>
      <c r="BF68" s="749"/>
      <c r="BG68" s="749"/>
      <c r="BH68" s="749"/>
      <c r="BI68" s="749"/>
    </row>
    <row r="69" spans="1:61" s="772" customFormat="1" ht="26.45" customHeight="1">
      <c r="A69" s="773" t="s">
        <v>700</v>
      </c>
      <c r="B69" s="801" t="s">
        <v>701</v>
      </c>
      <c r="C69" s="766"/>
      <c r="D69" s="766"/>
      <c r="E69" s="767"/>
      <c r="F69" s="767"/>
      <c r="G69" s="768">
        <f>G70</f>
        <v>11000</v>
      </c>
      <c r="H69" s="768">
        <f t="shared" ref="H69:AE69" si="50">H70</f>
        <v>0</v>
      </c>
      <c r="I69" s="768">
        <f t="shared" si="50"/>
        <v>10074</v>
      </c>
      <c r="J69" s="768">
        <f t="shared" si="50"/>
        <v>926</v>
      </c>
      <c r="K69" s="768">
        <f t="shared" si="50"/>
        <v>0</v>
      </c>
      <c r="L69" s="768">
        <f t="shared" si="50"/>
        <v>4809</v>
      </c>
      <c r="M69" s="768">
        <f t="shared" si="50"/>
        <v>0</v>
      </c>
      <c r="N69" s="768">
        <f t="shared" si="50"/>
        <v>4809</v>
      </c>
      <c r="O69" s="768">
        <f t="shared" si="50"/>
        <v>0</v>
      </c>
      <c r="P69" s="768">
        <f t="shared" si="50"/>
        <v>0</v>
      </c>
      <c r="Q69" s="768">
        <f t="shared" si="50"/>
        <v>4809</v>
      </c>
      <c r="R69" s="768">
        <f t="shared" si="50"/>
        <v>0</v>
      </c>
      <c r="S69" s="768">
        <f t="shared" si="50"/>
        <v>4809</v>
      </c>
      <c r="T69" s="768">
        <f t="shared" si="50"/>
        <v>0</v>
      </c>
      <c r="U69" s="768">
        <f t="shared" si="50"/>
        <v>0</v>
      </c>
      <c r="V69" s="768">
        <f t="shared" si="50"/>
        <v>139.952</v>
      </c>
      <c r="W69" s="768">
        <f t="shared" si="50"/>
        <v>0</v>
      </c>
      <c r="X69" s="768">
        <f t="shared" si="50"/>
        <v>139.952</v>
      </c>
      <c r="Y69" s="768">
        <f t="shared" si="50"/>
        <v>0</v>
      </c>
      <c r="Z69" s="768">
        <f t="shared" si="50"/>
        <v>0</v>
      </c>
      <c r="AA69" s="768">
        <f t="shared" si="50"/>
        <v>0</v>
      </c>
      <c r="AB69" s="768">
        <f t="shared" si="50"/>
        <v>0</v>
      </c>
      <c r="AC69" s="768">
        <f t="shared" si="50"/>
        <v>0</v>
      </c>
      <c r="AD69" s="768">
        <f t="shared" si="50"/>
        <v>0</v>
      </c>
      <c r="AE69" s="768">
        <f t="shared" si="50"/>
        <v>0</v>
      </c>
      <c r="AF69" s="769">
        <f t="shared" si="37"/>
        <v>0</v>
      </c>
      <c r="AG69" s="769"/>
      <c r="AH69" s="770">
        <f t="shared" ref="AH69" si="51">AC69/X69</f>
        <v>0</v>
      </c>
      <c r="AI69" s="770"/>
      <c r="AJ69" s="771"/>
      <c r="AK69" s="757"/>
      <c r="AL69" s="749"/>
      <c r="AM69" s="749"/>
      <c r="AN69" s="749"/>
      <c r="AO69" s="749"/>
      <c r="AP69" s="749"/>
      <c r="AQ69" s="749"/>
      <c r="AR69" s="749"/>
      <c r="AS69" s="749"/>
      <c r="AT69" s="749"/>
      <c r="AU69" s="749"/>
      <c r="AV69" s="749"/>
      <c r="AW69" s="749"/>
      <c r="AX69" s="749"/>
      <c r="AY69" s="749"/>
      <c r="AZ69" s="749"/>
      <c r="BA69" s="749"/>
      <c r="BB69" s="749"/>
      <c r="BC69" s="749"/>
      <c r="BD69" s="749"/>
      <c r="BE69" s="749"/>
      <c r="BF69" s="749"/>
      <c r="BG69" s="749"/>
      <c r="BH69" s="749"/>
      <c r="BI69" s="749"/>
    </row>
    <row r="70" spans="1:61" s="772" customFormat="1" ht="43.5" customHeight="1">
      <c r="A70" s="789" t="s">
        <v>279</v>
      </c>
      <c r="B70" s="809" t="s">
        <v>702</v>
      </c>
      <c r="C70" s="766"/>
      <c r="D70" s="766"/>
      <c r="E70" s="767"/>
      <c r="F70" s="767"/>
      <c r="G70" s="768">
        <f>G71+G73</f>
        <v>11000</v>
      </c>
      <c r="H70" s="768">
        <f t="shared" ref="H70:AE70" si="52">H71+H73</f>
        <v>0</v>
      </c>
      <c r="I70" s="768">
        <f t="shared" si="52"/>
        <v>10074</v>
      </c>
      <c r="J70" s="768">
        <f t="shared" si="52"/>
        <v>926</v>
      </c>
      <c r="K70" s="768">
        <f t="shared" si="52"/>
        <v>0</v>
      </c>
      <c r="L70" s="768">
        <f t="shared" si="52"/>
        <v>4809</v>
      </c>
      <c r="M70" s="768">
        <f t="shared" si="52"/>
        <v>0</v>
      </c>
      <c r="N70" s="768">
        <f t="shared" si="52"/>
        <v>4809</v>
      </c>
      <c r="O70" s="768">
        <f t="shared" si="52"/>
        <v>0</v>
      </c>
      <c r="P70" s="768">
        <f t="shared" si="52"/>
        <v>0</v>
      </c>
      <c r="Q70" s="768">
        <f t="shared" si="52"/>
        <v>4809</v>
      </c>
      <c r="R70" s="768">
        <f t="shared" si="52"/>
        <v>0</v>
      </c>
      <c r="S70" s="768">
        <f t="shared" si="52"/>
        <v>4809</v>
      </c>
      <c r="T70" s="768">
        <f t="shared" si="52"/>
        <v>0</v>
      </c>
      <c r="U70" s="768">
        <f t="shared" si="52"/>
        <v>0</v>
      </c>
      <c r="V70" s="768">
        <f t="shared" si="52"/>
        <v>139.952</v>
      </c>
      <c r="W70" s="768">
        <f t="shared" si="52"/>
        <v>0</v>
      </c>
      <c r="X70" s="768">
        <f t="shared" si="52"/>
        <v>139.952</v>
      </c>
      <c r="Y70" s="768">
        <f t="shared" si="52"/>
        <v>0</v>
      </c>
      <c r="Z70" s="768">
        <f t="shared" si="52"/>
        <v>0</v>
      </c>
      <c r="AA70" s="768">
        <f t="shared" si="52"/>
        <v>0</v>
      </c>
      <c r="AB70" s="768">
        <f t="shared" si="52"/>
        <v>0</v>
      </c>
      <c r="AC70" s="768">
        <f t="shared" si="52"/>
        <v>0</v>
      </c>
      <c r="AD70" s="768">
        <f t="shared" si="52"/>
        <v>0</v>
      </c>
      <c r="AE70" s="768">
        <f t="shared" si="52"/>
        <v>0</v>
      </c>
      <c r="AF70" s="769">
        <f>AA70/V70</f>
        <v>0</v>
      </c>
      <c r="AG70" s="771"/>
      <c r="AH70" s="770">
        <f>AC70/X70</f>
        <v>0</v>
      </c>
      <c r="AI70" s="770"/>
      <c r="AJ70" s="771"/>
      <c r="AK70" s="757"/>
      <c r="AL70" s="749"/>
      <c r="AM70" s="749"/>
      <c r="AN70" s="749"/>
      <c r="AO70" s="749"/>
      <c r="AP70" s="749"/>
      <c r="AQ70" s="749"/>
      <c r="AR70" s="749"/>
      <c r="AS70" s="749"/>
      <c r="AT70" s="749"/>
      <c r="AU70" s="749"/>
      <c r="AV70" s="749"/>
      <c r="AW70" s="749"/>
      <c r="AX70" s="749"/>
      <c r="AY70" s="749"/>
      <c r="AZ70" s="749"/>
      <c r="BA70" s="749"/>
      <c r="BB70" s="749"/>
      <c r="BC70" s="749"/>
      <c r="BD70" s="749"/>
      <c r="BE70" s="749"/>
      <c r="BF70" s="749"/>
      <c r="BG70" s="749"/>
      <c r="BH70" s="749"/>
      <c r="BI70" s="749"/>
    </row>
    <row r="71" spans="1:61" s="772" customFormat="1" ht="30" customHeight="1">
      <c r="A71" s="789" t="s">
        <v>440</v>
      </c>
      <c r="B71" s="809" t="s">
        <v>60</v>
      </c>
      <c r="C71" s="766"/>
      <c r="D71" s="766"/>
      <c r="E71" s="767"/>
      <c r="F71" s="767"/>
      <c r="G71" s="768">
        <f>G72</f>
        <v>11000</v>
      </c>
      <c r="H71" s="768">
        <f>H72</f>
        <v>0</v>
      </c>
      <c r="I71" s="768">
        <f>I72</f>
        <v>10074</v>
      </c>
      <c r="J71" s="768">
        <f>J72</f>
        <v>926</v>
      </c>
      <c r="K71" s="768">
        <f>K72</f>
        <v>0</v>
      </c>
      <c r="L71" s="768">
        <f t="shared" ref="L71:AE71" si="53">L72</f>
        <v>4809</v>
      </c>
      <c r="M71" s="768">
        <f t="shared" si="53"/>
        <v>0</v>
      </c>
      <c r="N71" s="768">
        <f t="shared" si="53"/>
        <v>4809</v>
      </c>
      <c r="O71" s="768">
        <f t="shared" si="53"/>
        <v>0</v>
      </c>
      <c r="P71" s="768">
        <f t="shared" si="53"/>
        <v>0</v>
      </c>
      <c r="Q71" s="768">
        <f t="shared" si="53"/>
        <v>4809</v>
      </c>
      <c r="R71" s="768">
        <f t="shared" si="53"/>
        <v>0</v>
      </c>
      <c r="S71" s="768">
        <f t="shared" si="53"/>
        <v>4809</v>
      </c>
      <c r="T71" s="768">
        <f t="shared" si="53"/>
        <v>0</v>
      </c>
      <c r="U71" s="768">
        <f t="shared" si="53"/>
        <v>0</v>
      </c>
      <c r="V71" s="768">
        <f t="shared" si="53"/>
        <v>139.952</v>
      </c>
      <c r="W71" s="768">
        <f t="shared" si="53"/>
        <v>0</v>
      </c>
      <c r="X71" s="768">
        <f t="shared" si="53"/>
        <v>139.952</v>
      </c>
      <c r="Y71" s="768">
        <f t="shared" si="53"/>
        <v>0</v>
      </c>
      <c r="Z71" s="768">
        <f t="shared" si="53"/>
        <v>0</v>
      </c>
      <c r="AA71" s="768">
        <f t="shared" si="53"/>
        <v>0</v>
      </c>
      <c r="AB71" s="768">
        <f t="shared" si="53"/>
        <v>0</v>
      </c>
      <c r="AC71" s="768">
        <f t="shared" si="53"/>
        <v>0</v>
      </c>
      <c r="AD71" s="768">
        <f t="shared" si="53"/>
        <v>0</v>
      </c>
      <c r="AE71" s="768">
        <f t="shared" si="53"/>
        <v>0</v>
      </c>
      <c r="AF71" s="769">
        <f>AA71/V71</f>
        <v>0</v>
      </c>
      <c r="AG71" s="771"/>
      <c r="AH71" s="770">
        <f>AC71/X71</f>
        <v>0</v>
      </c>
      <c r="AI71" s="770"/>
      <c r="AJ71" s="771"/>
      <c r="AK71" s="757"/>
      <c r="AL71" s="749"/>
      <c r="AM71" s="749"/>
      <c r="AN71" s="749"/>
      <c r="AO71" s="749"/>
      <c r="AP71" s="749"/>
      <c r="AQ71" s="749"/>
      <c r="AR71" s="749"/>
      <c r="AS71" s="749"/>
      <c r="AT71" s="749"/>
      <c r="AU71" s="749"/>
      <c r="AV71" s="749"/>
      <c r="AW71" s="749"/>
      <c r="AX71" s="749"/>
      <c r="AY71" s="749"/>
      <c r="AZ71" s="749"/>
      <c r="BA71" s="749"/>
      <c r="BB71" s="749"/>
      <c r="BC71" s="749"/>
      <c r="BD71" s="749"/>
      <c r="BE71" s="749"/>
      <c r="BF71" s="749"/>
      <c r="BG71" s="749"/>
      <c r="BH71" s="749"/>
      <c r="BI71" s="749"/>
    </row>
    <row r="72" spans="1:61" s="772" customFormat="1" ht="43.5" customHeight="1">
      <c r="A72" s="789"/>
      <c r="B72" s="810" t="s">
        <v>471</v>
      </c>
      <c r="C72" s="811" t="s">
        <v>288</v>
      </c>
      <c r="D72" s="811"/>
      <c r="E72" s="812" t="s">
        <v>385</v>
      </c>
      <c r="F72" s="813" t="s">
        <v>472</v>
      </c>
      <c r="G72" s="814">
        <f>H72+I72+J72+K72</f>
        <v>11000</v>
      </c>
      <c r="H72" s="814"/>
      <c r="I72" s="814">
        <v>10074</v>
      </c>
      <c r="J72" s="814">
        <v>926</v>
      </c>
      <c r="K72" s="814"/>
      <c r="L72" s="781">
        <f>N72</f>
        <v>4809</v>
      </c>
      <c r="M72" s="781"/>
      <c r="N72" s="781">
        <v>4809</v>
      </c>
      <c r="O72" s="781"/>
      <c r="P72" s="781"/>
      <c r="Q72" s="781">
        <f>S72</f>
        <v>4809</v>
      </c>
      <c r="R72" s="781"/>
      <c r="S72" s="781">
        <v>4809</v>
      </c>
      <c r="T72" s="781"/>
      <c r="U72" s="814"/>
      <c r="V72" s="781">
        <f>W72+X72+Y72+Z72</f>
        <v>139.952</v>
      </c>
      <c r="W72" s="781"/>
      <c r="X72" s="781">
        <v>139.952</v>
      </c>
      <c r="Y72" s="781"/>
      <c r="Z72" s="781"/>
      <c r="AA72" s="781">
        <f>AB72+AC72+AD72+AE72</f>
        <v>0</v>
      </c>
      <c r="AB72" s="781">
        <v>0</v>
      </c>
      <c r="AC72" s="781">
        <v>0</v>
      </c>
      <c r="AD72" s="781"/>
      <c r="AE72" s="782"/>
      <c r="AF72" s="783">
        <f>AA72/V72</f>
        <v>0</v>
      </c>
      <c r="AG72" s="784"/>
      <c r="AH72" s="785">
        <f>AC72/X72</f>
        <v>0</v>
      </c>
      <c r="AI72" s="785"/>
      <c r="AJ72" s="784"/>
      <c r="AK72" s="757"/>
      <c r="AL72" s="749"/>
      <c r="AM72" s="749"/>
      <c r="AN72" s="749"/>
      <c r="AO72" s="749"/>
      <c r="AP72" s="749"/>
      <c r="AQ72" s="749"/>
      <c r="AR72" s="749"/>
      <c r="AS72" s="749"/>
      <c r="AT72" s="749"/>
      <c r="AU72" s="749"/>
      <c r="AV72" s="749"/>
      <c r="AW72" s="749"/>
      <c r="AX72" s="749"/>
      <c r="AY72" s="749"/>
      <c r="AZ72" s="749"/>
      <c r="BA72" s="749"/>
      <c r="BB72" s="749"/>
      <c r="BC72" s="749"/>
      <c r="BD72" s="749"/>
      <c r="BE72" s="749"/>
      <c r="BF72" s="749"/>
      <c r="BG72" s="749"/>
      <c r="BH72" s="749"/>
      <c r="BI72" s="749"/>
    </row>
    <row r="73" spans="1:61" s="772" customFormat="1" ht="29.25" customHeight="1">
      <c r="A73" s="789" t="s">
        <v>446</v>
      </c>
      <c r="B73" s="809" t="s">
        <v>397</v>
      </c>
      <c r="C73" s="766"/>
      <c r="D73" s="766"/>
      <c r="E73" s="767"/>
      <c r="F73" s="767"/>
      <c r="G73" s="768"/>
      <c r="H73" s="768"/>
      <c r="I73" s="768"/>
      <c r="J73" s="768"/>
      <c r="K73" s="768"/>
      <c r="L73" s="768"/>
      <c r="M73" s="768"/>
      <c r="N73" s="768"/>
      <c r="O73" s="768"/>
      <c r="P73" s="768"/>
      <c r="Q73" s="768"/>
      <c r="R73" s="768"/>
      <c r="S73" s="768"/>
      <c r="T73" s="768"/>
      <c r="U73" s="768"/>
      <c r="V73" s="781"/>
      <c r="W73" s="781"/>
      <c r="X73" s="781"/>
      <c r="Y73" s="781"/>
      <c r="Z73" s="781"/>
      <c r="AA73" s="781"/>
      <c r="AB73" s="781"/>
      <c r="AC73" s="781"/>
      <c r="AD73" s="781"/>
      <c r="AE73" s="782"/>
      <c r="AF73" s="783"/>
      <c r="AG73" s="784"/>
      <c r="AH73" s="785"/>
      <c r="AI73" s="785"/>
      <c r="AJ73" s="784"/>
      <c r="AK73" s="757"/>
      <c r="AL73" s="749"/>
      <c r="AM73" s="749"/>
      <c r="AN73" s="749"/>
      <c r="AO73" s="749"/>
      <c r="AP73" s="749"/>
      <c r="AQ73" s="749"/>
      <c r="AR73" s="749"/>
      <c r="AS73" s="749"/>
      <c r="AT73" s="749"/>
      <c r="AU73" s="749"/>
      <c r="AV73" s="749"/>
      <c r="AW73" s="749"/>
      <c r="AX73" s="749"/>
      <c r="AY73" s="749"/>
      <c r="AZ73" s="749"/>
      <c r="BA73" s="749"/>
      <c r="BB73" s="749"/>
      <c r="BC73" s="749"/>
      <c r="BD73" s="749"/>
      <c r="BE73" s="749"/>
      <c r="BF73" s="749"/>
      <c r="BG73" s="749"/>
      <c r="BH73" s="749"/>
      <c r="BI73" s="749"/>
    </row>
    <row r="74" spans="1:61" s="772" customFormat="1" ht="24.4" customHeight="1">
      <c r="A74" s="789" t="s">
        <v>704</v>
      </c>
      <c r="B74" s="801" t="s">
        <v>705</v>
      </c>
      <c r="C74" s="766"/>
      <c r="D74" s="766"/>
      <c r="E74" s="767"/>
      <c r="F74" s="767"/>
      <c r="G74" s="768">
        <f>G75+G86</f>
        <v>235056</v>
      </c>
      <c r="H74" s="768">
        <f t="shared" ref="H74:AE74" si="54">H75+H86</f>
        <v>0</v>
      </c>
      <c r="I74" s="768">
        <f t="shared" si="54"/>
        <v>222899</v>
      </c>
      <c r="J74" s="768">
        <f t="shared" si="54"/>
        <v>10000</v>
      </c>
      <c r="K74" s="768">
        <f t="shared" si="54"/>
        <v>2157</v>
      </c>
      <c r="L74" s="768">
        <f t="shared" si="54"/>
        <v>101069.24100000001</v>
      </c>
      <c r="M74" s="768">
        <f t="shared" si="54"/>
        <v>0</v>
      </c>
      <c r="N74" s="768">
        <f t="shared" si="54"/>
        <v>101069.24100000001</v>
      </c>
      <c r="O74" s="768">
        <f t="shared" si="54"/>
        <v>0</v>
      </c>
      <c r="P74" s="768">
        <f t="shared" si="54"/>
        <v>0</v>
      </c>
      <c r="Q74" s="768">
        <f t="shared" si="54"/>
        <v>125675.851</v>
      </c>
      <c r="R74" s="768">
        <f t="shared" si="54"/>
        <v>0</v>
      </c>
      <c r="S74" s="768">
        <f t="shared" si="54"/>
        <v>125675.851</v>
      </c>
      <c r="T74" s="768">
        <f t="shared" si="54"/>
        <v>0</v>
      </c>
      <c r="U74" s="768">
        <f t="shared" si="54"/>
        <v>0</v>
      </c>
      <c r="V74" s="768">
        <f t="shared" si="54"/>
        <v>107120.022</v>
      </c>
      <c r="W74" s="768">
        <f t="shared" si="54"/>
        <v>0</v>
      </c>
      <c r="X74" s="768">
        <f t="shared" si="54"/>
        <v>107120.022</v>
      </c>
      <c r="Y74" s="768">
        <f t="shared" si="54"/>
        <v>0</v>
      </c>
      <c r="Z74" s="768">
        <f t="shared" si="54"/>
        <v>0</v>
      </c>
      <c r="AA74" s="768">
        <f t="shared" si="54"/>
        <v>82420.411999999997</v>
      </c>
      <c r="AB74" s="768">
        <f t="shared" si="54"/>
        <v>0</v>
      </c>
      <c r="AC74" s="768">
        <f t="shared" si="54"/>
        <v>82420.411999999997</v>
      </c>
      <c r="AD74" s="768">
        <f t="shared" si="54"/>
        <v>0</v>
      </c>
      <c r="AE74" s="768">
        <f t="shared" si="54"/>
        <v>0</v>
      </c>
      <c r="AF74" s="769">
        <f t="shared" ref="AF74:AF81" si="55">AA74/V74</f>
        <v>0.76942116386047787</v>
      </c>
      <c r="AG74" s="771"/>
      <c r="AH74" s="769">
        <f t="shared" ref="AH74:AH81" si="56">AC74/X74</f>
        <v>0.76942116386047787</v>
      </c>
      <c r="AI74" s="770"/>
      <c r="AJ74" s="771"/>
      <c r="AK74" s="757"/>
      <c r="AL74" s="749"/>
      <c r="AM74" s="749"/>
      <c r="AN74" s="749"/>
      <c r="AO74" s="749"/>
      <c r="AP74" s="749"/>
      <c r="AQ74" s="749"/>
      <c r="AR74" s="749"/>
      <c r="AS74" s="749"/>
      <c r="AT74" s="749"/>
      <c r="AU74" s="749"/>
      <c r="AV74" s="749"/>
      <c r="AW74" s="749"/>
      <c r="AX74" s="749"/>
      <c r="AY74" s="749"/>
      <c r="AZ74" s="749"/>
      <c r="BA74" s="749"/>
      <c r="BB74" s="749"/>
      <c r="BC74" s="749"/>
      <c r="BD74" s="749"/>
      <c r="BE74" s="749"/>
      <c r="BF74" s="749"/>
      <c r="BG74" s="749"/>
      <c r="BH74" s="749"/>
      <c r="BI74" s="749"/>
    </row>
    <row r="75" spans="1:61" s="772" customFormat="1" ht="39.75" customHeight="1">
      <c r="A75" s="789" t="s">
        <v>279</v>
      </c>
      <c r="B75" s="809" t="s">
        <v>706</v>
      </c>
      <c r="C75" s="766"/>
      <c r="D75" s="766"/>
      <c r="E75" s="767"/>
      <c r="F75" s="767"/>
      <c r="G75" s="768">
        <f>G76+G85</f>
        <v>37050</v>
      </c>
      <c r="H75" s="768">
        <f t="shared" ref="H75:AE75" si="57">H76+H85</f>
        <v>0</v>
      </c>
      <c r="I75" s="768">
        <f t="shared" si="57"/>
        <v>25027</v>
      </c>
      <c r="J75" s="768">
        <f t="shared" si="57"/>
        <v>10000</v>
      </c>
      <c r="K75" s="768">
        <f t="shared" si="57"/>
        <v>2023</v>
      </c>
      <c r="L75" s="768">
        <f t="shared" si="57"/>
        <v>24268.642</v>
      </c>
      <c r="M75" s="768">
        <f t="shared" si="57"/>
        <v>0</v>
      </c>
      <c r="N75" s="768">
        <f t="shared" si="57"/>
        <v>24268.642</v>
      </c>
      <c r="O75" s="768">
        <f t="shared" si="57"/>
        <v>0</v>
      </c>
      <c r="P75" s="768">
        <f t="shared" si="57"/>
        <v>0</v>
      </c>
      <c r="Q75" s="768">
        <f t="shared" si="57"/>
        <v>26243.366000000002</v>
      </c>
      <c r="R75" s="768">
        <f t="shared" si="57"/>
        <v>0</v>
      </c>
      <c r="S75" s="768">
        <f t="shared" si="57"/>
        <v>26243.366000000002</v>
      </c>
      <c r="T75" s="768">
        <f t="shared" si="57"/>
        <v>0</v>
      </c>
      <c r="U75" s="768">
        <f t="shared" si="57"/>
        <v>0</v>
      </c>
      <c r="V75" s="768">
        <f t="shared" si="57"/>
        <v>10034.822</v>
      </c>
      <c r="W75" s="768">
        <f t="shared" si="57"/>
        <v>0</v>
      </c>
      <c r="X75" s="768">
        <f t="shared" si="57"/>
        <v>10034.822</v>
      </c>
      <c r="Y75" s="768">
        <f t="shared" si="57"/>
        <v>0</v>
      </c>
      <c r="Z75" s="768">
        <f t="shared" si="57"/>
        <v>0</v>
      </c>
      <c r="AA75" s="768">
        <f t="shared" si="57"/>
        <v>7967.098</v>
      </c>
      <c r="AB75" s="768">
        <f t="shared" si="57"/>
        <v>0</v>
      </c>
      <c r="AC75" s="768">
        <f t="shared" si="57"/>
        <v>7967.098</v>
      </c>
      <c r="AD75" s="768">
        <f t="shared" si="57"/>
        <v>0</v>
      </c>
      <c r="AE75" s="768">
        <f t="shared" si="57"/>
        <v>0</v>
      </c>
      <c r="AF75" s="769">
        <f t="shared" si="55"/>
        <v>0.79394512428820363</v>
      </c>
      <c r="AG75" s="771"/>
      <c r="AH75" s="769">
        <f t="shared" si="56"/>
        <v>0.79394512428820363</v>
      </c>
      <c r="AI75" s="770"/>
      <c r="AJ75" s="771"/>
      <c r="AK75" s="757"/>
      <c r="AL75" s="749"/>
      <c r="AM75" s="749"/>
      <c r="AN75" s="749"/>
      <c r="AO75" s="749"/>
      <c r="AP75" s="749"/>
      <c r="AQ75" s="749"/>
      <c r="AR75" s="749"/>
      <c r="AS75" s="749"/>
      <c r="AT75" s="749"/>
      <c r="AU75" s="749"/>
      <c r="AV75" s="749"/>
      <c r="AW75" s="749"/>
      <c r="AX75" s="749"/>
      <c r="AY75" s="749"/>
      <c r="AZ75" s="749"/>
      <c r="BA75" s="749"/>
      <c r="BB75" s="749"/>
      <c r="BC75" s="749"/>
      <c r="BD75" s="749"/>
      <c r="BE75" s="749"/>
      <c r="BF75" s="749"/>
      <c r="BG75" s="749"/>
      <c r="BH75" s="749"/>
      <c r="BI75" s="749"/>
    </row>
    <row r="76" spans="1:61" s="772" customFormat="1" ht="24.4" customHeight="1">
      <c r="A76" s="773" t="s">
        <v>440</v>
      </c>
      <c r="B76" s="809" t="s">
        <v>60</v>
      </c>
      <c r="C76" s="766"/>
      <c r="D76" s="766"/>
      <c r="E76" s="767"/>
      <c r="F76" s="767"/>
      <c r="G76" s="768">
        <f>G77+G82</f>
        <v>37050</v>
      </c>
      <c r="H76" s="768">
        <f t="shared" ref="H76:AE76" si="58">H77+H82</f>
        <v>0</v>
      </c>
      <c r="I76" s="768">
        <f t="shared" si="58"/>
        <v>25027</v>
      </c>
      <c r="J76" s="768">
        <f t="shared" si="58"/>
        <v>10000</v>
      </c>
      <c r="K76" s="768">
        <f t="shared" si="58"/>
        <v>2023</v>
      </c>
      <c r="L76" s="768">
        <f t="shared" si="58"/>
        <v>24268.642</v>
      </c>
      <c r="M76" s="768">
        <f t="shared" si="58"/>
        <v>0</v>
      </c>
      <c r="N76" s="768">
        <f t="shared" si="58"/>
        <v>24268.642</v>
      </c>
      <c r="O76" s="768">
        <f t="shared" si="58"/>
        <v>0</v>
      </c>
      <c r="P76" s="768">
        <f t="shared" si="58"/>
        <v>0</v>
      </c>
      <c r="Q76" s="768">
        <f t="shared" si="58"/>
        <v>26243.366000000002</v>
      </c>
      <c r="R76" s="768">
        <f t="shared" si="58"/>
        <v>0</v>
      </c>
      <c r="S76" s="768">
        <f t="shared" si="58"/>
        <v>26243.366000000002</v>
      </c>
      <c r="T76" s="768">
        <f t="shared" si="58"/>
        <v>0</v>
      </c>
      <c r="U76" s="768">
        <f t="shared" si="58"/>
        <v>0</v>
      </c>
      <c r="V76" s="768">
        <f t="shared" si="58"/>
        <v>10034.822</v>
      </c>
      <c r="W76" s="768">
        <f t="shared" si="58"/>
        <v>0</v>
      </c>
      <c r="X76" s="768">
        <f t="shared" si="58"/>
        <v>10034.822</v>
      </c>
      <c r="Y76" s="768">
        <f t="shared" si="58"/>
        <v>0</v>
      </c>
      <c r="Z76" s="768">
        <f t="shared" si="58"/>
        <v>0</v>
      </c>
      <c r="AA76" s="768">
        <f t="shared" si="58"/>
        <v>7967.098</v>
      </c>
      <c r="AB76" s="768">
        <f t="shared" si="58"/>
        <v>0</v>
      </c>
      <c r="AC76" s="768">
        <f t="shared" si="58"/>
        <v>7967.098</v>
      </c>
      <c r="AD76" s="768">
        <f t="shared" si="58"/>
        <v>0</v>
      </c>
      <c r="AE76" s="768">
        <f t="shared" si="58"/>
        <v>0</v>
      </c>
      <c r="AF76" s="769">
        <f t="shared" si="55"/>
        <v>0.79394512428820363</v>
      </c>
      <c r="AG76" s="771"/>
      <c r="AH76" s="770">
        <f t="shared" si="56"/>
        <v>0.79394512428820363</v>
      </c>
      <c r="AI76" s="770"/>
      <c r="AJ76" s="771"/>
      <c r="AK76" s="757"/>
      <c r="AL76" s="749"/>
      <c r="AM76" s="749"/>
      <c r="AN76" s="749"/>
      <c r="AO76" s="749"/>
      <c r="AP76" s="749"/>
      <c r="AQ76" s="749"/>
      <c r="AR76" s="749"/>
      <c r="AS76" s="749"/>
      <c r="AT76" s="749"/>
      <c r="AU76" s="749"/>
      <c r="AV76" s="749"/>
      <c r="AW76" s="749"/>
      <c r="AX76" s="749"/>
      <c r="AY76" s="749"/>
      <c r="AZ76" s="749"/>
      <c r="BA76" s="749"/>
      <c r="BB76" s="749"/>
      <c r="BC76" s="749"/>
      <c r="BD76" s="749"/>
      <c r="BE76" s="749"/>
      <c r="BF76" s="749"/>
      <c r="BG76" s="749"/>
      <c r="BH76" s="749"/>
      <c r="BI76" s="749"/>
    </row>
    <row r="77" spans="1:61" s="772" customFormat="1" ht="30.75" customHeight="1">
      <c r="A77" s="790"/>
      <c r="B77" s="774" t="s">
        <v>759</v>
      </c>
      <c r="C77" s="766"/>
      <c r="D77" s="766"/>
      <c r="E77" s="767"/>
      <c r="F77" s="767"/>
      <c r="G77" s="768">
        <f>SUM(G78:G81)</f>
        <v>34750</v>
      </c>
      <c r="H77" s="768">
        <f t="shared" ref="H77:AE77" si="59">SUM(H78:H81)</f>
        <v>0</v>
      </c>
      <c r="I77" s="768">
        <f t="shared" si="59"/>
        <v>22750</v>
      </c>
      <c r="J77" s="768">
        <f t="shared" si="59"/>
        <v>10000</v>
      </c>
      <c r="K77" s="768">
        <f t="shared" si="59"/>
        <v>2000</v>
      </c>
      <c r="L77" s="768">
        <f t="shared" si="59"/>
        <v>22215.275999999998</v>
      </c>
      <c r="M77" s="768">
        <f t="shared" si="59"/>
        <v>0</v>
      </c>
      <c r="N77" s="768">
        <f t="shared" si="59"/>
        <v>22215.275999999998</v>
      </c>
      <c r="O77" s="768">
        <f t="shared" si="59"/>
        <v>0</v>
      </c>
      <c r="P77" s="768">
        <f t="shared" si="59"/>
        <v>0</v>
      </c>
      <c r="Q77" s="768">
        <f t="shared" si="59"/>
        <v>24190</v>
      </c>
      <c r="R77" s="768">
        <f t="shared" si="59"/>
        <v>0</v>
      </c>
      <c r="S77" s="768">
        <f t="shared" si="59"/>
        <v>24190</v>
      </c>
      <c r="T77" s="768">
        <f t="shared" si="59"/>
        <v>0</v>
      </c>
      <c r="U77" s="768">
        <f t="shared" si="59"/>
        <v>0</v>
      </c>
      <c r="V77" s="768">
        <f t="shared" si="59"/>
        <v>9941.8220000000001</v>
      </c>
      <c r="W77" s="768">
        <f t="shared" si="59"/>
        <v>0</v>
      </c>
      <c r="X77" s="768">
        <f t="shared" si="59"/>
        <v>9941.8220000000001</v>
      </c>
      <c r="Y77" s="768">
        <f t="shared" si="59"/>
        <v>0</v>
      </c>
      <c r="Z77" s="768">
        <f t="shared" si="59"/>
        <v>0</v>
      </c>
      <c r="AA77" s="768">
        <f t="shared" si="59"/>
        <v>7967.098</v>
      </c>
      <c r="AB77" s="768">
        <f t="shared" si="59"/>
        <v>0</v>
      </c>
      <c r="AC77" s="768">
        <f t="shared" si="59"/>
        <v>7967.098</v>
      </c>
      <c r="AD77" s="768">
        <f t="shared" si="59"/>
        <v>0</v>
      </c>
      <c r="AE77" s="768">
        <f t="shared" si="59"/>
        <v>0</v>
      </c>
      <c r="AF77" s="769">
        <f t="shared" si="55"/>
        <v>0.80137202215046699</v>
      </c>
      <c r="AG77" s="771"/>
      <c r="AH77" s="770">
        <f t="shared" si="56"/>
        <v>0.80137202215046699</v>
      </c>
      <c r="AI77" s="770"/>
      <c r="AJ77" s="771"/>
      <c r="AK77" s="757"/>
      <c r="AL77" s="749"/>
      <c r="AM77" s="749"/>
      <c r="AN77" s="749"/>
      <c r="AO77" s="749"/>
      <c r="AP77" s="749"/>
      <c r="AQ77" s="749"/>
      <c r="AR77" s="749"/>
      <c r="AS77" s="749"/>
      <c r="AT77" s="749"/>
      <c r="AU77" s="749"/>
      <c r="AV77" s="749"/>
      <c r="AW77" s="749"/>
      <c r="AX77" s="749"/>
      <c r="AY77" s="749"/>
      <c r="AZ77" s="749"/>
      <c r="BA77" s="749"/>
      <c r="BB77" s="749"/>
      <c r="BC77" s="749"/>
      <c r="BD77" s="749"/>
      <c r="BE77" s="749"/>
      <c r="BF77" s="749"/>
      <c r="BG77" s="749"/>
      <c r="BH77" s="749"/>
      <c r="BI77" s="749"/>
    </row>
    <row r="78" spans="1:61" s="798" customFormat="1" ht="50.25" customHeight="1">
      <c r="A78" s="776"/>
      <c r="B78" s="810" t="s">
        <v>708</v>
      </c>
      <c r="C78" s="811" t="s">
        <v>454</v>
      </c>
      <c r="D78" s="815"/>
      <c r="E78" s="812" t="s">
        <v>707</v>
      </c>
      <c r="F78" s="813" t="s">
        <v>709</v>
      </c>
      <c r="G78" s="814">
        <v>12000</v>
      </c>
      <c r="H78" s="814"/>
      <c r="I78" s="814"/>
      <c r="J78" s="816">
        <v>10000</v>
      </c>
      <c r="K78" s="814">
        <v>2000</v>
      </c>
      <c r="L78" s="781">
        <f>SUM(M78:P78)</f>
        <v>1173.6659999999999</v>
      </c>
      <c r="M78" s="781"/>
      <c r="N78" s="781">
        <v>1173.6659999999999</v>
      </c>
      <c r="O78" s="781"/>
      <c r="P78" s="781"/>
      <c r="Q78" s="781">
        <f>SUM(R78:U78)</f>
        <v>2000</v>
      </c>
      <c r="R78" s="781"/>
      <c r="S78" s="781">
        <v>2000</v>
      </c>
      <c r="T78" s="781"/>
      <c r="U78" s="814"/>
      <c r="V78" s="781">
        <f t="shared" ref="V78:V81" si="60">W78+X78+Y78+Z78</f>
        <v>928.56899999999996</v>
      </c>
      <c r="W78" s="781"/>
      <c r="X78" s="817">
        <v>928.56899999999996</v>
      </c>
      <c r="Y78" s="781"/>
      <c r="Z78" s="781"/>
      <c r="AA78" s="781">
        <f t="shared" ref="AA78:AA81" si="61">AB78+AC78+AD78+AE78</f>
        <v>102.235</v>
      </c>
      <c r="AB78" s="781"/>
      <c r="AC78" s="781">
        <v>102.235</v>
      </c>
      <c r="AD78" s="781"/>
      <c r="AE78" s="818"/>
      <c r="AF78" s="783">
        <f t="shared" si="55"/>
        <v>0.1100995187218182</v>
      </c>
      <c r="AG78" s="784"/>
      <c r="AH78" s="785">
        <f t="shared" si="56"/>
        <v>0.1100995187218182</v>
      </c>
      <c r="AI78" s="785"/>
      <c r="AJ78" s="784"/>
      <c r="AK78" s="757"/>
      <c r="AL78" s="749"/>
      <c r="AM78" s="749"/>
      <c r="AN78" s="749"/>
      <c r="AO78" s="749"/>
      <c r="AP78" s="749"/>
      <c r="AQ78" s="749"/>
      <c r="AR78" s="749"/>
      <c r="AS78" s="749"/>
      <c r="AT78" s="749"/>
      <c r="AU78" s="749"/>
      <c r="AV78" s="749"/>
      <c r="AW78" s="749"/>
      <c r="AX78" s="749"/>
      <c r="AY78" s="749"/>
      <c r="AZ78" s="749"/>
      <c r="BA78" s="749"/>
      <c r="BB78" s="749"/>
      <c r="BC78" s="749"/>
      <c r="BD78" s="749"/>
      <c r="BE78" s="749"/>
      <c r="BF78" s="749"/>
      <c r="BG78" s="749"/>
      <c r="BH78" s="749"/>
      <c r="BI78" s="749"/>
    </row>
    <row r="79" spans="1:61" s="798" customFormat="1" ht="34.5" customHeight="1">
      <c r="A79" s="776"/>
      <c r="B79" s="804" t="s">
        <v>710</v>
      </c>
      <c r="C79" s="778" t="s">
        <v>711</v>
      </c>
      <c r="D79" s="819"/>
      <c r="E79" s="779" t="s">
        <v>680</v>
      </c>
      <c r="F79" s="779" t="s">
        <v>712</v>
      </c>
      <c r="G79" s="781">
        <v>14900</v>
      </c>
      <c r="H79" s="781"/>
      <c r="I79" s="781">
        <v>14900</v>
      </c>
      <c r="J79" s="820"/>
      <c r="K79" s="781"/>
      <c r="L79" s="781">
        <f>N79</f>
        <v>13587.343999999999</v>
      </c>
      <c r="M79" s="781"/>
      <c r="N79" s="781">
        <v>13587.343999999999</v>
      </c>
      <c r="O79" s="781"/>
      <c r="P79" s="781"/>
      <c r="Q79" s="781">
        <v>14155</v>
      </c>
      <c r="R79" s="781"/>
      <c r="S79" s="781">
        <v>14155</v>
      </c>
      <c r="T79" s="781"/>
      <c r="U79" s="781"/>
      <c r="V79" s="781">
        <f t="shared" si="60"/>
        <v>6761.7370000000001</v>
      </c>
      <c r="W79" s="781"/>
      <c r="X79" s="817">
        <v>6761.7370000000001</v>
      </c>
      <c r="Y79" s="781"/>
      <c r="Z79" s="781"/>
      <c r="AA79" s="781">
        <f t="shared" si="61"/>
        <v>6194.0810000000001</v>
      </c>
      <c r="AB79" s="781"/>
      <c r="AC79" s="781">
        <v>6194.0810000000001</v>
      </c>
      <c r="AD79" s="781"/>
      <c r="AE79" s="818"/>
      <c r="AF79" s="783">
        <f t="shared" si="55"/>
        <v>0.91604879042175114</v>
      </c>
      <c r="AG79" s="784"/>
      <c r="AH79" s="785">
        <f t="shared" si="56"/>
        <v>0.91604879042175114</v>
      </c>
      <c r="AI79" s="785"/>
      <c r="AJ79" s="784"/>
      <c r="AK79" s="757"/>
      <c r="AL79" s="749"/>
      <c r="AM79" s="749"/>
      <c r="AN79" s="749"/>
      <c r="AO79" s="749"/>
      <c r="AP79" s="749"/>
      <c r="AQ79" s="749"/>
      <c r="AR79" s="749"/>
      <c r="AS79" s="749"/>
      <c r="AT79" s="749"/>
      <c r="AU79" s="749"/>
      <c r="AV79" s="749"/>
      <c r="AW79" s="749"/>
      <c r="AX79" s="749"/>
      <c r="AY79" s="749"/>
      <c r="AZ79" s="749"/>
      <c r="BA79" s="749"/>
      <c r="BB79" s="749"/>
      <c r="BC79" s="749"/>
      <c r="BD79" s="749"/>
      <c r="BE79" s="749"/>
      <c r="BF79" s="749"/>
      <c r="BG79" s="749"/>
      <c r="BH79" s="749"/>
      <c r="BI79" s="749"/>
    </row>
    <row r="80" spans="1:61" s="798" customFormat="1" ht="34.9" customHeight="1">
      <c r="A80" s="776"/>
      <c r="B80" s="804" t="s">
        <v>713</v>
      </c>
      <c r="C80" s="778" t="s">
        <v>714</v>
      </c>
      <c r="D80" s="819"/>
      <c r="E80" s="779" t="s">
        <v>693</v>
      </c>
      <c r="F80" s="779" t="s">
        <v>715</v>
      </c>
      <c r="G80" s="781">
        <v>5900</v>
      </c>
      <c r="H80" s="781"/>
      <c r="I80" s="781">
        <v>5900</v>
      </c>
      <c r="J80" s="820"/>
      <c r="K80" s="781"/>
      <c r="L80" s="781">
        <f>N80</f>
        <v>5647.8289999999997</v>
      </c>
      <c r="M80" s="781"/>
      <c r="N80" s="781">
        <v>5647.8289999999997</v>
      </c>
      <c r="O80" s="781"/>
      <c r="P80" s="781"/>
      <c r="Q80" s="781">
        <v>6185</v>
      </c>
      <c r="R80" s="781"/>
      <c r="S80" s="781">
        <v>6185</v>
      </c>
      <c r="T80" s="781"/>
      <c r="U80" s="781"/>
      <c r="V80" s="781">
        <f t="shared" si="60"/>
        <v>2207.953</v>
      </c>
      <c r="W80" s="781"/>
      <c r="X80" s="817">
        <v>2207.953</v>
      </c>
      <c r="Y80" s="781"/>
      <c r="Z80" s="781"/>
      <c r="AA80" s="781">
        <f t="shared" si="61"/>
        <v>1670.7819999999999</v>
      </c>
      <c r="AB80" s="781"/>
      <c r="AC80" s="781">
        <v>1670.7819999999999</v>
      </c>
      <c r="AD80" s="781"/>
      <c r="AE80" s="782"/>
      <c r="AF80" s="783">
        <f t="shared" si="55"/>
        <v>0.75671085389951687</v>
      </c>
      <c r="AG80" s="784"/>
      <c r="AH80" s="785">
        <f t="shared" si="56"/>
        <v>0.75671085389951687</v>
      </c>
      <c r="AI80" s="785"/>
      <c r="AJ80" s="784"/>
      <c r="AK80" s="757"/>
      <c r="AL80" s="749"/>
      <c r="AM80" s="749"/>
      <c r="AN80" s="749"/>
      <c r="AO80" s="749"/>
      <c r="AP80" s="749"/>
      <c r="AQ80" s="749"/>
      <c r="AR80" s="749"/>
      <c r="AS80" s="749"/>
      <c r="AT80" s="749"/>
      <c r="AU80" s="749"/>
      <c r="AV80" s="749"/>
      <c r="AW80" s="749"/>
      <c r="AX80" s="749"/>
      <c r="AY80" s="749"/>
      <c r="AZ80" s="749"/>
      <c r="BA80" s="749"/>
      <c r="BB80" s="749"/>
      <c r="BC80" s="749"/>
      <c r="BD80" s="749"/>
      <c r="BE80" s="749"/>
      <c r="BF80" s="749"/>
      <c r="BG80" s="749"/>
      <c r="BH80" s="749"/>
      <c r="BI80" s="749"/>
    </row>
    <row r="81" spans="1:61" s="798" customFormat="1" ht="34.9" customHeight="1">
      <c r="A81" s="776"/>
      <c r="B81" s="804" t="s">
        <v>716</v>
      </c>
      <c r="C81" s="778" t="s">
        <v>468</v>
      </c>
      <c r="D81" s="819"/>
      <c r="E81" s="779" t="s">
        <v>693</v>
      </c>
      <c r="F81" s="779" t="s">
        <v>717</v>
      </c>
      <c r="G81" s="781">
        <v>1950</v>
      </c>
      <c r="H81" s="781"/>
      <c r="I81" s="781">
        <v>1950</v>
      </c>
      <c r="J81" s="820"/>
      <c r="K81" s="781"/>
      <c r="L81" s="781">
        <v>1806.4369999999999</v>
      </c>
      <c r="M81" s="781"/>
      <c r="N81" s="781">
        <v>1806.4369999999999</v>
      </c>
      <c r="O81" s="781"/>
      <c r="P81" s="781"/>
      <c r="Q81" s="781">
        <v>1850</v>
      </c>
      <c r="R81" s="781"/>
      <c r="S81" s="781">
        <v>1850</v>
      </c>
      <c r="T81" s="781"/>
      <c r="U81" s="781"/>
      <c r="V81" s="781">
        <f t="shared" si="60"/>
        <v>43.563000000000002</v>
      </c>
      <c r="W81" s="781"/>
      <c r="X81" s="817">
        <v>43.563000000000002</v>
      </c>
      <c r="Y81" s="781"/>
      <c r="Z81" s="781"/>
      <c r="AA81" s="781">
        <f t="shared" si="61"/>
        <v>0</v>
      </c>
      <c r="AB81" s="781"/>
      <c r="AC81" s="781">
        <v>0</v>
      </c>
      <c r="AD81" s="781"/>
      <c r="AE81" s="818"/>
      <c r="AF81" s="783">
        <f t="shared" si="55"/>
        <v>0</v>
      </c>
      <c r="AG81" s="784"/>
      <c r="AH81" s="785">
        <f t="shared" si="56"/>
        <v>0</v>
      </c>
      <c r="AI81" s="785"/>
      <c r="AJ81" s="784"/>
      <c r="AK81" s="757"/>
      <c r="AL81" s="749"/>
      <c r="AM81" s="749"/>
      <c r="AN81" s="749"/>
      <c r="AO81" s="749"/>
      <c r="AP81" s="749"/>
      <c r="AQ81" s="749"/>
      <c r="AR81" s="749"/>
      <c r="AS81" s="749"/>
      <c r="AT81" s="749"/>
      <c r="AU81" s="749"/>
      <c r="AV81" s="749"/>
      <c r="AW81" s="749"/>
      <c r="AX81" s="749"/>
      <c r="AY81" s="749"/>
      <c r="AZ81" s="749"/>
      <c r="BA81" s="749"/>
      <c r="BB81" s="749"/>
      <c r="BC81" s="749"/>
      <c r="BD81" s="749"/>
      <c r="BE81" s="749"/>
      <c r="BF81" s="749"/>
      <c r="BG81" s="749"/>
      <c r="BH81" s="749"/>
      <c r="BI81" s="749"/>
    </row>
    <row r="82" spans="1:61" s="772" customFormat="1" ht="34.9" customHeight="1">
      <c r="A82" s="789" t="s">
        <v>364</v>
      </c>
      <c r="B82" s="809" t="s">
        <v>463</v>
      </c>
      <c r="C82" s="766"/>
      <c r="D82" s="821"/>
      <c r="E82" s="791"/>
      <c r="F82" s="791"/>
      <c r="G82" s="768">
        <f>G83</f>
        <v>2300</v>
      </c>
      <c r="H82" s="768">
        <f t="shared" ref="H82:AE83" si="62">H83</f>
        <v>0</v>
      </c>
      <c r="I82" s="768">
        <f t="shared" si="62"/>
        <v>2277</v>
      </c>
      <c r="J82" s="768">
        <f t="shared" si="62"/>
        <v>0</v>
      </c>
      <c r="K82" s="768">
        <f t="shared" si="62"/>
        <v>23</v>
      </c>
      <c r="L82" s="768">
        <f t="shared" si="62"/>
        <v>2053.366</v>
      </c>
      <c r="M82" s="768">
        <f t="shared" si="62"/>
        <v>0</v>
      </c>
      <c r="N82" s="768">
        <f t="shared" si="62"/>
        <v>2053.366</v>
      </c>
      <c r="O82" s="768">
        <f t="shared" si="62"/>
        <v>0</v>
      </c>
      <c r="P82" s="768">
        <f t="shared" si="62"/>
        <v>0</v>
      </c>
      <c r="Q82" s="768">
        <f t="shared" si="62"/>
        <v>2053.366</v>
      </c>
      <c r="R82" s="768">
        <f t="shared" si="62"/>
        <v>0</v>
      </c>
      <c r="S82" s="768">
        <f t="shared" si="62"/>
        <v>2053.366</v>
      </c>
      <c r="T82" s="768">
        <f t="shared" si="62"/>
        <v>0</v>
      </c>
      <c r="U82" s="768">
        <f t="shared" si="62"/>
        <v>0</v>
      </c>
      <c r="V82" s="768">
        <f t="shared" si="62"/>
        <v>93</v>
      </c>
      <c r="W82" s="768">
        <f t="shared" si="62"/>
        <v>0</v>
      </c>
      <c r="X82" s="768">
        <f t="shared" si="62"/>
        <v>93</v>
      </c>
      <c r="Y82" s="768">
        <f t="shared" si="62"/>
        <v>0</v>
      </c>
      <c r="Z82" s="768">
        <f t="shared" si="62"/>
        <v>0</v>
      </c>
      <c r="AA82" s="768">
        <f t="shared" si="62"/>
        <v>0</v>
      </c>
      <c r="AB82" s="768">
        <f t="shared" si="62"/>
        <v>0</v>
      </c>
      <c r="AC82" s="768">
        <f t="shared" si="62"/>
        <v>0</v>
      </c>
      <c r="AD82" s="768">
        <f t="shared" si="62"/>
        <v>0</v>
      </c>
      <c r="AE82" s="768">
        <f t="shared" si="62"/>
        <v>0</v>
      </c>
      <c r="AF82" s="769">
        <f>AA82/V82</f>
        <v>0</v>
      </c>
      <c r="AG82" s="771"/>
      <c r="AH82" s="770">
        <f>AC82/X82</f>
        <v>0</v>
      </c>
      <c r="AI82" s="770"/>
      <c r="AJ82" s="771"/>
      <c r="AK82" s="793"/>
      <c r="AL82" s="794"/>
      <c r="AM82" s="794"/>
      <c r="AN82" s="794"/>
      <c r="AO82" s="794"/>
      <c r="AP82" s="794"/>
      <c r="AQ82" s="794"/>
      <c r="AR82" s="794"/>
      <c r="AS82" s="794"/>
      <c r="AT82" s="794"/>
      <c r="AU82" s="794"/>
      <c r="AV82" s="794"/>
      <c r="AW82" s="794"/>
      <c r="AX82" s="794"/>
      <c r="AY82" s="794"/>
      <c r="AZ82" s="794"/>
      <c r="BA82" s="794"/>
      <c r="BB82" s="794"/>
      <c r="BC82" s="794"/>
      <c r="BD82" s="794"/>
      <c r="BE82" s="794"/>
      <c r="BF82" s="794"/>
      <c r="BG82" s="794"/>
      <c r="BH82" s="794"/>
      <c r="BI82" s="794"/>
    </row>
    <row r="83" spans="1:61" s="772" customFormat="1" ht="27" customHeight="1">
      <c r="A83" s="789"/>
      <c r="B83" s="809" t="s">
        <v>718</v>
      </c>
      <c r="C83" s="766"/>
      <c r="D83" s="821"/>
      <c r="E83" s="791"/>
      <c r="F83" s="766"/>
      <c r="G83" s="768">
        <f>G84</f>
        <v>2300</v>
      </c>
      <c r="H83" s="768">
        <f t="shared" si="62"/>
        <v>0</v>
      </c>
      <c r="I83" s="768">
        <f t="shared" si="62"/>
        <v>2277</v>
      </c>
      <c r="J83" s="768">
        <f t="shared" si="62"/>
        <v>0</v>
      </c>
      <c r="K83" s="768">
        <f t="shared" si="62"/>
        <v>23</v>
      </c>
      <c r="L83" s="768">
        <f t="shared" si="62"/>
        <v>2053.366</v>
      </c>
      <c r="M83" s="768">
        <f t="shared" si="62"/>
        <v>0</v>
      </c>
      <c r="N83" s="768">
        <f t="shared" si="62"/>
        <v>2053.366</v>
      </c>
      <c r="O83" s="768">
        <f t="shared" si="62"/>
        <v>0</v>
      </c>
      <c r="P83" s="768">
        <f t="shared" si="62"/>
        <v>0</v>
      </c>
      <c r="Q83" s="768">
        <f t="shared" si="62"/>
        <v>2053.366</v>
      </c>
      <c r="R83" s="768">
        <f t="shared" si="62"/>
        <v>0</v>
      </c>
      <c r="S83" s="768">
        <f t="shared" si="62"/>
        <v>2053.366</v>
      </c>
      <c r="T83" s="768">
        <f t="shared" si="62"/>
        <v>0</v>
      </c>
      <c r="U83" s="768">
        <f t="shared" si="62"/>
        <v>0</v>
      </c>
      <c r="V83" s="768">
        <f t="shared" si="62"/>
        <v>93</v>
      </c>
      <c r="W83" s="768">
        <f t="shared" si="62"/>
        <v>0</v>
      </c>
      <c r="X83" s="768">
        <f t="shared" si="62"/>
        <v>93</v>
      </c>
      <c r="Y83" s="768">
        <f t="shared" si="62"/>
        <v>0</v>
      </c>
      <c r="Z83" s="768">
        <f t="shared" si="62"/>
        <v>0</v>
      </c>
      <c r="AA83" s="768">
        <f t="shared" si="62"/>
        <v>0</v>
      </c>
      <c r="AB83" s="768">
        <f t="shared" si="62"/>
        <v>0</v>
      </c>
      <c r="AC83" s="768">
        <f t="shared" si="62"/>
        <v>0</v>
      </c>
      <c r="AD83" s="768">
        <f t="shared" si="62"/>
        <v>0</v>
      </c>
      <c r="AE83" s="768">
        <f t="shared" si="62"/>
        <v>0</v>
      </c>
      <c r="AF83" s="769">
        <f t="shared" ref="AF83:AF84" si="63">AA83/V83</f>
        <v>0</v>
      </c>
      <c r="AG83" s="771"/>
      <c r="AH83" s="770">
        <f t="shared" ref="AH83:AH84" si="64">AC83/X83</f>
        <v>0</v>
      </c>
      <c r="AI83" s="770"/>
      <c r="AJ83" s="771"/>
      <c r="AK83" s="793"/>
      <c r="AL83" s="794"/>
      <c r="AM83" s="794"/>
      <c r="AN83" s="794"/>
      <c r="AO83" s="794"/>
      <c r="AP83" s="794"/>
      <c r="AQ83" s="794"/>
      <c r="AR83" s="794"/>
      <c r="AS83" s="794"/>
      <c r="AT83" s="794"/>
      <c r="AU83" s="794"/>
      <c r="AV83" s="794"/>
      <c r="AW83" s="794"/>
      <c r="AX83" s="794"/>
      <c r="AY83" s="794"/>
      <c r="AZ83" s="794"/>
      <c r="BA83" s="794"/>
      <c r="BB83" s="794"/>
      <c r="BC83" s="794"/>
      <c r="BD83" s="794"/>
      <c r="BE83" s="794"/>
      <c r="BF83" s="794"/>
      <c r="BG83" s="794"/>
      <c r="BH83" s="794"/>
      <c r="BI83" s="794"/>
    </row>
    <row r="84" spans="1:61" s="798" customFormat="1" ht="42" customHeight="1">
      <c r="A84" s="776"/>
      <c r="B84" s="804" t="s">
        <v>719</v>
      </c>
      <c r="C84" s="778" t="s">
        <v>711</v>
      </c>
      <c r="D84" s="819"/>
      <c r="E84" s="779" t="s">
        <v>417</v>
      </c>
      <c r="F84" s="778" t="s">
        <v>720</v>
      </c>
      <c r="G84" s="781">
        <f>H84+I84+J84+K84</f>
        <v>2300</v>
      </c>
      <c r="H84" s="781"/>
      <c r="I84" s="781">
        <v>2277</v>
      </c>
      <c r="J84" s="820"/>
      <c r="K84" s="781">
        <v>23</v>
      </c>
      <c r="L84" s="781">
        <f>M84+N84+O84+P84</f>
        <v>2053.366</v>
      </c>
      <c r="M84" s="781"/>
      <c r="N84" s="781">
        <f>1960.366+93</f>
        <v>2053.366</v>
      </c>
      <c r="O84" s="781"/>
      <c r="P84" s="781"/>
      <c r="Q84" s="781">
        <f>R84+S84+T84+U84</f>
        <v>2053.366</v>
      </c>
      <c r="R84" s="781"/>
      <c r="S84" s="781">
        <f>1960.366+93</f>
        <v>2053.366</v>
      </c>
      <c r="T84" s="781"/>
      <c r="U84" s="781"/>
      <c r="V84" s="781">
        <f>W84+X84+Y84+Z84</f>
        <v>93</v>
      </c>
      <c r="W84" s="781"/>
      <c r="X84" s="817">
        <v>93</v>
      </c>
      <c r="Y84" s="781"/>
      <c r="Z84" s="781"/>
      <c r="AA84" s="781">
        <f>AB84+AC84+AD84+AE84</f>
        <v>0</v>
      </c>
      <c r="AB84" s="781"/>
      <c r="AC84" s="781">
        <v>0</v>
      </c>
      <c r="AD84" s="781"/>
      <c r="AE84" s="818"/>
      <c r="AF84" s="783">
        <f t="shared" si="63"/>
        <v>0</v>
      </c>
      <c r="AG84" s="784"/>
      <c r="AH84" s="785">
        <f t="shared" si="64"/>
        <v>0</v>
      </c>
      <c r="AI84" s="785"/>
      <c r="AJ84" s="784"/>
      <c r="AK84" s="757"/>
      <c r="AL84" s="749"/>
      <c r="AM84" s="749"/>
      <c r="AN84" s="749"/>
      <c r="AO84" s="749"/>
      <c r="AP84" s="749"/>
      <c r="AQ84" s="749"/>
      <c r="AR84" s="749"/>
      <c r="AS84" s="749"/>
      <c r="AT84" s="749"/>
      <c r="AU84" s="749"/>
      <c r="AV84" s="749"/>
      <c r="AW84" s="749"/>
      <c r="AX84" s="749"/>
      <c r="AY84" s="749"/>
      <c r="AZ84" s="749"/>
      <c r="BA84" s="749"/>
      <c r="BB84" s="749"/>
      <c r="BC84" s="749"/>
      <c r="BD84" s="749"/>
      <c r="BE84" s="749"/>
      <c r="BF84" s="749"/>
      <c r="BG84" s="749"/>
      <c r="BH84" s="749"/>
      <c r="BI84" s="749"/>
    </row>
    <row r="85" spans="1:61" s="772" customFormat="1" ht="30.75" customHeight="1">
      <c r="A85" s="773" t="s">
        <v>446</v>
      </c>
      <c r="B85" s="822" t="s">
        <v>397</v>
      </c>
      <c r="C85" s="766"/>
      <c r="D85" s="821"/>
      <c r="E85" s="791"/>
      <c r="F85" s="766"/>
      <c r="G85" s="768"/>
      <c r="H85" s="768"/>
      <c r="I85" s="768"/>
      <c r="J85" s="823"/>
      <c r="K85" s="768"/>
      <c r="L85" s="768"/>
      <c r="M85" s="768"/>
      <c r="N85" s="768"/>
      <c r="O85" s="768"/>
      <c r="P85" s="768"/>
      <c r="Q85" s="768"/>
      <c r="R85" s="768"/>
      <c r="S85" s="768"/>
      <c r="T85" s="768"/>
      <c r="U85" s="768"/>
      <c r="V85" s="768"/>
      <c r="W85" s="768"/>
      <c r="X85" s="824"/>
      <c r="Y85" s="768"/>
      <c r="Z85" s="768"/>
      <c r="AA85" s="768"/>
      <c r="AB85" s="768"/>
      <c r="AC85" s="768"/>
      <c r="AD85" s="768"/>
      <c r="AE85" s="825"/>
      <c r="AF85" s="769"/>
      <c r="AG85" s="770"/>
      <c r="AH85" s="769"/>
      <c r="AI85" s="770"/>
      <c r="AJ85" s="771"/>
      <c r="AK85" s="793"/>
      <c r="AL85" s="794"/>
      <c r="AM85" s="794"/>
      <c r="AN85" s="794"/>
      <c r="AO85" s="794"/>
      <c r="AP85" s="794"/>
      <c r="AQ85" s="794"/>
      <c r="AR85" s="794"/>
      <c r="AS85" s="794"/>
      <c r="AT85" s="794"/>
      <c r="AU85" s="794"/>
      <c r="AV85" s="794"/>
      <c r="AW85" s="794"/>
      <c r="AX85" s="794"/>
      <c r="AY85" s="794"/>
      <c r="AZ85" s="794"/>
      <c r="BA85" s="794"/>
      <c r="BB85" s="794"/>
      <c r="BC85" s="794"/>
      <c r="BD85" s="794"/>
      <c r="BE85" s="794"/>
      <c r="BF85" s="794"/>
      <c r="BG85" s="794"/>
      <c r="BH85" s="794"/>
      <c r="BI85" s="794"/>
    </row>
    <row r="86" spans="1:61" s="798" customFormat="1" ht="46.5" customHeight="1">
      <c r="A86" s="773" t="s">
        <v>280</v>
      </c>
      <c r="B86" s="809" t="s">
        <v>721</v>
      </c>
      <c r="C86" s="778"/>
      <c r="D86" s="819"/>
      <c r="E86" s="779"/>
      <c r="F86" s="768">
        <f>F87+F116</f>
        <v>0</v>
      </c>
      <c r="G86" s="768">
        <f>G87+G116</f>
        <v>198006</v>
      </c>
      <c r="H86" s="768">
        <f t="shared" ref="H86:AE86" si="65">H87+H116</f>
        <v>0</v>
      </c>
      <c r="I86" s="768">
        <f t="shared" si="65"/>
        <v>197872</v>
      </c>
      <c r="J86" s="768">
        <f t="shared" si="65"/>
        <v>0</v>
      </c>
      <c r="K86" s="768">
        <f t="shared" si="65"/>
        <v>134</v>
      </c>
      <c r="L86" s="768">
        <f t="shared" si="65"/>
        <v>76800.599000000002</v>
      </c>
      <c r="M86" s="768">
        <f t="shared" si="65"/>
        <v>0</v>
      </c>
      <c r="N86" s="768">
        <f t="shared" si="65"/>
        <v>76800.599000000002</v>
      </c>
      <c r="O86" s="768">
        <f t="shared" si="65"/>
        <v>0</v>
      </c>
      <c r="P86" s="768">
        <f t="shared" si="65"/>
        <v>0</v>
      </c>
      <c r="Q86" s="768">
        <f t="shared" si="65"/>
        <v>99432.485000000001</v>
      </c>
      <c r="R86" s="768">
        <f t="shared" si="65"/>
        <v>0</v>
      </c>
      <c r="S86" s="768">
        <f t="shared" si="65"/>
        <v>99432.485000000001</v>
      </c>
      <c r="T86" s="768">
        <f t="shared" si="65"/>
        <v>0</v>
      </c>
      <c r="U86" s="768">
        <f t="shared" si="65"/>
        <v>0</v>
      </c>
      <c r="V86" s="768">
        <f t="shared" si="65"/>
        <v>97085.2</v>
      </c>
      <c r="W86" s="768">
        <f t="shared" si="65"/>
        <v>0</v>
      </c>
      <c r="X86" s="768">
        <f t="shared" si="65"/>
        <v>97085.2</v>
      </c>
      <c r="Y86" s="768">
        <f t="shared" si="65"/>
        <v>0</v>
      </c>
      <c r="Z86" s="768">
        <f t="shared" si="65"/>
        <v>0</v>
      </c>
      <c r="AA86" s="768">
        <f t="shared" si="65"/>
        <v>74453.313999999998</v>
      </c>
      <c r="AB86" s="768">
        <f t="shared" si="65"/>
        <v>0</v>
      </c>
      <c r="AC86" s="768">
        <f t="shared" si="65"/>
        <v>74453.313999999998</v>
      </c>
      <c r="AD86" s="768">
        <f t="shared" si="65"/>
        <v>0</v>
      </c>
      <c r="AE86" s="768">
        <f t="shared" si="65"/>
        <v>0</v>
      </c>
      <c r="AF86" s="769">
        <f t="shared" ref="AF86:AF115" si="66">AA86/V86</f>
        <v>0.76688634312953985</v>
      </c>
      <c r="AG86" s="771"/>
      <c r="AH86" s="770">
        <f t="shared" ref="AH86:AH115" si="67">AC86/X86</f>
        <v>0.76688634312953985</v>
      </c>
      <c r="AI86" s="770"/>
      <c r="AJ86" s="771"/>
      <c r="AK86" s="757"/>
      <c r="AL86" s="749"/>
      <c r="AM86" s="749"/>
      <c r="AN86" s="749"/>
      <c r="AO86" s="749"/>
      <c r="AP86" s="749"/>
      <c r="AQ86" s="749"/>
      <c r="AR86" s="749"/>
      <c r="AS86" s="749"/>
      <c r="AT86" s="749"/>
      <c r="AU86" s="749"/>
      <c r="AV86" s="749"/>
      <c r="AW86" s="749"/>
      <c r="AX86" s="749"/>
      <c r="AY86" s="749"/>
      <c r="AZ86" s="749"/>
      <c r="BA86" s="749"/>
      <c r="BB86" s="749"/>
      <c r="BC86" s="749"/>
      <c r="BD86" s="749"/>
      <c r="BE86" s="749"/>
      <c r="BF86" s="749"/>
      <c r="BG86" s="749"/>
      <c r="BH86" s="749"/>
      <c r="BI86" s="749"/>
    </row>
    <row r="87" spans="1:61" s="772" customFormat="1" ht="26.25" customHeight="1">
      <c r="A87" s="773" t="s">
        <v>261</v>
      </c>
      <c r="B87" s="809" t="s">
        <v>60</v>
      </c>
      <c r="C87" s="766"/>
      <c r="D87" s="821"/>
      <c r="E87" s="791"/>
      <c r="F87" s="768">
        <f t="shared" ref="F87:AE87" si="68">F88+F111</f>
        <v>0</v>
      </c>
      <c r="G87" s="768">
        <f t="shared" si="68"/>
        <v>198006</v>
      </c>
      <c r="H87" s="768">
        <f t="shared" si="68"/>
        <v>0</v>
      </c>
      <c r="I87" s="768">
        <f t="shared" si="68"/>
        <v>197872</v>
      </c>
      <c r="J87" s="768">
        <f t="shared" si="68"/>
        <v>0</v>
      </c>
      <c r="K87" s="768">
        <f t="shared" si="68"/>
        <v>134</v>
      </c>
      <c r="L87" s="768">
        <f t="shared" si="68"/>
        <v>76800.599000000002</v>
      </c>
      <c r="M87" s="768">
        <f t="shared" si="68"/>
        <v>0</v>
      </c>
      <c r="N87" s="768">
        <f t="shared" si="68"/>
        <v>76800.599000000002</v>
      </c>
      <c r="O87" s="768">
        <f t="shared" si="68"/>
        <v>0</v>
      </c>
      <c r="P87" s="768">
        <f t="shared" si="68"/>
        <v>0</v>
      </c>
      <c r="Q87" s="768">
        <f t="shared" si="68"/>
        <v>99432.485000000001</v>
      </c>
      <c r="R87" s="768">
        <f t="shared" si="68"/>
        <v>0</v>
      </c>
      <c r="S87" s="768">
        <f t="shared" si="68"/>
        <v>99432.485000000001</v>
      </c>
      <c r="T87" s="768">
        <f t="shared" si="68"/>
        <v>0</v>
      </c>
      <c r="U87" s="768">
        <f t="shared" si="68"/>
        <v>0</v>
      </c>
      <c r="V87" s="768">
        <f t="shared" si="68"/>
        <v>97085.2</v>
      </c>
      <c r="W87" s="768">
        <f t="shared" si="68"/>
        <v>0</v>
      </c>
      <c r="X87" s="768">
        <f t="shared" si="68"/>
        <v>97085.2</v>
      </c>
      <c r="Y87" s="768">
        <f t="shared" si="68"/>
        <v>0</v>
      </c>
      <c r="Z87" s="768">
        <f t="shared" si="68"/>
        <v>0</v>
      </c>
      <c r="AA87" s="768">
        <f t="shared" si="68"/>
        <v>74453.313999999998</v>
      </c>
      <c r="AB87" s="768">
        <f t="shared" si="68"/>
        <v>0</v>
      </c>
      <c r="AC87" s="768">
        <f t="shared" si="68"/>
        <v>74453.313999999998</v>
      </c>
      <c r="AD87" s="768">
        <f t="shared" si="68"/>
        <v>0</v>
      </c>
      <c r="AE87" s="768">
        <f t="shared" si="68"/>
        <v>0</v>
      </c>
      <c r="AF87" s="769">
        <f t="shared" si="66"/>
        <v>0.76688634312953985</v>
      </c>
      <c r="AG87" s="771"/>
      <c r="AH87" s="770">
        <f t="shared" si="67"/>
        <v>0.76688634312953985</v>
      </c>
      <c r="AI87" s="770"/>
      <c r="AJ87" s="771"/>
      <c r="AK87" s="793"/>
      <c r="AL87" s="794"/>
      <c r="AM87" s="794"/>
      <c r="AN87" s="794"/>
      <c r="AO87" s="794"/>
      <c r="AP87" s="794"/>
      <c r="AQ87" s="794"/>
      <c r="AR87" s="794"/>
      <c r="AS87" s="794"/>
      <c r="AT87" s="794"/>
      <c r="AU87" s="794"/>
      <c r="AV87" s="794"/>
      <c r="AW87" s="794"/>
      <c r="AX87" s="794"/>
      <c r="AY87" s="794"/>
      <c r="AZ87" s="794"/>
      <c r="BA87" s="794"/>
      <c r="BB87" s="794"/>
      <c r="BC87" s="794"/>
      <c r="BD87" s="794"/>
      <c r="BE87" s="794"/>
      <c r="BF87" s="794"/>
      <c r="BG87" s="794"/>
      <c r="BH87" s="794"/>
      <c r="BI87" s="794"/>
    </row>
    <row r="88" spans="1:61" s="772" customFormat="1" ht="30" customHeight="1">
      <c r="A88" s="773" t="s">
        <v>364</v>
      </c>
      <c r="B88" s="774" t="s">
        <v>759</v>
      </c>
      <c r="C88" s="766"/>
      <c r="D88" s="821"/>
      <c r="E88" s="791"/>
      <c r="F88" s="768">
        <f t="shared" ref="F88" si="69">SUM(F108:F110)</f>
        <v>0</v>
      </c>
      <c r="G88" s="768">
        <f>SUM(G89:G110)</f>
        <v>195406</v>
      </c>
      <c r="H88" s="768">
        <f t="shared" ref="H88:AE88" si="70">SUM(H89:H110)</f>
        <v>0</v>
      </c>
      <c r="I88" s="768">
        <f t="shared" si="70"/>
        <v>195406</v>
      </c>
      <c r="J88" s="768">
        <f t="shared" si="70"/>
        <v>0</v>
      </c>
      <c r="K88" s="768">
        <f t="shared" si="70"/>
        <v>0</v>
      </c>
      <c r="L88" s="768">
        <f t="shared" si="70"/>
        <v>74453.313999999998</v>
      </c>
      <c r="M88" s="768">
        <f t="shared" si="70"/>
        <v>0</v>
      </c>
      <c r="N88" s="768">
        <f t="shared" si="70"/>
        <v>74453.313999999998</v>
      </c>
      <c r="O88" s="768">
        <f t="shared" si="70"/>
        <v>0</v>
      </c>
      <c r="P88" s="768">
        <f t="shared" si="70"/>
        <v>0</v>
      </c>
      <c r="Q88" s="768">
        <f t="shared" si="70"/>
        <v>97000</v>
      </c>
      <c r="R88" s="768">
        <f t="shared" si="70"/>
        <v>0</v>
      </c>
      <c r="S88" s="768">
        <f t="shared" si="70"/>
        <v>97000</v>
      </c>
      <c r="T88" s="768">
        <f t="shared" si="70"/>
        <v>0</v>
      </c>
      <c r="U88" s="768">
        <f t="shared" si="70"/>
        <v>0</v>
      </c>
      <c r="V88" s="768">
        <f t="shared" si="70"/>
        <v>97000</v>
      </c>
      <c r="W88" s="768">
        <f t="shared" si="70"/>
        <v>0</v>
      </c>
      <c r="X88" s="768">
        <f t="shared" si="70"/>
        <v>97000</v>
      </c>
      <c r="Y88" s="768">
        <f t="shared" si="70"/>
        <v>0</v>
      </c>
      <c r="Z88" s="768">
        <f t="shared" si="70"/>
        <v>0</v>
      </c>
      <c r="AA88" s="768">
        <f t="shared" si="70"/>
        <v>74453.313999999998</v>
      </c>
      <c r="AB88" s="768">
        <f t="shared" si="70"/>
        <v>0</v>
      </c>
      <c r="AC88" s="768">
        <f t="shared" si="70"/>
        <v>74453.313999999998</v>
      </c>
      <c r="AD88" s="768">
        <f t="shared" si="70"/>
        <v>0</v>
      </c>
      <c r="AE88" s="768">
        <f t="shared" si="70"/>
        <v>0</v>
      </c>
      <c r="AF88" s="769">
        <f t="shared" si="66"/>
        <v>0.76755993814432988</v>
      </c>
      <c r="AG88" s="771"/>
      <c r="AH88" s="770">
        <f t="shared" si="67"/>
        <v>0.76755993814432988</v>
      </c>
      <c r="AI88" s="770"/>
      <c r="AJ88" s="771"/>
      <c r="AK88" s="793"/>
      <c r="AL88" s="794"/>
      <c r="AM88" s="794"/>
      <c r="AN88" s="794"/>
      <c r="AO88" s="794"/>
      <c r="AP88" s="794"/>
      <c r="AQ88" s="794"/>
      <c r="AR88" s="794"/>
      <c r="AS88" s="794"/>
      <c r="AT88" s="794"/>
      <c r="AU88" s="794"/>
      <c r="AV88" s="794"/>
      <c r="AW88" s="794"/>
      <c r="AX88" s="794"/>
      <c r="AY88" s="794"/>
      <c r="AZ88" s="794"/>
      <c r="BA88" s="794"/>
      <c r="BB88" s="794"/>
      <c r="BC88" s="794"/>
      <c r="BD88" s="794"/>
      <c r="BE88" s="794"/>
      <c r="BF88" s="794"/>
      <c r="BG88" s="794"/>
      <c r="BH88" s="794"/>
      <c r="BI88" s="794"/>
    </row>
    <row r="89" spans="1:61" s="772" customFormat="1" ht="46.5" customHeight="1">
      <c r="A89" s="773"/>
      <c r="B89" s="804" t="s">
        <v>776</v>
      </c>
      <c r="C89" s="819" t="s">
        <v>287</v>
      </c>
      <c r="D89" s="819"/>
      <c r="E89" s="779" t="s">
        <v>680</v>
      </c>
      <c r="F89" s="826" t="s">
        <v>777</v>
      </c>
      <c r="G89" s="781">
        <f>H89+I89+J89+K89</f>
        <v>6000</v>
      </c>
      <c r="H89" s="768"/>
      <c r="I89" s="781">
        <v>6000</v>
      </c>
      <c r="J89" s="768"/>
      <c r="K89" s="768"/>
      <c r="L89" s="781">
        <f>M89+N89+O89+P89</f>
        <v>4983.2780000000002</v>
      </c>
      <c r="M89" s="768"/>
      <c r="N89" s="781">
        <v>4983.2780000000002</v>
      </c>
      <c r="O89" s="768"/>
      <c r="P89" s="768"/>
      <c r="Q89" s="781">
        <f>R89+S89+T89+U89</f>
        <v>5000</v>
      </c>
      <c r="R89" s="768"/>
      <c r="S89" s="781">
        <v>5000</v>
      </c>
      <c r="T89" s="768"/>
      <c r="U89" s="768"/>
      <c r="V89" s="781">
        <f>W89+X89+Y89+Z89</f>
        <v>5000</v>
      </c>
      <c r="W89" s="768"/>
      <c r="X89" s="781">
        <v>5000</v>
      </c>
      <c r="Y89" s="768"/>
      <c r="Z89" s="768"/>
      <c r="AA89" s="781">
        <f>AB89+AC89+AD89+AE89</f>
        <v>4983.2780000000002</v>
      </c>
      <c r="AB89" s="768"/>
      <c r="AC89" s="781">
        <v>4983.2780000000002</v>
      </c>
      <c r="AD89" s="768"/>
      <c r="AE89" s="768"/>
      <c r="AF89" s="783">
        <f t="shared" si="66"/>
        <v>0.99665560000000009</v>
      </c>
      <c r="AG89" s="784"/>
      <c r="AH89" s="785">
        <f t="shared" si="67"/>
        <v>0.99665560000000009</v>
      </c>
      <c r="AI89" s="770"/>
      <c r="AJ89" s="771"/>
      <c r="AK89" s="793"/>
      <c r="AL89" s="794"/>
      <c r="AM89" s="794"/>
      <c r="AN89" s="794"/>
      <c r="AO89" s="794"/>
      <c r="AP89" s="794"/>
      <c r="AQ89" s="794"/>
      <c r="AR89" s="794"/>
      <c r="AS89" s="794"/>
      <c r="AT89" s="794"/>
      <c r="AU89" s="794"/>
      <c r="AV89" s="794"/>
      <c r="AW89" s="794"/>
      <c r="AX89" s="794"/>
      <c r="AY89" s="794"/>
      <c r="AZ89" s="794"/>
      <c r="BA89" s="794"/>
      <c r="BB89" s="794"/>
      <c r="BC89" s="794"/>
      <c r="BD89" s="794"/>
      <c r="BE89" s="794"/>
      <c r="BF89" s="794"/>
      <c r="BG89" s="794"/>
      <c r="BH89" s="794"/>
      <c r="BI89" s="794"/>
    </row>
    <row r="90" spans="1:61" s="772" customFormat="1" ht="46.5" customHeight="1">
      <c r="A90" s="773"/>
      <c r="B90" s="804" t="s">
        <v>778</v>
      </c>
      <c r="C90" s="819" t="s">
        <v>287</v>
      </c>
      <c r="D90" s="819"/>
      <c r="E90" s="779" t="s">
        <v>680</v>
      </c>
      <c r="F90" s="826" t="s">
        <v>779</v>
      </c>
      <c r="G90" s="781">
        <f t="shared" ref="G90:G110" si="71">H90+I90+J90+K90</f>
        <v>4000</v>
      </c>
      <c r="H90" s="768"/>
      <c r="I90" s="781">
        <v>4000</v>
      </c>
      <c r="J90" s="768"/>
      <c r="K90" s="768"/>
      <c r="L90" s="781">
        <f t="shared" ref="L90:L110" si="72">M90+N90+O90+P90</f>
        <v>2987.8519999999999</v>
      </c>
      <c r="M90" s="768"/>
      <c r="N90" s="781">
        <v>2987.8519999999999</v>
      </c>
      <c r="O90" s="768"/>
      <c r="P90" s="768"/>
      <c r="Q90" s="781">
        <f t="shared" ref="Q90:Q110" si="73">R90+S90+T90+U90</f>
        <v>3000</v>
      </c>
      <c r="R90" s="768"/>
      <c r="S90" s="781">
        <v>3000</v>
      </c>
      <c r="T90" s="768"/>
      <c r="U90" s="768"/>
      <c r="V90" s="781">
        <f t="shared" ref="V90:V110" si="74">W90+X90+Y90+Z90</f>
        <v>3000</v>
      </c>
      <c r="W90" s="768"/>
      <c r="X90" s="781">
        <v>3000</v>
      </c>
      <c r="Y90" s="768"/>
      <c r="Z90" s="768"/>
      <c r="AA90" s="781">
        <f t="shared" ref="AA90:AA110" si="75">AB90+AC90+AD90+AE90</f>
        <v>2987.8519999999999</v>
      </c>
      <c r="AB90" s="768"/>
      <c r="AC90" s="781">
        <v>2987.8519999999999</v>
      </c>
      <c r="AD90" s="768"/>
      <c r="AE90" s="768"/>
      <c r="AF90" s="783">
        <f t="shared" si="66"/>
        <v>0.99595066666666665</v>
      </c>
      <c r="AG90" s="784"/>
      <c r="AH90" s="785">
        <f t="shared" si="67"/>
        <v>0.99595066666666665</v>
      </c>
      <c r="AI90" s="770"/>
      <c r="AJ90" s="771"/>
      <c r="AK90" s="793"/>
      <c r="AL90" s="794"/>
      <c r="AM90" s="794"/>
      <c r="AN90" s="794"/>
      <c r="AO90" s="794"/>
      <c r="AP90" s="794"/>
      <c r="AQ90" s="794"/>
      <c r="AR90" s="794"/>
      <c r="AS90" s="794"/>
      <c r="AT90" s="794"/>
      <c r="AU90" s="794"/>
      <c r="AV90" s="794"/>
      <c r="AW90" s="794"/>
      <c r="AX90" s="794"/>
      <c r="AY90" s="794"/>
      <c r="AZ90" s="794"/>
      <c r="BA90" s="794"/>
      <c r="BB90" s="794"/>
      <c r="BC90" s="794"/>
      <c r="BD90" s="794"/>
      <c r="BE90" s="794"/>
      <c r="BF90" s="794"/>
      <c r="BG90" s="794"/>
      <c r="BH90" s="794"/>
      <c r="BI90" s="794"/>
    </row>
    <row r="91" spans="1:61" s="772" customFormat="1" ht="37.5" customHeight="1">
      <c r="A91" s="773"/>
      <c r="B91" s="804" t="s">
        <v>780</v>
      </c>
      <c r="C91" s="826" t="s">
        <v>781</v>
      </c>
      <c r="D91" s="826"/>
      <c r="E91" s="826" t="s">
        <v>680</v>
      </c>
      <c r="F91" s="826" t="s">
        <v>782</v>
      </c>
      <c r="G91" s="781">
        <f t="shared" si="71"/>
        <v>6000</v>
      </c>
      <c r="H91" s="768"/>
      <c r="I91" s="781">
        <v>6000</v>
      </c>
      <c r="J91" s="768"/>
      <c r="K91" s="768"/>
      <c r="L91" s="781">
        <f t="shared" si="72"/>
        <v>5000</v>
      </c>
      <c r="M91" s="768"/>
      <c r="N91" s="781">
        <v>5000</v>
      </c>
      <c r="O91" s="768"/>
      <c r="P91" s="768"/>
      <c r="Q91" s="781">
        <f t="shared" si="73"/>
        <v>5000</v>
      </c>
      <c r="R91" s="768"/>
      <c r="S91" s="781">
        <v>5000</v>
      </c>
      <c r="T91" s="768"/>
      <c r="U91" s="768"/>
      <c r="V91" s="781">
        <f t="shared" si="74"/>
        <v>5000</v>
      </c>
      <c r="W91" s="768"/>
      <c r="X91" s="781">
        <v>5000</v>
      </c>
      <c r="Y91" s="768"/>
      <c r="Z91" s="768"/>
      <c r="AA91" s="781">
        <f t="shared" si="75"/>
        <v>5000</v>
      </c>
      <c r="AB91" s="768"/>
      <c r="AC91" s="781">
        <v>5000</v>
      </c>
      <c r="AD91" s="768"/>
      <c r="AE91" s="768"/>
      <c r="AF91" s="783">
        <f t="shared" si="66"/>
        <v>1</v>
      </c>
      <c r="AG91" s="784"/>
      <c r="AH91" s="785">
        <f t="shared" si="67"/>
        <v>1</v>
      </c>
      <c r="AI91" s="770"/>
      <c r="AJ91" s="771"/>
      <c r="AK91" s="793"/>
      <c r="AL91" s="794"/>
      <c r="AM91" s="794"/>
      <c r="AN91" s="794"/>
      <c r="AO91" s="794"/>
      <c r="AP91" s="794"/>
      <c r="AQ91" s="794"/>
      <c r="AR91" s="794"/>
      <c r="AS91" s="794"/>
      <c r="AT91" s="794"/>
      <c r="AU91" s="794"/>
      <c r="AV91" s="794"/>
      <c r="AW91" s="794"/>
      <c r="AX91" s="794"/>
      <c r="AY91" s="794"/>
      <c r="AZ91" s="794"/>
      <c r="BA91" s="794"/>
      <c r="BB91" s="794"/>
      <c r="BC91" s="794"/>
      <c r="BD91" s="794"/>
      <c r="BE91" s="794"/>
      <c r="BF91" s="794"/>
      <c r="BG91" s="794"/>
      <c r="BH91" s="794"/>
      <c r="BI91" s="794"/>
    </row>
    <row r="92" spans="1:61" s="772" customFormat="1" ht="37.5" customHeight="1">
      <c r="A92" s="773"/>
      <c r="B92" s="804" t="s">
        <v>783</v>
      </c>
      <c r="C92" s="826" t="s">
        <v>291</v>
      </c>
      <c r="D92" s="826"/>
      <c r="E92" s="826" t="s">
        <v>680</v>
      </c>
      <c r="F92" s="826" t="s">
        <v>784</v>
      </c>
      <c r="G92" s="781">
        <f t="shared" si="71"/>
        <v>2900</v>
      </c>
      <c r="H92" s="768"/>
      <c r="I92" s="781">
        <v>2900</v>
      </c>
      <c r="J92" s="768"/>
      <c r="K92" s="768"/>
      <c r="L92" s="781">
        <f t="shared" si="72"/>
        <v>1000</v>
      </c>
      <c r="M92" s="768"/>
      <c r="N92" s="781">
        <v>1000</v>
      </c>
      <c r="O92" s="768"/>
      <c r="P92" s="768"/>
      <c r="Q92" s="781">
        <f t="shared" si="73"/>
        <v>1000</v>
      </c>
      <c r="R92" s="768"/>
      <c r="S92" s="781">
        <v>1000</v>
      </c>
      <c r="T92" s="768"/>
      <c r="U92" s="768"/>
      <c r="V92" s="781">
        <f t="shared" si="74"/>
        <v>1000</v>
      </c>
      <c r="W92" s="768"/>
      <c r="X92" s="781">
        <v>1000</v>
      </c>
      <c r="Y92" s="768"/>
      <c r="Z92" s="768"/>
      <c r="AA92" s="781">
        <f t="shared" si="75"/>
        <v>1000</v>
      </c>
      <c r="AB92" s="768"/>
      <c r="AC92" s="781">
        <v>1000</v>
      </c>
      <c r="AD92" s="768"/>
      <c r="AE92" s="768"/>
      <c r="AF92" s="783">
        <f t="shared" si="66"/>
        <v>1</v>
      </c>
      <c r="AG92" s="784"/>
      <c r="AH92" s="785">
        <f t="shared" si="67"/>
        <v>1</v>
      </c>
      <c r="AI92" s="770"/>
      <c r="AJ92" s="771"/>
      <c r="AK92" s="793"/>
      <c r="AL92" s="794"/>
      <c r="AM92" s="794"/>
      <c r="AN92" s="794"/>
      <c r="AO92" s="794"/>
      <c r="AP92" s="794"/>
      <c r="AQ92" s="794"/>
      <c r="AR92" s="794"/>
      <c r="AS92" s="794"/>
      <c r="AT92" s="794"/>
      <c r="AU92" s="794"/>
      <c r="AV92" s="794"/>
      <c r="AW92" s="794"/>
      <c r="AX92" s="794"/>
      <c r="AY92" s="794"/>
      <c r="AZ92" s="794"/>
      <c r="BA92" s="794"/>
      <c r="BB92" s="794"/>
      <c r="BC92" s="794"/>
      <c r="BD92" s="794"/>
      <c r="BE92" s="794"/>
      <c r="BF92" s="794"/>
      <c r="BG92" s="794"/>
      <c r="BH92" s="794"/>
      <c r="BI92" s="794"/>
    </row>
    <row r="93" spans="1:61" s="772" customFormat="1" ht="37.5" customHeight="1">
      <c r="A93" s="773"/>
      <c r="B93" s="804" t="s">
        <v>785</v>
      </c>
      <c r="C93" s="826" t="s">
        <v>292</v>
      </c>
      <c r="D93" s="826"/>
      <c r="E93" s="826" t="s">
        <v>680</v>
      </c>
      <c r="F93" s="826" t="s">
        <v>786</v>
      </c>
      <c r="G93" s="781">
        <f t="shared" si="71"/>
        <v>4347</v>
      </c>
      <c r="H93" s="768"/>
      <c r="I93" s="781">
        <v>4347</v>
      </c>
      <c r="J93" s="768"/>
      <c r="K93" s="768"/>
      <c r="L93" s="781">
        <f t="shared" si="72"/>
        <v>1687.8050000000001</v>
      </c>
      <c r="M93" s="768"/>
      <c r="N93" s="781">
        <v>1687.8050000000001</v>
      </c>
      <c r="O93" s="768"/>
      <c r="P93" s="768"/>
      <c r="Q93" s="781">
        <f t="shared" si="73"/>
        <v>2500</v>
      </c>
      <c r="R93" s="768"/>
      <c r="S93" s="781">
        <v>2500</v>
      </c>
      <c r="T93" s="768"/>
      <c r="U93" s="768"/>
      <c r="V93" s="781">
        <f t="shared" si="74"/>
        <v>2500</v>
      </c>
      <c r="W93" s="768"/>
      <c r="X93" s="781">
        <v>2500</v>
      </c>
      <c r="Y93" s="768"/>
      <c r="Z93" s="768"/>
      <c r="AA93" s="781">
        <f t="shared" si="75"/>
        <v>1687.8050000000001</v>
      </c>
      <c r="AB93" s="768"/>
      <c r="AC93" s="781">
        <v>1687.8050000000001</v>
      </c>
      <c r="AD93" s="768"/>
      <c r="AE93" s="768"/>
      <c r="AF93" s="783">
        <f t="shared" si="66"/>
        <v>0.675122</v>
      </c>
      <c r="AG93" s="784"/>
      <c r="AH93" s="785">
        <f t="shared" si="67"/>
        <v>0.675122</v>
      </c>
      <c r="AI93" s="770"/>
      <c r="AJ93" s="771"/>
      <c r="AK93" s="793"/>
      <c r="AL93" s="794"/>
      <c r="AM93" s="794"/>
      <c r="AN93" s="794"/>
      <c r="AO93" s="794"/>
      <c r="AP93" s="794"/>
      <c r="AQ93" s="794"/>
      <c r="AR93" s="794"/>
      <c r="AS93" s="794"/>
      <c r="AT93" s="794"/>
      <c r="AU93" s="794"/>
      <c r="AV93" s="794"/>
      <c r="AW93" s="794"/>
      <c r="AX93" s="794"/>
      <c r="AY93" s="794"/>
      <c r="AZ93" s="794"/>
      <c r="BA93" s="794"/>
      <c r="BB93" s="794"/>
      <c r="BC93" s="794"/>
      <c r="BD93" s="794"/>
      <c r="BE93" s="794"/>
      <c r="BF93" s="794"/>
      <c r="BG93" s="794"/>
      <c r="BH93" s="794"/>
      <c r="BI93" s="794"/>
    </row>
    <row r="94" spans="1:61" s="772" customFormat="1" ht="37.5" customHeight="1">
      <c r="A94" s="773"/>
      <c r="B94" s="804" t="s">
        <v>787</v>
      </c>
      <c r="C94" s="826" t="s">
        <v>286</v>
      </c>
      <c r="D94" s="826"/>
      <c r="E94" s="826" t="s">
        <v>680</v>
      </c>
      <c r="F94" s="826" t="s">
        <v>788</v>
      </c>
      <c r="G94" s="781">
        <f t="shared" si="71"/>
        <v>13545</v>
      </c>
      <c r="H94" s="768"/>
      <c r="I94" s="781">
        <v>13545</v>
      </c>
      <c r="J94" s="768"/>
      <c r="K94" s="768"/>
      <c r="L94" s="781">
        <f t="shared" si="72"/>
        <v>2912.3609999999999</v>
      </c>
      <c r="M94" s="768"/>
      <c r="N94" s="781">
        <v>2912.3609999999999</v>
      </c>
      <c r="O94" s="768"/>
      <c r="P94" s="768"/>
      <c r="Q94" s="781">
        <f t="shared" si="73"/>
        <v>5000</v>
      </c>
      <c r="R94" s="768"/>
      <c r="S94" s="781">
        <v>5000</v>
      </c>
      <c r="T94" s="768"/>
      <c r="U94" s="768"/>
      <c r="V94" s="781">
        <f t="shared" si="74"/>
        <v>5000</v>
      </c>
      <c r="W94" s="768"/>
      <c r="X94" s="781">
        <v>5000</v>
      </c>
      <c r="Y94" s="768"/>
      <c r="Z94" s="768"/>
      <c r="AA94" s="781">
        <f t="shared" si="75"/>
        <v>2912.3609999999999</v>
      </c>
      <c r="AB94" s="768"/>
      <c r="AC94" s="781">
        <v>2912.3609999999999</v>
      </c>
      <c r="AD94" s="768"/>
      <c r="AE94" s="768"/>
      <c r="AF94" s="783">
        <f t="shared" si="66"/>
        <v>0.5824722</v>
      </c>
      <c r="AG94" s="784"/>
      <c r="AH94" s="785">
        <f t="shared" si="67"/>
        <v>0.5824722</v>
      </c>
      <c r="AI94" s="770"/>
      <c r="AJ94" s="771"/>
      <c r="AK94" s="793"/>
      <c r="AL94" s="794"/>
      <c r="AM94" s="794"/>
      <c r="AN94" s="794"/>
      <c r="AO94" s="794"/>
      <c r="AP94" s="794"/>
      <c r="AQ94" s="794"/>
      <c r="AR94" s="794"/>
      <c r="AS94" s="794"/>
      <c r="AT94" s="794"/>
      <c r="AU94" s="794"/>
      <c r="AV94" s="794"/>
      <c r="AW94" s="794"/>
      <c r="AX94" s="794"/>
      <c r="AY94" s="794"/>
      <c r="AZ94" s="794"/>
      <c r="BA94" s="794"/>
      <c r="BB94" s="794"/>
      <c r="BC94" s="794"/>
      <c r="BD94" s="794"/>
      <c r="BE94" s="794"/>
      <c r="BF94" s="794"/>
      <c r="BG94" s="794"/>
      <c r="BH94" s="794"/>
      <c r="BI94" s="794"/>
    </row>
    <row r="95" spans="1:61" s="772" customFormat="1" ht="37.5" customHeight="1">
      <c r="A95" s="773"/>
      <c r="B95" s="804" t="s">
        <v>789</v>
      </c>
      <c r="C95" s="826" t="s">
        <v>286</v>
      </c>
      <c r="D95" s="826"/>
      <c r="E95" s="826" t="s">
        <v>680</v>
      </c>
      <c r="F95" s="826" t="s">
        <v>790</v>
      </c>
      <c r="G95" s="781">
        <f t="shared" si="71"/>
        <v>14900</v>
      </c>
      <c r="H95" s="768"/>
      <c r="I95" s="781">
        <v>14900</v>
      </c>
      <c r="J95" s="768"/>
      <c r="K95" s="768"/>
      <c r="L95" s="781">
        <f t="shared" si="72"/>
        <v>2460.5819999999999</v>
      </c>
      <c r="M95" s="768"/>
      <c r="N95" s="781">
        <v>2460.5819999999999</v>
      </c>
      <c r="O95" s="768"/>
      <c r="P95" s="768"/>
      <c r="Q95" s="781">
        <f t="shared" si="73"/>
        <v>6000</v>
      </c>
      <c r="R95" s="768"/>
      <c r="S95" s="781">
        <v>6000</v>
      </c>
      <c r="T95" s="768"/>
      <c r="U95" s="768"/>
      <c r="V95" s="781">
        <f t="shared" si="74"/>
        <v>6000</v>
      </c>
      <c r="W95" s="768"/>
      <c r="X95" s="781">
        <v>6000</v>
      </c>
      <c r="Y95" s="768"/>
      <c r="Z95" s="768"/>
      <c r="AA95" s="781">
        <f t="shared" si="75"/>
        <v>2460.5819999999999</v>
      </c>
      <c r="AB95" s="768"/>
      <c r="AC95" s="781">
        <v>2460.5819999999999</v>
      </c>
      <c r="AD95" s="768"/>
      <c r="AE95" s="768"/>
      <c r="AF95" s="783">
        <f t="shared" si="66"/>
        <v>0.41009699999999999</v>
      </c>
      <c r="AG95" s="784"/>
      <c r="AH95" s="785">
        <f t="shared" si="67"/>
        <v>0.41009699999999999</v>
      </c>
      <c r="AI95" s="770"/>
      <c r="AJ95" s="771"/>
      <c r="AK95" s="793"/>
      <c r="AL95" s="794"/>
      <c r="AM95" s="794"/>
      <c r="AN95" s="794"/>
      <c r="AO95" s="794"/>
      <c r="AP95" s="794"/>
      <c r="AQ95" s="794"/>
      <c r="AR95" s="794"/>
      <c r="AS95" s="794"/>
      <c r="AT95" s="794"/>
      <c r="AU95" s="794"/>
      <c r="AV95" s="794"/>
      <c r="AW95" s="794"/>
      <c r="AX95" s="794"/>
      <c r="AY95" s="794"/>
      <c r="AZ95" s="794"/>
      <c r="BA95" s="794"/>
      <c r="BB95" s="794"/>
      <c r="BC95" s="794"/>
      <c r="BD95" s="794"/>
      <c r="BE95" s="794"/>
      <c r="BF95" s="794"/>
      <c r="BG95" s="794"/>
      <c r="BH95" s="794"/>
      <c r="BI95" s="794"/>
    </row>
    <row r="96" spans="1:61" s="772" customFormat="1" ht="37.5" customHeight="1">
      <c r="A96" s="773"/>
      <c r="B96" s="804" t="s">
        <v>791</v>
      </c>
      <c r="C96" s="826" t="s">
        <v>283</v>
      </c>
      <c r="D96" s="826"/>
      <c r="E96" s="826" t="s">
        <v>680</v>
      </c>
      <c r="F96" s="826" t="s">
        <v>792</v>
      </c>
      <c r="G96" s="781">
        <f t="shared" si="71"/>
        <v>2600</v>
      </c>
      <c r="H96" s="768"/>
      <c r="I96" s="781">
        <v>2600</v>
      </c>
      <c r="J96" s="768"/>
      <c r="K96" s="768"/>
      <c r="L96" s="781">
        <f t="shared" si="72"/>
        <v>1233.4469999999999</v>
      </c>
      <c r="M96" s="768"/>
      <c r="N96" s="781">
        <v>1233.4469999999999</v>
      </c>
      <c r="O96" s="768"/>
      <c r="P96" s="768"/>
      <c r="Q96" s="781">
        <f t="shared" si="73"/>
        <v>1500</v>
      </c>
      <c r="R96" s="768"/>
      <c r="S96" s="781">
        <v>1500</v>
      </c>
      <c r="T96" s="768"/>
      <c r="U96" s="768"/>
      <c r="V96" s="781">
        <f t="shared" si="74"/>
        <v>1500</v>
      </c>
      <c r="W96" s="768"/>
      <c r="X96" s="781">
        <v>1500</v>
      </c>
      <c r="Y96" s="768"/>
      <c r="Z96" s="768"/>
      <c r="AA96" s="781">
        <f t="shared" si="75"/>
        <v>1233.4469999999999</v>
      </c>
      <c r="AB96" s="768"/>
      <c r="AC96" s="781">
        <v>1233.4469999999999</v>
      </c>
      <c r="AD96" s="768"/>
      <c r="AE96" s="768"/>
      <c r="AF96" s="783">
        <f t="shared" si="66"/>
        <v>0.82229799999999997</v>
      </c>
      <c r="AG96" s="784"/>
      <c r="AH96" s="785">
        <f t="shared" si="67"/>
        <v>0.82229799999999997</v>
      </c>
      <c r="AI96" s="770"/>
      <c r="AJ96" s="771"/>
      <c r="AK96" s="793"/>
      <c r="AL96" s="794"/>
      <c r="AM96" s="794"/>
      <c r="AN96" s="794"/>
      <c r="AO96" s="794"/>
      <c r="AP96" s="794"/>
      <c r="AQ96" s="794"/>
      <c r="AR96" s="794"/>
      <c r="AS96" s="794"/>
      <c r="AT96" s="794"/>
      <c r="AU96" s="794"/>
      <c r="AV96" s="794"/>
      <c r="AW96" s="794"/>
      <c r="AX96" s="794"/>
      <c r="AY96" s="794"/>
      <c r="AZ96" s="794"/>
      <c r="BA96" s="794"/>
      <c r="BB96" s="794"/>
      <c r="BC96" s="794"/>
      <c r="BD96" s="794"/>
      <c r="BE96" s="794"/>
      <c r="BF96" s="794"/>
      <c r="BG96" s="794"/>
      <c r="BH96" s="794"/>
      <c r="BI96" s="794"/>
    </row>
    <row r="97" spans="1:61" s="772" customFormat="1" ht="37.5" customHeight="1">
      <c r="A97" s="773"/>
      <c r="B97" s="804" t="s">
        <v>793</v>
      </c>
      <c r="C97" s="826" t="s">
        <v>292</v>
      </c>
      <c r="D97" s="826"/>
      <c r="E97" s="826" t="s">
        <v>680</v>
      </c>
      <c r="F97" s="826" t="s">
        <v>794</v>
      </c>
      <c r="G97" s="781">
        <f t="shared" si="71"/>
        <v>5500</v>
      </c>
      <c r="H97" s="768"/>
      <c r="I97" s="781">
        <v>5500</v>
      </c>
      <c r="J97" s="768"/>
      <c r="K97" s="768"/>
      <c r="L97" s="781">
        <f t="shared" si="72"/>
        <v>1643.308</v>
      </c>
      <c r="M97" s="768"/>
      <c r="N97" s="781">
        <v>1643.308</v>
      </c>
      <c r="O97" s="768"/>
      <c r="P97" s="768"/>
      <c r="Q97" s="781">
        <f t="shared" si="73"/>
        <v>2500</v>
      </c>
      <c r="R97" s="768"/>
      <c r="S97" s="781">
        <v>2500</v>
      </c>
      <c r="T97" s="768"/>
      <c r="U97" s="768"/>
      <c r="V97" s="781">
        <f t="shared" si="74"/>
        <v>2500</v>
      </c>
      <c r="W97" s="768"/>
      <c r="X97" s="781">
        <v>2500</v>
      </c>
      <c r="Y97" s="768"/>
      <c r="Z97" s="768"/>
      <c r="AA97" s="781">
        <f t="shared" si="75"/>
        <v>1643.308</v>
      </c>
      <c r="AB97" s="768"/>
      <c r="AC97" s="781">
        <v>1643.308</v>
      </c>
      <c r="AD97" s="768"/>
      <c r="AE97" s="768"/>
      <c r="AF97" s="783">
        <f t="shared" si="66"/>
        <v>0.6573232</v>
      </c>
      <c r="AG97" s="784"/>
      <c r="AH97" s="785">
        <f t="shared" si="67"/>
        <v>0.6573232</v>
      </c>
      <c r="AI97" s="770"/>
      <c r="AJ97" s="771"/>
      <c r="AK97" s="793"/>
      <c r="AL97" s="794"/>
      <c r="AM97" s="794"/>
      <c r="AN97" s="794"/>
      <c r="AO97" s="794"/>
      <c r="AP97" s="794"/>
      <c r="AQ97" s="794"/>
      <c r="AR97" s="794"/>
      <c r="AS97" s="794"/>
      <c r="AT97" s="794"/>
      <c r="AU97" s="794"/>
      <c r="AV97" s="794"/>
      <c r="AW97" s="794"/>
      <c r="AX97" s="794"/>
      <c r="AY97" s="794"/>
      <c r="AZ97" s="794"/>
      <c r="BA97" s="794"/>
      <c r="BB97" s="794"/>
      <c r="BC97" s="794"/>
      <c r="BD97" s="794"/>
      <c r="BE97" s="794"/>
      <c r="BF97" s="794"/>
      <c r="BG97" s="794"/>
      <c r="BH97" s="794"/>
      <c r="BI97" s="794"/>
    </row>
    <row r="98" spans="1:61" s="772" customFormat="1" ht="37.5" customHeight="1">
      <c r="A98" s="773"/>
      <c r="B98" s="804" t="s">
        <v>795</v>
      </c>
      <c r="C98" s="826" t="s">
        <v>290</v>
      </c>
      <c r="D98" s="826"/>
      <c r="E98" s="826" t="s">
        <v>680</v>
      </c>
      <c r="F98" s="826" t="s">
        <v>796</v>
      </c>
      <c r="G98" s="781">
        <f t="shared" si="71"/>
        <v>13000</v>
      </c>
      <c r="H98" s="768"/>
      <c r="I98" s="781">
        <v>13000</v>
      </c>
      <c r="J98" s="768"/>
      <c r="K98" s="768"/>
      <c r="L98" s="781">
        <f t="shared" si="72"/>
        <v>5000</v>
      </c>
      <c r="M98" s="768"/>
      <c r="N98" s="781">
        <v>5000</v>
      </c>
      <c r="O98" s="768"/>
      <c r="P98" s="768"/>
      <c r="Q98" s="781">
        <f t="shared" si="73"/>
        <v>5000</v>
      </c>
      <c r="R98" s="768"/>
      <c r="S98" s="781">
        <v>5000</v>
      </c>
      <c r="T98" s="768"/>
      <c r="U98" s="768"/>
      <c r="V98" s="781">
        <f t="shared" si="74"/>
        <v>5000</v>
      </c>
      <c r="W98" s="768"/>
      <c r="X98" s="781">
        <v>5000</v>
      </c>
      <c r="Y98" s="768"/>
      <c r="Z98" s="768"/>
      <c r="AA98" s="781">
        <f t="shared" si="75"/>
        <v>5000</v>
      </c>
      <c r="AB98" s="768"/>
      <c r="AC98" s="781">
        <v>5000</v>
      </c>
      <c r="AD98" s="768"/>
      <c r="AE98" s="768"/>
      <c r="AF98" s="783">
        <f t="shared" si="66"/>
        <v>1</v>
      </c>
      <c r="AG98" s="784"/>
      <c r="AH98" s="785">
        <f t="shared" si="67"/>
        <v>1</v>
      </c>
      <c r="AI98" s="770"/>
      <c r="AJ98" s="771"/>
      <c r="AK98" s="793"/>
      <c r="AL98" s="794"/>
      <c r="AM98" s="794"/>
      <c r="AN98" s="794"/>
      <c r="AO98" s="794"/>
      <c r="AP98" s="794"/>
      <c r="AQ98" s="794"/>
      <c r="AR98" s="794"/>
      <c r="AS98" s="794"/>
      <c r="AT98" s="794"/>
      <c r="AU98" s="794"/>
      <c r="AV98" s="794"/>
      <c r="AW98" s="794"/>
      <c r="AX98" s="794"/>
      <c r="AY98" s="794"/>
      <c r="AZ98" s="794"/>
      <c r="BA98" s="794"/>
      <c r="BB98" s="794"/>
      <c r="BC98" s="794"/>
      <c r="BD98" s="794"/>
      <c r="BE98" s="794"/>
      <c r="BF98" s="794"/>
      <c r="BG98" s="794"/>
      <c r="BH98" s="794"/>
      <c r="BI98" s="794"/>
    </row>
    <row r="99" spans="1:61" s="772" customFormat="1" ht="37.5" customHeight="1">
      <c r="A99" s="773"/>
      <c r="B99" s="804" t="s">
        <v>797</v>
      </c>
      <c r="C99" s="826" t="s">
        <v>291</v>
      </c>
      <c r="D99" s="826"/>
      <c r="E99" s="826" t="s">
        <v>680</v>
      </c>
      <c r="F99" s="826" t="s">
        <v>798</v>
      </c>
      <c r="G99" s="781">
        <f t="shared" si="71"/>
        <v>10100</v>
      </c>
      <c r="H99" s="768"/>
      <c r="I99" s="781">
        <v>10100</v>
      </c>
      <c r="J99" s="768"/>
      <c r="K99" s="768"/>
      <c r="L99" s="781">
        <f t="shared" si="72"/>
        <v>4623</v>
      </c>
      <c r="M99" s="768"/>
      <c r="N99" s="781">
        <v>4623</v>
      </c>
      <c r="O99" s="768"/>
      <c r="P99" s="768"/>
      <c r="Q99" s="781">
        <f t="shared" si="73"/>
        <v>5000</v>
      </c>
      <c r="R99" s="768"/>
      <c r="S99" s="781">
        <v>5000</v>
      </c>
      <c r="T99" s="768"/>
      <c r="U99" s="768"/>
      <c r="V99" s="781">
        <f t="shared" si="74"/>
        <v>5000</v>
      </c>
      <c r="W99" s="768"/>
      <c r="X99" s="781">
        <v>5000</v>
      </c>
      <c r="Y99" s="768"/>
      <c r="Z99" s="768"/>
      <c r="AA99" s="781">
        <f t="shared" si="75"/>
        <v>4623</v>
      </c>
      <c r="AB99" s="768"/>
      <c r="AC99" s="781">
        <v>4623</v>
      </c>
      <c r="AD99" s="768"/>
      <c r="AE99" s="768"/>
      <c r="AF99" s="783">
        <f t="shared" si="66"/>
        <v>0.92459999999999998</v>
      </c>
      <c r="AG99" s="784"/>
      <c r="AH99" s="785">
        <f t="shared" si="67"/>
        <v>0.92459999999999998</v>
      </c>
      <c r="AI99" s="770"/>
      <c r="AJ99" s="771"/>
      <c r="AK99" s="793"/>
      <c r="AL99" s="794"/>
      <c r="AM99" s="794"/>
      <c r="AN99" s="794"/>
      <c r="AO99" s="794"/>
      <c r="AP99" s="794"/>
      <c r="AQ99" s="794"/>
      <c r="AR99" s="794"/>
      <c r="AS99" s="794"/>
      <c r="AT99" s="794"/>
      <c r="AU99" s="794"/>
      <c r="AV99" s="794"/>
      <c r="AW99" s="794"/>
      <c r="AX99" s="794"/>
      <c r="AY99" s="794"/>
      <c r="AZ99" s="794"/>
      <c r="BA99" s="794"/>
      <c r="BB99" s="794"/>
      <c r="BC99" s="794"/>
      <c r="BD99" s="794"/>
      <c r="BE99" s="794"/>
      <c r="BF99" s="794"/>
      <c r="BG99" s="794"/>
      <c r="BH99" s="794"/>
      <c r="BI99" s="794"/>
    </row>
    <row r="100" spans="1:61" s="772" customFormat="1" ht="37.5" customHeight="1">
      <c r="A100" s="773"/>
      <c r="B100" s="804" t="s">
        <v>799</v>
      </c>
      <c r="C100" s="826" t="s">
        <v>291</v>
      </c>
      <c r="D100" s="826"/>
      <c r="E100" s="826" t="s">
        <v>680</v>
      </c>
      <c r="F100" s="826" t="s">
        <v>800</v>
      </c>
      <c r="G100" s="781">
        <f t="shared" si="71"/>
        <v>14900</v>
      </c>
      <c r="H100" s="768"/>
      <c r="I100" s="781">
        <v>14900</v>
      </c>
      <c r="J100" s="768"/>
      <c r="K100" s="768"/>
      <c r="L100" s="781">
        <f t="shared" si="72"/>
        <v>5454.4179999999997</v>
      </c>
      <c r="M100" s="768"/>
      <c r="N100" s="781">
        <v>5454.4179999999997</v>
      </c>
      <c r="O100" s="768"/>
      <c r="P100" s="768"/>
      <c r="Q100" s="781">
        <f t="shared" si="73"/>
        <v>8500</v>
      </c>
      <c r="R100" s="768"/>
      <c r="S100" s="781">
        <v>8500</v>
      </c>
      <c r="T100" s="768"/>
      <c r="U100" s="768"/>
      <c r="V100" s="781">
        <f t="shared" si="74"/>
        <v>8500</v>
      </c>
      <c r="W100" s="768"/>
      <c r="X100" s="781">
        <v>8500</v>
      </c>
      <c r="Y100" s="768"/>
      <c r="Z100" s="768"/>
      <c r="AA100" s="781">
        <f t="shared" si="75"/>
        <v>5454.4179999999997</v>
      </c>
      <c r="AB100" s="768"/>
      <c r="AC100" s="781">
        <v>5454.4179999999997</v>
      </c>
      <c r="AD100" s="768"/>
      <c r="AE100" s="768"/>
      <c r="AF100" s="783">
        <f t="shared" si="66"/>
        <v>0.64169623529411757</v>
      </c>
      <c r="AG100" s="784"/>
      <c r="AH100" s="785">
        <f t="shared" si="67"/>
        <v>0.64169623529411757</v>
      </c>
      <c r="AI100" s="770"/>
      <c r="AJ100" s="771"/>
      <c r="AK100" s="793"/>
      <c r="AL100" s="794"/>
      <c r="AM100" s="794"/>
      <c r="AN100" s="794"/>
      <c r="AO100" s="794"/>
      <c r="AP100" s="794"/>
      <c r="AQ100" s="794"/>
      <c r="AR100" s="794"/>
      <c r="AS100" s="794"/>
      <c r="AT100" s="794"/>
      <c r="AU100" s="794"/>
      <c r="AV100" s="794"/>
      <c r="AW100" s="794"/>
      <c r="AX100" s="794"/>
      <c r="AY100" s="794"/>
      <c r="AZ100" s="794"/>
      <c r="BA100" s="794"/>
      <c r="BB100" s="794"/>
      <c r="BC100" s="794"/>
      <c r="BD100" s="794"/>
      <c r="BE100" s="794"/>
      <c r="BF100" s="794"/>
      <c r="BG100" s="794"/>
      <c r="BH100" s="794"/>
      <c r="BI100" s="794"/>
    </row>
    <row r="101" spans="1:61" s="772" customFormat="1" ht="37.5" customHeight="1">
      <c r="A101" s="773"/>
      <c r="B101" s="804" t="s">
        <v>801</v>
      </c>
      <c r="C101" s="826" t="s">
        <v>281</v>
      </c>
      <c r="D101" s="826"/>
      <c r="E101" s="826" t="s">
        <v>680</v>
      </c>
      <c r="F101" s="826" t="s">
        <v>802</v>
      </c>
      <c r="G101" s="781">
        <f t="shared" si="71"/>
        <v>3200</v>
      </c>
      <c r="H101" s="768"/>
      <c r="I101" s="781">
        <v>3200</v>
      </c>
      <c r="J101" s="768"/>
      <c r="K101" s="768"/>
      <c r="L101" s="781">
        <f t="shared" si="72"/>
        <v>1401.2260000000001</v>
      </c>
      <c r="M101" s="768"/>
      <c r="N101" s="781">
        <v>1401.2260000000001</v>
      </c>
      <c r="O101" s="768"/>
      <c r="P101" s="768"/>
      <c r="Q101" s="781">
        <f t="shared" si="73"/>
        <v>2000</v>
      </c>
      <c r="R101" s="768"/>
      <c r="S101" s="781">
        <v>2000</v>
      </c>
      <c r="T101" s="768"/>
      <c r="U101" s="768"/>
      <c r="V101" s="781">
        <f t="shared" si="74"/>
        <v>2000</v>
      </c>
      <c r="W101" s="768"/>
      <c r="X101" s="781">
        <v>2000</v>
      </c>
      <c r="Y101" s="768"/>
      <c r="Z101" s="768"/>
      <c r="AA101" s="781">
        <f t="shared" si="75"/>
        <v>1401.2260000000001</v>
      </c>
      <c r="AB101" s="768"/>
      <c r="AC101" s="781">
        <v>1401.2260000000001</v>
      </c>
      <c r="AD101" s="768"/>
      <c r="AE101" s="768"/>
      <c r="AF101" s="783">
        <f t="shared" si="66"/>
        <v>0.70061300000000004</v>
      </c>
      <c r="AG101" s="784"/>
      <c r="AH101" s="785">
        <f t="shared" si="67"/>
        <v>0.70061300000000004</v>
      </c>
      <c r="AI101" s="770"/>
      <c r="AJ101" s="771"/>
      <c r="AK101" s="793"/>
      <c r="AL101" s="794"/>
      <c r="AM101" s="794"/>
      <c r="AN101" s="794"/>
      <c r="AO101" s="794"/>
      <c r="AP101" s="794"/>
      <c r="AQ101" s="794"/>
      <c r="AR101" s="794"/>
      <c r="AS101" s="794"/>
      <c r="AT101" s="794"/>
      <c r="AU101" s="794"/>
      <c r="AV101" s="794"/>
      <c r="AW101" s="794"/>
      <c r="AX101" s="794"/>
      <c r="AY101" s="794"/>
      <c r="AZ101" s="794"/>
      <c r="BA101" s="794"/>
      <c r="BB101" s="794"/>
      <c r="BC101" s="794"/>
      <c r="BD101" s="794"/>
      <c r="BE101" s="794"/>
      <c r="BF101" s="794"/>
      <c r="BG101" s="794"/>
      <c r="BH101" s="794"/>
      <c r="BI101" s="794"/>
    </row>
    <row r="102" spans="1:61" s="772" customFormat="1" ht="37.5" customHeight="1">
      <c r="A102" s="773"/>
      <c r="B102" s="804" t="s">
        <v>803</v>
      </c>
      <c r="C102" s="826" t="s">
        <v>281</v>
      </c>
      <c r="D102" s="826"/>
      <c r="E102" s="826" t="s">
        <v>804</v>
      </c>
      <c r="F102" s="826" t="s">
        <v>805</v>
      </c>
      <c r="G102" s="781">
        <f t="shared" si="71"/>
        <v>2500</v>
      </c>
      <c r="H102" s="768"/>
      <c r="I102" s="781">
        <v>2500</v>
      </c>
      <c r="J102" s="768"/>
      <c r="K102" s="768"/>
      <c r="L102" s="781">
        <f t="shared" si="72"/>
        <v>432.351</v>
      </c>
      <c r="M102" s="768"/>
      <c r="N102" s="781">
        <v>432.351</v>
      </c>
      <c r="O102" s="768"/>
      <c r="P102" s="768"/>
      <c r="Q102" s="781">
        <f t="shared" si="73"/>
        <v>1000</v>
      </c>
      <c r="R102" s="768"/>
      <c r="S102" s="781">
        <v>1000</v>
      </c>
      <c r="T102" s="768"/>
      <c r="U102" s="768"/>
      <c r="V102" s="781">
        <f t="shared" si="74"/>
        <v>1000</v>
      </c>
      <c r="W102" s="768"/>
      <c r="X102" s="781">
        <v>1000</v>
      </c>
      <c r="Y102" s="768"/>
      <c r="Z102" s="768"/>
      <c r="AA102" s="781">
        <f t="shared" si="75"/>
        <v>432.351</v>
      </c>
      <c r="AB102" s="768"/>
      <c r="AC102" s="781">
        <v>432.351</v>
      </c>
      <c r="AD102" s="768"/>
      <c r="AE102" s="768"/>
      <c r="AF102" s="783">
        <f t="shared" si="66"/>
        <v>0.43235099999999999</v>
      </c>
      <c r="AG102" s="784"/>
      <c r="AH102" s="785">
        <f t="shared" si="67"/>
        <v>0.43235099999999999</v>
      </c>
      <c r="AI102" s="770"/>
      <c r="AJ102" s="771"/>
      <c r="AK102" s="793"/>
      <c r="AL102" s="794"/>
      <c r="AM102" s="794"/>
      <c r="AN102" s="794"/>
      <c r="AO102" s="794"/>
      <c r="AP102" s="794"/>
      <c r="AQ102" s="794"/>
      <c r="AR102" s="794"/>
      <c r="AS102" s="794"/>
      <c r="AT102" s="794"/>
      <c r="AU102" s="794"/>
      <c r="AV102" s="794"/>
      <c r="AW102" s="794"/>
      <c r="AX102" s="794"/>
      <c r="AY102" s="794"/>
      <c r="AZ102" s="794"/>
      <c r="BA102" s="794"/>
      <c r="BB102" s="794"/>
      <c r="BC102" s="794"/>
      <c r="BD102" s="794"/>
      <c r="BE102" s="794"/>
      <c r="BF102" s="794"/>
      <c r="BG102" s="794"/>
      <c r="BH102" s="794"/>
      <c r="BI102" s="794"/>
    </row>
    <row r="103" spans="1:61" s="772" customFormat="1" ht="37.5" customHeight="1">
      <c r="A103" s="773"/>
      <c r="B103" s="804" t="s">
        <v>806</v>
      </c>
      <c r="C103" s="826" t="s">
        <v>293</v>
      </c>
      <c r="D103" s="826"/>
      <c r="E103" s="826" t="s">
        <v>804</v>
      </c>
      <c r="F103" s="826" t="s">
        <v>807</v>
      </c>
      <c r="G103" s="781">
        <f t="shared" si="71"/>
        <v>5000</v>
      </c>
      <c r="H103" s="768"/>
      <c r="I103" s="781">
        <v>5000</v>
      </c>
      <c r="J103" s="768"/>
      <c r="K103" s="768"/>
      <c r="L103" s="781">
        <f t="shared" si="72"/>
        <v>826.14</v>
      </c>
      <c r="M103" s="768"/>
      <c r="N103" s="781">
        <v>826.14</v>
      </c>
      <c r="O103" s="768"/>
      <c r="P103" s="768"/>
      <c r="Q103" s="781">
        <f t="shared" si="73"/>
        <v>2000</v>
      </c>
      <c r="R103" s="768"/>
      <c r="S103" s="781">
        <v>2000</v>
      </c>
      <c r="T103" s="768"/>
      <c r="U103" s="768"/>
      <c r="V103" s="781">
        <f t="shared" si="74"/>
        <v>2000</v>
      </c>
      <c r="W103" s="768"/>
      <c r="X103" s="781">
        <v>2000</v>
      </c>
      <c r="Y103" s="768"/>
      <c r="Z103" s="768"/>
      <c r="AA103" s="781">
        <f t="shared" si="75"/>
        <v>826.14</v>
      </c>
      <c r="AB103" s="768"/>
      <c r="AC103" s="781">
        <v>826.14</v>
      </c>
      <c r="AD103" s="768"/>
      <c r="AE103" s="768"/>
      <c r="AF103" s="783">
        <f t="shared" si="66"/>
        <v>0.41306999999999999</v>
      </c>
      <c r="AG103" s="784"/>
      <c r="AH103" s="785">
        <f t="shared" si="67"/>
        <v>0.41306999999999999</v>
      </c>
      <c r="AI103" s="770"/>
      <c r="AJ103" s="771"/>
      <c r="AK103" s="793"/>
      <c r="AL103" s="794"/>
      <c r="AM103" s="794"/>
      <c r="AN103" s="794"/>
      <c r="AO103" s="794"/>
      <c r="AP103" s="794"/>
      <c r="AQ103" s="794"/>
      <c r="AR103" s="794"/>
      <c r="AS103" s="794"/>
      <c r="AT103" s="794"/>
      <c r="AU103" s="794"/>
      <c r="AV103" s="794"/>
      <c r="AW103" s="794"/>
      <c r="AX103" s="794"/>
      <c r="AY103" s="794"/>
      <c r="AZ103" s="794"/>
      <c r="BA103" s="794"/>
      <c r="BB103" s="794"/>
      <c r="BC103" s="794"/>
      <c r="BD103" s="794"/>
      <c r="BE103" s="794"/>
      <c r="BF103" s="794"/>
      <c r="BG103" s="794"/>
      <c r="BH103" s="794"/>
      <c r="BI103" s="794"/>
    </row>
    <row r="104" spans="1:61" s="772" customFormat="1" ht="37.5" customHeight="1">
      <c r="A104" s="773"/>
      <c r="B104" s="804" t="s">
        <v>808</v>
      </c>
      <c r="C104" s="826" t="s">
        <v>289</v>
      </c>
      <c r="D104" s="826"/>
      <c r="E104" s="826" t="s">
        <v>804</v>
      </c>
      <c r="F104" s="826" t="s">
        <v>809</v>
      </c>
      <c r="G104" s="781">
        <f t="shared" si="71"/>
        <v>3286</v>
      </c>
      <c r="H104" s="768"/>
      <c r="I104" s="781">
        <v>3286</v>
      </c>
      <c r="J104" s="768"/>
      <c r="K104" s="768"/>
      <c r="L104" s="781">
        <f t="shared" si="72"/>
        <v>1038.0619999999999</v>
      </c>
      <c r="M104" s="768"/>
      <c r="N104" s="781">
        <v>1038.0619999999999</v>
      </c>
      <c r="O104" s="768"/>
      <c r="P104" s="768"/>
      <c r="Q104" s="781">
        <f t="shared" si="73"/>
        <v>1500</v>
      </c>
      <c r="R104" s="768"/>
      <c r="S104" s="781">
        <v>1500</v>
      </c>
      <c r="T104" s="768"/>
      <c r="U104" s="768"/>
      <c r="V104" s="781">
        <f t="shared" si="74"/>
        <v>1500</v>
      </c>
      <c r="W104" s="768"/>
      <c r="X104" s="781">
        <v>1500</v>
      </c>
      <c r="Y104" s="768"/>
      <c r="Z104" s="768"/>
      <c r="AA104" s="781">
        <f t="shared" si="75"/>
        <v>1038.0619999999999</v>
      </c>
      <c r="AB104" s="768"/>
      <c r="AC104" s="781">
        <v>1038.0619999999999</v>
      </c>
      <c r="AD104" s="768"/>
      <c r="AE104" s="768"/>
      <c r="AF104" s="783">
        <f t="shared" si="66"/>
        <v>0.69204133333333329</v>
      </c>
      <c r="AG104" s="784"/>
      <c r="AH104" s="785">
        <f t="shared" si="67"/>
        <v>0.69204133333333329</v>
      </c>
      <c r="AI104" s="770"/>
      <c r="AJ104" s="771"/>
      <c r="AK104" s="793"/>
      <c r="AL104" s="794"/>
      <c r="AM104" s="794"/>
      <c r="AN104" s="794"/>
      <c r="AO104" s="794"/>
      <c r="AP104" s="794"/>
      <c r="AQ104" s="794"/>
      <c r="AR104" s="794"/>
      <c r="AS104" s="794"/>
      <c r="AT104" s="794"/>
      <c r="AU104" s="794"/>
      <c r="AV104" s="794"/>
      <c r="AW104" s="794"/>
      <c r="AX104" s="794"/>
      <c r="AY104" s="794"/>
      <c r="AZ104" s="794"/>
      <c r="BA104" s="794"/>
      <c r="BB104" s="794"/>
      <c r="BC104" s="794"/>
      <c r="BD104" s="794"/>
      <c r="BE104" s="794"/>
      <c r="BF104" s="794"/>
      <c r="BG104" s="794"/>
      <c r="BH104" s="794"/>
      <c r="BI104" s="794"/>
    </row>
    <row r="105" spans="1:61" s="772" customFormat="1" ht="37.5" customHeight="1">
      <c r="A105" s="773"/>
      <c r="B105" s="804" t="s">
        <v>810</v>
      </c>
      <c r="C105" s="826" t="s">
        <v>811</v>
      </c>
      <c r="D105" s="826"/>
      <c r="E105" s="826" t="s">
        <v>680</v>
      </c>
      <c r="F105" s="826" t="s">
        <v>812</v>
      </c>
      <c r="G105" s="781">
        <f t="shared" si="71"/>
        <v>14028</v>
      </c>
      <c r="H105" s="768"/>
      <c r="I105" s="781">
        <v>14028</v>
      </c>
      <c r="J105" s="768"/>
      <c r="K105" s="768"/>
      <c r="L105" s="781">
        <f t="shared" si="72"/>
        <v>7300</v>
      </c>
      <c r="M105" s="768"/>
      <c r="N105" s="781">
        <v>7300</v>
      </c>
      <c r="O105" s="768"/>
      <c r="P105" s="768"/>
      <c r="Q105" s="781">
        <f t="shared" si="73"/>
        <v>7500</v>
      </c>
      <c r="R105" s="768"/>
      <c r="S105" s="781">
        <v>7500</v>
      </c>
      <c r="T105" s="768"/>
      <c r="U105" s="768"/>
      <c r="V105" s="781">
        <f t="shared" si="74"/>
        <v>7500</v>
      </c>
      <c r="W105" s="768"/>
      <c r="X105" s="781">
        <v>7500</v>
      </c>
      <c r="Y105" s="768"/>
      <c r="Z105" s="768"/>
      <c r="AA105" s="781">
        <f t="shared" si="75"/>
        <v>7300</v>
      </c>
      <c r="AB105" s="768"/>
      <c r="AC105" s="781">
        <v>7300</v>
      </c>
      <c r="AD105" s="768"/>
      <c r="AE105" s="768"/>
      <c r="AF105" s="783">
        <f t="shared" si="66"/>
        <v>0.97333333333333338</v>
      </c>
      <c r="AG105" s="784"/>
      <c r="AH105" s="785">
        <f t="shared" si="67"/>
        <v>0.97333333333333338</v>
      </c>
      <c r="AI105" s="770"/>
      <c r="AJ105" s="771"/>
      <c r="AK105" s="793"/>
      <c r="AL105" s="794"/>
      <c r="AM105" s="794"/>
      <c r="AN105" s="794"/>
      <c r="AO105" s="794"/>
      <c r="AP105" s="794"/>
      <c r="AQ105" s="794"/>
      <c r="AR105" s="794"/>
      <c r="AS105" s="794"/>
      <c r="AT105" s="794"/>
      <c r="AU105" s="794"/>
      <c r="AV105" s="794"/>
      <c r="AW105" s="794"/>
      <c r="AX105" s="794"/>
      <c r="AY105" s="794"/>
      <c r="AZ105" s="794"/>
      <c r="BA105" s="794"/>
      <c r="BB105" s="794"/>
      <c r="BC105" s="794"/>
      <c r="BD105" s="794"/>
      <c r="BE105" s="794"/>
      <c r="BF105" s="794"/>
      <c r="BG105" s="794"/>
      <c r="BH105" s="794"/>
      <c r="BI105" s="794"/>
    </row>
    <row r="106" spans="1:61" s="772" customFormat="1" ht="37.5" customHeight="1">
      <c r="A106" s="773"/>
      <c r="B106" s="804" t="s">
        <v>813</v>
      </c>
      <c r="C106" s="826" t="s">
        <v>284</v>
      </c>
      <c r="D106" s="826"/>
      <c r="E106" s="826" t="s">
        <v>680</v>
      </c>
      <c r="F106" s="826" t="s">
        <v>814</v>
      </c>
      <c r="G106" s="781">
        <f t="shared" si="71"/>
        <v>10000</v>
      </c>
      <c r="H106" s="768"/>
      <c r="I106" s="781">
        <v>10000</v>
      </c>
      <c r="J106" s="768"/>
      <c r="K106" s="768"/>
      <c r="L106" s="781">
        <f t="shared" si="72"/>
        <v>2053.2620000000002</v>
      </c>
      <c r="M106" s="768"/>
      <c r="N106" s="781">
        <v>2053.2620000000002</v>
      </c>
      <c r="O106" s="768"/>
      <c r="P106" s="768"/>
      <c r="Q106" s="781">
        <f t="shared" si="73"/>
        <v>4000</v>
      </c>
      <c r="R106" s="768"/>
      <c r="S106" s="781">
        <v>4000</v>
      </c>
      <c r="T106" s="768"/>
      <c r="U106" s="768"/>
      <c r="V106" s="781">
        <f t="shared" si="74"/>
        <v>4000</v>
      </c>
      <c r="W106" s="768"/>
      <c r="X106" s="781">
        <v>4000</v>
      </c>
      <c r="Y106" s="768"/>
      <c r="Z106" s="768"/>
      <c r="AA106" s="781">
        <f t="shared" si="75"/>
        <v>2053.2620000000002</v>
      </c>
      <c r="AB106" s="768"/>
      <c r="AC106" s="781">
        <v>2053.2620000000002</v>
      </c>
      <c r="AD106" s="768"/>
      <c r="AE106" s="768"/>
      <c r="AF106" s="783">
        <f t="shared" si="66"/>
        <v>0.51331550000000004</v>
      </c>
      <c r="AG106" s="784"/>
      <c r="AH106" s="785">
        <f t="shared" si="67"/>
        <v>0.51331550000000004</v>
      </c>
      <c r="AI106" s="770"/>
      <c r="AJ106" s="771"/>
      <c r="AK106" s="793"/>
      <c r="AL106" s="794"/>
      <c r="AM106" s="794"/>
      <c r="AN106" s="794"/>
      <c r="AO106" s="794"/>
      <c r="AP106" s="794"/>
      <c r="AQ106" s="794"/>
      <c r="AR106" s="794"/>
      <c r="AS106" s="794"/>
      <c r="AT106" s="794"/>
      <c r="AU106" s="794"/>
      <c r="AV106" s="794"/>
      <c r="AW106" s="794"/>
      <c r="AX106" s="794"/>
      <c r="AY106" s="794"/>
      <c r="AZ106" s="794"/>
      <c r="BA106" s="794"/>
      <c r="BB106" s="794"/>
      <c r="BC106" s="794"/>
      <c r="BD106" s="794"/>
      <c r="BE106" s="794"/>
      <c r="BF106" s="794"/>
      <c r="BG106" s="794"/>
      <c r="BH106" s="794"/>
      <c r="BI106" s="794"/>
    </row>
    <row r="107" spans="1:61" s="772" customFormat="1" ht="37.5" customHeight="1">
      <c r="A107" s="773"/>
      <c r="B107" s="804" t="s">
        <v>815</v>
      </c>
      <c r="C107" s="826" t="s">
        <v>290</v>
      </c>
      <c r="D107" s="826"/>
      <c r="E107" s="826" t="s">
        <v>680</v>
      </c>
      <c r="F107" s="826" t="s">
        <v>816</v>
      </c>
      <c r="G107" s="781">
        <f t="shared" si="71"/>
        <v>14900</v>
      </c>
      <c r="H107" s="768"/>
      <c r="I107" s="781">
        <v>14900</v>
      </c>
      <c r="J107" s="768"/>
      <c r="K107" s="768"/>
      <c r="L107" s="781">
        <f t="shared" si="72"/>
        <v>2725.99</v>
      </c>
      <c r="M107" s="768"/>
      <c r="N107" s="781">
        <v>2725.99</v>
      </c>
      <c r="O107" s="768"/>
      <c r="P107" s="768"/>
      <c r="Q107" s="781">
        <f t="shared" si="73"/>
        <v>6000</v>
      </c>
      <c r="R107" s="768"/>
      <c r="S107" s="781">
        <v>6000</v>
      </c>
      <c r="T107" s="768"/>
      <c r="U107" s="768"/>
      <c r="V107" s="781">
        <f t="shared" si="74"/>
        <v>6000</v>
      </c>
      <c r="W107" s="768"/>
      <c r="X107" s="781">
        <v>6000</v>
      </c>
      <c r="Y107" s="768"/>
      <c r="Z107" s="768"/>
      <c r="AA107" s="781">
        <f t="shared" si="75"/>
        <v>2725.99</v>
      </c>
      <c r="AB107" s="768"/>
      <c r="AC107" s="781">
        <v>2725.99</v>
      </c>
      <c r="AD107" s="768"/>
      <c r="AE107" s="768"/>
      <c r="AF107" s="783">
        <f t="shared" si="66"/>
        <v>0.45433166666666663</v>
      </c>
      <c r="AG107" s="784"/>
      <c r="AH107" s="785">
        <f t="shared" si="67"/>
        <v>0.45433166666666663</v>
      </c>
      <c r="AI107" s="770"/>
      <c r="AJ107" s="771"/>
      <c r="AK107" s="793"/>
      <c r="AL107" s="794"/>
      <c r="AM107" s="794"/>
      <c r="AN107" s="794"/>
      <c r="AO107" s="794"/>
      <c r="AP107" s="794"/>
      <c r="AQ107" s="794"/>
      <c r="AR107" s="794"/>
      <c r="AS107" s="794"/>
      <c r="AT107" s="794"/>
      <c r="AU107" s="794"/>
      <c r="AV107" s="794"/>
      <c r="AW107" s="794"/>
      <c r="AX107" s="794"/>
      <c r="AY107" s="794"/>
      <c r="AZ107" s="794"/>
      <c r="BA107" s="794"/>
      <c r="BB107" s="794"/>
      <c r="BC107" s="794"/>
      <c r="BD107" s="794"/>
      <c r="BE107" s="794"/>
      <c r="BF107" s="794"/>
      <c r="BG107" s="794"/>
      <c r="BH107" s="794"/>
      <c r="BI107" s="794"/>
    </row>
    <row r="108" spans="1:61" s="833" customFormat="1" ht="37.5" customHeight="1">
      <c r="A108" s="773"/>
      <c r="B108" s="804" t="s">
        <v>817</v>
      </c>
      <c r="C108" s="826" t="s">
        <v>285</v>
      </c>
      <c r="D108" s="826"/>
      <c r="E108" s="826" t="s">
        <v>680</v>
      </c>
      <c r="F108" s="826" t="s">
        <v>818</v>
      </c>
      <c r="G108" s="781">
        <f t="shared" si="71"/>
        <v>14900</v>
      </c>
      <c r="H108" s="814"/>
      <c r="I108" s="814">
        <v>14900</v>
      </c>
      <c r="J108" s="816"/>
      <c r="K108" s="814"/>
      <c r="L108" s="781">
        <f t="shared" si="72"/>
        <v>11000</v>
      </c>
      <c r="M108" s="781"/>
      <c r="N108" s="781">
        <v>11000</v>
      </c>
      <c r="O108" s="781"/>
      <c r="P108" s="781"/>
      <c r="Q108" s="781">
        <f t="shared" si="73"/>
        <v>11000</v>
      </c>
      <c r="R108" s="781"/>
      <c r="S108" s="781">
        <v>11000</v>
      </c>
      <c r="T108" s="781"/>
      <c r="U108" s="814"/>
      <c r="V108" s="781">
        <f t="shared" si="74"/>
        <v>11000</v>
      </c>
      <c r="W108" s="814"/>
      <c r="X108" s="827">
        <v>11000</v>
      </c>
      <c r="Y108" s="814"/>
      <c r="Z108" s="814"/>
      <c r="AA108" s="781">
        <f t="shared" si="75"/>
        <v>11000</v>
      </c>
      <c r="AB108" s="814"/>
      <c r="AC108" s="827">
        <v>11000</v>
      </c>
      <c r="AD108" s="814"/>
      <c r="AE108" s="828"/>
      <c r="AF108" s="783">
        <f t="shared" si="66"/>
        <v>1</v>
      </c>
      <c r="AG108" s="784"/>
      <c r="AH108" s="785">
        <f t="shared" si="67"/>
        <v>1</v>
      </c>
      <c r="AI108" s="829"/>
      <c r="AJ108" s="830"/>
      <c r="AK108" s="831"/>
      <c r="AL108" s="832"/>
      <c r="AM108" s="832"/>
      <c r="AN108" s="832"/>
      <c r="AO108" s="832"/>
      <c r="AP108" s="832"/>
      <c r="AQ108" s="832"/>
      <c r="AR108" s="832"/>
      <c r="AS108" s="832"/>
      <c r="AT108" s="832"/>
      <c r="AU108" s="832"/>
      <c r="AV108" s="832"/>
      <c r="AW108" s="832"/>
      <c r="AX108" s="832"/>
      <c r="AY108" s="832"/>
      <c r="AZ108" s="832"/>
      <c r="BA108" s="832"/>
      <c r="BB108" s="832"/>
      <c r="BC108" s="832"/>
      <c r="BD108" s="832"/>
      <c r="BE108" s="832"/>
      <c r="BF108" s="832"/>
      <c r="BG108" s="832"/>
      <c r="BH108" s="832"/>
      <c r="BI108" s="832"/>
    </row>
    <row r="109" spans="1:61" s="833" customFormat="1" ht="37.5" customHeight="1">
      <c r="A109" s="773"/>
      <c r="B109" s="804" t="s">
        <v>819</v>
      </c>
      <c r="C109" s="826" t="s">
        <v>289</v>
      </c>
      <c r="D109" s="826"/>
      <c r="E109" s="826" t="s">
        <v>680</v>
      </c>
      <c r="F109" s="826" t="s">
        <v>820</v>
      </c>
      <c r="G109" s="781">
        <f t="shared" si="71"/>
        <v>14900</v>
      </c>
      <c r="H109" s="814"/>
      <c r="I109" s="814">
        <v>14900</v>
      </c>
      <c r="J109" s="816"/>
      <c r="K109" s="814"/>
      <c r="L109" s="781">
        <f t="shared" si="72"/>
        <v>5729.6819999999998</v>
      </c>
      <c r="M109" s="781"/>
      <c r="N109" s="781">
        <v>5729.6819999999998</v>
      </c>
      <c r="O109" s="781"/>
      <c r="P109" s="781"/>
      <c r="Q109" s="781">
        <f t="shared" si="73"/>
        <v>6000</v>
      </c>
      <c r="R109" s="781"/>
      <c r="S109" s="781">
        <v>6000</v>
      </c>
      <c r="T109" s="781"/>
      <c r="U109" s="814"/>
      <c r="V109" s="781">
        <f t="shared" si="74"/>
        <v>6000</v>
      </c>
      <c r="W109" s="814"/>
      <c r="X109" s="827">
        <v>6000</v>
      </c>
      <c r="Y109" s="814"/>
      <c r="Z109" s="814"/>
      <c r="AA109" s="781">
        <f t="shared" si="75"/>
        <v>5729.6819999999998</v>
      </c>
      <c r="AB109" s="814"/>
      <c r="AC109" s="827">
        <v>5729.6819999999998</v>
      </c>
      <c r="AD109" s="814"/>
      <c r="AE109" s="828"/>
      <c r="AF109" s="783">
        <f t="shared" si="66"/>
        <v>0.95494699999999999</v>
      </c>
      <c r="AG109" s="784"/>
      <c r="AH109" s="785">
        <f t="shared" si="67"/>
        <v>0.95494699999999999</v>
      </c>
      <c r="AI109" s="829"/>
      <c r="AJ109" s="830"/>
      <c r="AK109" s="831"/>
      <c r="AL109" s="832"/>
      <c r="AM109" s="832"/>
      <c r="AN109" s="832"/>
      <c r="AO109" s="832"/>
      <c r="AP109" s="832"/>
      <c r="AQ109" s="832"/>
      <c r="AR109" s="832"/>
      <c r="AS109" s="832"/>
      <c r="AT109" s="832"/>
      <c r="AU109" s="832"/>
      <c r="AV109" s="832"/>
      <c r="AW109" s="832"/>
      <c r="AX109" s="832"/>
      <c r="AY109" s="832"/>
      <c r="AZ109" s="832"/>
      <c r="BA109" s="832"/>
      <c r="BB109" s="832"/>
      <c r="BC109" s="832"/>
      <c r="BD109" s="832"/>
      <c r="BE109" s="832"/>
      <c r="BF109" s="832"/>
      <c r="BG109" s="832"/>
      <c r="BH109" s="832"/>
      <c r="BI109" s="832"/>
    </row>
    <row r="110" spans="1:61" s="833" customFormat="1" ht="37.5" customHeight="1">
      <c r="A110" s="773"/>
      <c r="B110" s="804" t="s">
        <v>821</v>
      </c>
      <c r="C110" s="826" t="s">
        <v>285</v>
      </c>
      <c r="D110" s="826"/>
      <c r="E110" s="826" t="s">
        <v>680</v>
      </c>
      <c r="F110" s="826" t="s">
        <v>822</v>
      </c>
      <c r="G110" s="781">
        <f t="shared" si="71"/>
        <v>14900</v>
      </c>
      <c r="H110" s="814"/>
      <c r="I110" s="814">
        <v>14900</v>
      </c>
      <c r="J110" s="816"/>
      <c r="K110" s="814"/>
      <c r="L110" s="781">
        <f t="shared" si="72"/>
        <v>2960.55</v>
      </c>
      <c r="M110" s="781"/>
      <c r="N110" s="781">
        <v>2960.55</v>
      </c>
      <c r="O110" s="781"/>
      <c r="P110" s="781"/>
      <c r="Q110" s="781">
        <f t="shared" si="73"/>
        <v>6000</v>
      </c>
      <c r="R110" s="781"/>
      <c r="S110" s="781">
        <v>6000</v>
      </c>
      <c r="T110" s="781"/>
      <c r="U110" s="814"/>
      <c r="V110" s="781">
        <f t="shared" si="74"/>
        <v>6000</v>
      </c>
      <c r="W110" s="814"/>
      <c r="X110" s="827">
        <v>6000</v>
      </c>
      <c r="Y110" s="814"/>
      <c r="Z110" s="814"/>
      <c r="AA110" s="781">
        <f t="shared" si="75"/>
        <v>2960.55</v>
      </c>
      <c r="AB110" s="814"/>
      <c r="AC110" s="827">
        <v>2960.55</v>
      </c>
      <c r="AD110" s="814"/>
      <c r="AE110" s="828"/>
      <c r="AF110" s="783">
        <f t="shared" si="66"/>
        <v>0.49342500000000006</v>
      </c>
      <c r="AG110" s="784"/>
      <c r="AH110" s="785">
        <f t="shared" si="67"/>
        <v>0.49342500000000006</v>
      </c>
      <c r="AI110" s="829"/>
      <c r="AJ110" s="830"/>
      <c r="AK110" s="831"/>
      <c r="AL110" s="832"/>
      <c r="AM110" s="832"/>
      <c r="AN110" s="832"/>
      <c r="AO110" s="832"/>
      <c r="AP110" s="832"/>
      <c r="AQ110" s="832"/>
      <c r="AR110" s="832"/>
      <c r="AS110" s="832"/>
      <c r="AT110" s="832"/>
      <c r="AU110" s="832"/>
      <c r="AV110" s="832"/>
      <c r="AW110" s="832"/>
      <c r="AX110" s="832"/>
      <c r="AY110" s="832"/>
      <c r="AZ110" s="832"/>
      <c r="BA110" s="832"/>
      <c r="BB110" s="832"/>
      <c r="BC110" s="832"/>
      <c r="BD110" s="832"/>
      <c r="BE110" s="832"/>
      <c r="BF110" s="832"/>
      <c r="BG110" s="832"/>
      <c r="BH110" s="832"/>
      <c r="BI110" s="832"/>
    </row>
    <row r="111" spans="1:61" s="798" customFormat="1" ht="26.25" customHeight="1">
      <c r="A111" s="773" t="s">
        <v>364</v>
      </c>
      <c r="B111" s="790" t="s">
        <v>463</v>
      </c>
      <c r="C111" s="778"/>
      <c r="D111" s="819"/>
      <c r="E111" s="779"/>
      <c r="F111" s="778"/>
      <c r="G111" s="768">
        <f>G112+G114</f>
        <v>2600</v>
      </c>
      <c r="H111" s="768">
        <f t="shared" ref="H111:AE111" si="76">H112+H114</f>
        <v>0</v>
      </c>
      <c r="I111" s="768">
        <f t="shared" si="76"/>
        <v>2466</v>
      </c>
      <c r="J111" s="768">
        <f t="shared" si="76"/>
        <v>0</v>
      </c>
      <c r="K111" s="768">
        <f t="shared" si="76"/>
        <v>134</v>
      </c>
      <c r="L111" s="768">
        <f t="shared" si="76"/>
        <v>2347.2849999999999</v>
      </c>
      <c r="M111" s="768">
        <f t="shared" si="76"/>
        <v>0</v>
      </c>
      <c r="N111" s="768">
        <f t="shared" si="76"/>
        <v>2347.2849999999999</v>
      </c>
      <c r="O111" s="768">
        <f t="shared" si="76"/>
        <v>0</v>
      </c>
      <c r="P111" s="768">
        <f t="shared" si="76"/>
        <v>0</v>
      </c>
      <c r="Q111" s="768">
        <f t="shared" si="76"/>
        <v>2432.4849999999997</v>
      </c>
      <c r="R111" s="768">
        <f t="shared" si="76"/>
        <v>0</v>
      </c>
      <c r="S111" s="768">
        <f t="shared" si="76"/>
        <v>2432.4849999999997</v>
      </c>
      <c r="T111" s="768">
        <f t="shared" si="76"/>
        <v>0</v>
      </c>
      <c r="U111" s="768">
        <f t="shared" si="76"/>
        <v>0</v>
      </c>
      <c r="V111" s="768">
        <f t="shared" si="76"/>
        <v>85.2</v>
      </c>
      <c r="W111" s="768">
        <f t="shared" si="76"/>
        <v>0</v>
      </c>
      <c r="X111" s="768">
        <f t="shared" si="76"/>
        <v>85.2</v>
      </c>
      <c r="Y111" s="768">
        <f t="shared" si="76"/>
        <v>0</v>
      </c>
      <c r="Z111" s="768">
        <f t="shared" si="76"/>
        <v>0</v>
      </c>
      <c r="AA111" s="768">
        <f t="shared" si="76"/>
        <v>0</v>
      </c>
      <c r="AB111" s="768">
        <f t="shared" si="76"/>
        <v>0</v>
      </c>
      <c r="AC111" s="768">
        <f t="shared" si="76"/>
        <v>0</v>
      </c>
      <c r="AD111" s="768">
        <f t="shared" si="76"/>
        <v>0</v>
      </c>
      <c r="AE111" s="768">
        <f t="shared" si="76"/>
        <v>0</v>
      </c>
      <c r="AF111" s="769">
        <f t="shared" si="66"/>
        <v>0</v>
      </c>
      <c r="AG111" s="771"/>
      <c r="AH111" s="770">
        <f t="shared" si="67"/>
        <v>0</v>
      </c>
      <c r="AI111" s="770"/>
      <c r="AJ111" s="771"/>
      <c r="AK111" s="757"/>
      <c r="AL111" s="749"/>
      <c r="AM111" s="749"/>
      <c r="AN111" s="749"/>
      <c r="AO111" s="749"/>
      <c r="AP111" s="749"/>
      <c r="AQ111" s="749"/>
      <c r="AR111" s="749"/>
      <c r="AS111" s="749"/>
      <c r="AT111" s="749"/>
      <c r="AU111" s="749"/>
      <c r="AV111" s="749"/>
      <c r="AW111" s="749"/>
      <c r="AX111" s="749"/>
      <c r="AY111" s="749"/>
      <c r="AZ111" s="749"/>
      <c r="BA111" s="749"/>
      <c r="BB111" s="749"/>
      <c r="BC111" s="749"/>
      <c r="BD111" s="749"/>
      <c r="BE111" s="749"/>
      <c r="BF111" s="749"/>
      <c r="BG111" s="749"/>
      <c r="BH111" s="749"/>
      <c r="BI111" s="749"/>
    </row>
    <row r="112" spans="1:61" s="798" customFormat="1" ht="26.25" customHeight="1">
      <c r="A112" s="773"/>
      <c r="B112" s="809" t="s">
        <v>722</v>
      </c>
      <c r="C112" s="778"/>
      <c r="D112" s="819"/>
      <c r="E112" s="779"/>
      <c r="F112" s="778"/>
      <c r="G112" s="768">
        <f>G113</f>
        <v>1100</v>
      </c>
      <c r="H112" s="768">
        <f t="shared" ref="H112:AE112" si="77">H113</f>
        <v>0</v>
      </c>
      <c r="I112" s="768">
        <f t="shared" si="77"/>
        <v>1000</v>
      </c>
      <c r="J112" s="768">
        <f t="shared" si="77"/>
        <v>0</v>
      </c>
      <c r="K112" s="768">
        <f t="shared" si="77"/>
        <v>100</v>
      </c>
      <c r="L112" s="768">
        <f t="shared" si="77"/>
        <v>935.04200000000003</v>
      </c>
      <c r="M112" s="768">
        <f t="shared" si="77"/>
        <v>0</v>
      </c>
      <c r="N112" s="768">
        <f t="shared" si="77"/>
        <v>935.04200000000003</v>
      </c>
      <c r="O112" s="768">
        <f t="shared" si="77"/>
        <v>0</v>
      </c>
      <c r="P112" s="768">
        <f t="shared" si="77"/>
        <v>0</v>
      </c>
      <c r="Q112" s="768">
        <f t="shared" si="77"/>
        <v>970.63499999999999</v>
      </c>
      <c r="R112" s="768">
        <f t="shared" si="77"/>
        <v>0</v>
      </c>
      <c r="S112" s="768">
        <f t="shared" si="77"/>
        <v>970.63499999999999</v>
      </c>
      <c r="T112" s="768">
        <f t="shared" si="77"/>
        <v>0</v>
      </c>
      <c r="U112" s="768">
        <f t="shared" si="77"/>
        <v>0</v>
      </c>
      <c r="V112" s="768">
        <f t="shared" si="77"/>
        <v>35.593000000000004</v>
      </c>
      <c r="W112" s="768">
        <f t="shared" si="77"/>
        <v>0</v>
      </c>
      <c r="X112" s="768">
        <f t="shared" si="77"/>
        <v>35.593000000000004</v>
      </c>
      <c r="Y112" s="768">
        <f t="shared" si="77"/>
        <v>0</v>
      </c>
      <c r="Z112" s="768">
        <f t="shared" si="77"/>
        <v>0</v>
      </c>
      <c r="AA112" s="768">
        <f t="shared" si="77"/>
        <v>0</v>
      </c>
      <c r="AB112" s="768">
        <f t="shared" si="77"/>
        <v>0</v>
      </c>
      <c r="AC112" s="768">
        <f t="shared" si="77"/>
        <v>0</v>
      </c>
      <c r="AD112" s="768">
        <f t="shared" si="77"/>
        <v>0</v>
      </c>
      <c r="AE112" s="768">
        <f t="shared" si="77"/>
        <v>0</v>
      </c>
      <c r="AF112" s="769">
        <f t="shared" si="66"/>
        <v>0</v>
      </c>
      <c r="AG112" s="771"/>
      <c r="AH112" s="770">
        <f t="shared" si="67"/>
        <v>0</v>
      </c>
      <c r="AI112" s="770"/>
      <c r="AJ112" s="771"/>
      <c r="AK112" s="757"/>
      <c r="AL112" s="749"/>
      <c r="AM112" s="749"/>
      <c r="AN112" s="749"/>
      <c r="AO112" s="749"/>
      <c r="AP112" s="749"/>
      <c r="AQ112" s="749"/>
      <c r="AR112" s="749"/>
      <c r="AS112" s="749"/>
      <c r="AT112" s="749"/>
      <c r="AU112" s="749"/>
      <c r="AV112" s="749"/>
      <c r="AW112" s="749"/>
      <c r="AX112" s="749"/>
      <c r="AY112" s="749"/>
      <c r="AZ112" s="749"/>
      <c r="BA112" s="749"/>
      <c r="BB112" s="749"/>
      <c r="BC112" s="749"/>
      <c r="BD112" s="749"/>
      <c r="BE112" s="749"/>
      <c r="BF112" s="749"/>
      <c r="BG112" s="749"/>
      <c r="BH112" s="749"/>
      <c r="BI112" s="749"/>
    </row>
    <row r="113" spans="1:61" s="798" customFormat="1" ht="41.25" customHeight="1">
      <c r="A113" s="773"/>
      <c r="B113" s="804" t="s">
        <v>723</v>
      </c>
      <c r="C113" s="778" t="s">
        <v>724</v>
      </c>
      <c r="D113" s="819"/>
      <c r="E113" s="779" t="s">
        <v>381</v>
      </c>
      <c r="F113" s="778" t="s">
        <v>725</v>
      </c>
      <c r="G113" s="814">
        <f>SUM(H113:K113)</f>
        <v>1100</v>
      </c>
      <c r="H113" s="781"/>
      <c r="I113" s="781">
        <v>1000</v>
      </c>
      <c r="J113" s="820"/>
      <c r="K113" s="781">
        <v>100</v>
      </c>
      <c r="L113" s="781">
        <f>M113+N113+O113+P113</f>
        <v>935.04200000000003</v>
      </c>
      <c r="M113" s="781"/>
      <c r="N113" s="781">
        <f>970.635-35.593</f>
        <v>935.04200000000003</v>
      </c>
      <c r="O113" s="781"/>
      <c r="P113" s="781"/>
      <c r="Q113" s="781">
        <f>R113+S113+T113+U113</f>
        <v>970.63499999999999</v>
      </c>
      <c r="R113" s="781"/>
      <c r="S113" s="781">
        <v>970.63499999999999</v>
      </c>
      <c r="T113" s="781"/>
      <c r="U113" s="781"/>
      <c r="V113" s="781">
        <f>W113+X113+Y113+Z113</f>
        <v>35.593000000000004</v>
      </c>
      <c r="W113" s="781"/>
      <c r="X113" s="817">
        <v>35.593000000000004</v>
      </c>
      <c r="Y113" s="781"/>
      <c r="Z113" s="781"/>
      <c r="AA113" s="781">
        <f>AB113+AC113+AD113+AE113</f>
        <v>0</v>
      </c>
      <c r="AB113" s="781"/>
      <c r="AC113" s="817">
        <v>0</v>
      </c>
      <c r="AD113" s="781"/>
      <c r="AE113" s="818"/>
      <c r="AF113" s="783">
        <f t="shared" si="66"/>
        <v>0</v>
      </c>
      <c r="AG113" s="784"/>
      <c r="AH113" s="785">
        <f t="shared" si="67"/>
        <v>0</v>
      </c>
      <c r="AI113" s="785"/>
      <c r="AJ113" s="784"/>
      <c r="AK113" s="757"/>
      <c r="AL113" s="749"/>
      <c r="AM113" s="749"/>
      <c r="AN113" s="749"/>
      <c r="AO113" s="749"/>
      <c r="AP113" s="749"/>
      <c r="AQ113" s="749"/>
      <c r="AR113" s="749"/>
      <c r="AS113" s="749"/>
      <c r="AT113" s="749"/>
      <c r="AU113" s="749"/>
      <c r="AV113" s="749"/>
      <c r="AW113" s="749"/>
      <c r="AX113" s="749"/>
      <c r="AY113" s="749"/>
      <c r="AZ113" s="749"/>
      <c r="BA113" s="749"/>
      <c r="BB113" s="749"/>
      <c r="BC113" s="749"/>
      <c r="BD113" s="749"/>
      <c r="BE113" s="749"/>
      <c r="BF113" s="749"/>
      <c r="BG113" s="749"/>
      <c r="BH113" s="749"/>
      <c r="BI113" s="749"/>
    </row>
    <row r="114" spans="1:61" s="798" customFormat="1" ht="26.25" customHeight="1">
      <c r="A114" s="773"/>
      <c r="B114" s="809" t="s">
        <v>726</v>
      </c>
      <c r="C114" s="778"/>
      <c r="D114" s="819"/>
      <c r="E114" s="779"/>
      <c r="F114" s="778"/>
      <c r="G114" s="768">
        <f>G115</f>
        <v>1500</v>
      </c>
      <c r="H114" s="768">
        <f>H115</f>
        <v>0</v>
      </c>
      <c r="I114" s="768">
        <f>I115</f>
        <v>1466</v>
      </c>
      <c r="J114" s="768">
        <f>J115</f>
        <v>0</v>
      </c>
      <c r="K114" s="768">
        <f>K115</f>
        <v>34</v>
      </c>
      <c r="L114" s="768">
        <f t="shared" ref="L114:AE114" si="78">L115</f>
        <v>1412.2429999999999</v>
      </c>
      <c r="M114" s="768">
        <f t="shared" si="78"/>
        <v>0</v>
      </c>
      <c r="N114" s="768">
        <f t="shared" si="78"/>
        <v>1412.2429999999999</v>
      </c>
      <c r="O114" s="768">
        <f t="shared" si="78"/>
        <v>0</v>
      </c>
      <c r="P114" s="768">
        <f t="shared" si="78"/>
        <v>0</v>
      </c>
      <c r="Q114" s="768">
        <f t="shared" si="78"/>
        <v>1461.85</v>
      </c>
      <c r="R114" s="768">
        <f t="shared" si="78"/>
        <v>0</v>
      </c>
      <c r="S114" s="768">
        <f t="shared" si="78"/>
        <v>1461.85</v>
      </c>
      <c r="T114" s="768">
        <f t="shared" si="78"/>
        <v>0</v>
      </c>
      <c r="U114" s="768">
        <f t="shared" si="78"/>
        <v>0</v>
      </c>
      <c r="V114" s="768">
        <f t="shared" si="78"/>
        <v>49.606999999999999</v>
      </c>
      <c r="W114" s="768">
        <f t="shared" si="78"/>
        <v>0</v>
      </c>
      <c r="X114" s="768">
        <f t="shared" si="78"/>
        <v>49.606999999999999</v>
      </c>
      <c r="Y114" s="768">
        <f t="shared" si="78"/>
        <v>0</v>
      </c>
      <c r="Z114" s="768">
        <f t="shared" si="78"/>
        <v>0</v>
      </c>
      <c r="AA114" s="768">
        <f t="shared" si="78"/>
        <v>0</v>
      </c>
      <c r="AB114" s="768">
        <f t="shared" si="78"/>
        <v>0</v>
      </c>
      <c r="AC114" s="768">
        <f t="shared" si="78"/>
        <v>0</v>
      </c>
      <c r="AD114" s="768">
        <f t="shared" si="78"/>
        <v>0</v>
      </c>
      <c r="AE114" s="768">
        <f t="shared" si="78"/>
        <v>0</v>
      </c>
      <c r="AF114" s="769">
        <f t="shared" si="66"/>
        <v>0</v>
      </c>
      <c r="AG114" s="771"/>
      <c r="AH114" s="770">
        <f t="shared" si="67"/>
        <v>0</v>
      </c>
      <c r="AI114" s="770"/>
      <c r="AJ114" s="771"/>
      <c r="AK114" s="757"/>
      <c r="AL114" s="749"/>
      <c r="AM114" s="749"/>
      <c r="AN114" s="749"/>
      <c r="AO114" s="749"/>
      <c r="AP114" s="749"/>
      <c r="AQ114" s="749"/>
      <c r="AR114" s="749"/>
      <c r="AS114" s="749"/>
      <c r="AT114" s="749"/>
      <c r="AU114" s="749"/>
      <c r="AV114" s="749"/>
      <c r="AW114" s="749"/>
      <c r="AX114" s="749"/>
      <c r="AY114" s="749"/>
      <c r="AZ114" s="749"/>
      <c r="BA114" s="749"/>
      <c r="BB114" s="749"/>
      <c r="BC114" s="749"/>
      <c r="BD114" s="749"/>
      <c r="BE114" s="749"/>
      <c r="BF114" s="749"/>
      <c r="BG114" s="749"/>
      <c r="BH114" s="749"/>
      <c r="BI114" s="749"/>
    </row>
    <row r="115" spans="1:61" s="798" customFormat="1" ht="35.25" customHeight="1">
      <c r="A115" s="773"/>
      <c r="B115" s="804" t="s">
        <v>727</v>
      </c>
      <c r="C115" s="778" t="s">
        <v>711</v>
      </c>
      <c r="D115" s="819"/>
      <c r="E115" s="779" t="s">
        <v>381</v>
      </c>
      <c r="F115" s="778" t="s">
        <v>728</v>
      </c>
      <c r="G115" s="814">
        <f>SUM(H115:K115)</f>
        <v>1500</v>
      </c>
      <c r="H115" s="781"/>
      <c r="I115" s="781">
        <v>1466</v>
      </c>
      <c r="J115" s="820"/>
      <c r="K115" s="781">
        <v>34</v>
      </c>
      <c r="L115" s="781">
        <f>M115+N115+O115+P115</f>
        <v>1412.2429999999999</v>
      </c>
      <c r="M115" s="781"/>
      <c r="N115" s="781">
        <f>1461.85-49.607</f>
        <v>1412.2429999999999</v>
      </c>
      <c r="O115" s="781"/>
      <c r="P115" s="781"/>
      <c r="Q115" s="781">
        <f>R115+S115+T115+U115</f>
        <v>1461.85</v>
      </c>
      <c r="R115" s="781"/>
      <c r="S115" s="781">
        <v>1461.85</v>
      </c>
      <c r="T115" s="781"/>
      <c r="U115" s="781"/>
      <c r="V115" s="781">
        <f>W115+X115+Y115+Z115</f>
        <v>49.606999999999999</v>
      </c>
      <c r="W115" s="781"/>
      <c r="X115" s="817">
        <v>49.606999999999999</v>
      </c>
      <c r="Y115" s="781"/>
      <c r="Z115" s="781"/>
      <c r="AA115" s="781">
        <f>AB115+AC115+AD115+AE115</f>
        <v>0</v>
      </c>
      <c r="AB115" s="781"/>
      <c r="AC115" s="817">
        <v>0</v>
      </c>
      <c r="AD115" s="781"/>
      <c r="AE115" s="818"/>
      <c r="AF115" s="783">
        <f t="shared" si="66"/>
        <v>0</v>
      </c>
      <c r="AG115" s="784"/>
      <c r="AH115" s="785">
        <f t="shared" si="67"/>
        <v>0</v>
      </c>
      <c r="AI115" s="785"/>
      <c r="AJ115" s="784"/>
      <c r="AK115" s="757"/>
      <c r="AL115" s="749"/>
      <c r="AM115" s="749"/>
      <c r="AN115" s="749"/>
      <c r="AO115" s="749"/>
      <c r="AP115" s="749"/>
      <c r="AQ115" s="749"/>
      <c r="AR115" s="749"/>
      <c r="AS115" s="749"/>
      <c r="AT115" s="749"/>
      <c r="AU115" s="749"/>
      <c r="AV115" s="749"/>
      <c r="AW115" s="749"/>
      <c r="AX115" s="749"/>
      <c r="AY115" s="749"/>
      <c r="AZ115" s="749"/>
      <c r="BA115" s="749"/>
      <c r="BB115" s="749"/>
      <c r="BC115" s="749"/>
      <c r="BD115" s="749"/>
      <c r="BE115" s="749"/>
      <c r="BF115" s="749"/>
      <c r="BG115" s="749"/>
      <c r="BH115" s="749"/>
      <c r="BI115" s="749"/>
    </row>
    <row r="116" spans="1:61" s="798" customFormat="1" ht="26.25" customHeight="1">
      <c r="A116" s="773" t="s">
        <v>263</v>
      </c>
      <c r="B116" s="809" t="s">
        <v>397</v>
      </c>
      <c r="C116" s="778"/>
      <c r="D116" s="819"/>
      <c r="E116" s="779"/>
      <c r="F116" s="778"/>
      <c r="G116" s="781"/>
      <c r="H116" s="781"/>
      <c r="I116" s="781"/>
      <c r="J116" s="820"/>
      <c r="K116" s="781"/>
      <c r="L116" s="781"/>
      <c r="M116" s="781"/>
      <c r="N116" s="781"/>
      <c r="O116" s="781"/>
      <c r="P116" s="781"/>
      <c r="Q116" s="781"/>
      <c r="R116" s="781"/>
      <c r="S116" s="781"/>
      <c r="T116" s="781"/>
      <c r="U116" s="781"/>
      <c r="V116" s="781"/>
      <c r="W116" s="781"/>
      <c r="X116" s="817"/>
      <c r="Y116" s="781"/>
      <c r="Z116" s="781"/>
      <c r="AA116" s="781"/>
      <c r="AB116" s="781"/>
      <c r="AC116" s="781"/>
      <c r="AD116" s="781"/>
      <c r="AE116" s="818"/>
      <c r="AF116" s="783"/>
      <c r="AG116" s="785"/>
      <c r="AH116" s="783"/>
      <c r="AI116" s="785"/>
      <c r="AJ116" s="784"/>
      <c r="AK116" s="757"/>
      <c r="AL116" s="749"/>
      <c r="AM116" s="749"/>
      <c r="AN116" s="749"/>
      <c r="AO116" s="749"/>
      <c r="AP116" s="749"/>
      <c r="AQ116" s="749"/>
      <c r="AR116" s="749"/>
      <c r="AS116" s="749"/>
      <c r="AT116" s="749"/>
      <c r="AU116" s="749"/>
      <c r="AV116" s="749"/>
      <c r="AW116" s="749"/>
      <c r="AX116" s="749"/>
      <c r="AY116" s="749"/>
      <c r="AZ116" s="749"/>
      <c r="BA116" s="749"/>
      <c r="BB116" s="749"/>
      <c r="BC116" s="749"/>
      <c r="BD116" s="749"/>
      <c r="BE116" s="749"/>
      <c r="BF116" s="749"/>
      <c r="BG116" s="749"/>
      <c r="BH116" s="749"/>
      <c r="BI116" s="749"/>
    </row>
    <row r="117" spans="1:61" s="772" customFormat="1" ht="38.25" customHeight="1">
      <c r="A117" s="773" t="s">
        <v>476</v>
      </c>
      <c r="B117" s="807" t="s">
        <v>487</v>
      </c>
      <c r="C117" s="766"/>
      <c r="D117" s="821"/>
      <c r="E117" s="792"/>
      <c r="F117" s="766"/>
      <c r="G117" s="768"/>
      <c r="H117" s="768"/>
      <c r="I117" s="768"/>
      <c r="J117" s="768"/>
      <c r="K117" s="768"/>
      <c r="L117" s="768"/>
      <c r="M117" s="768"/>
      <c r="N117" s="768"/>
      <c r="O117" s="768"/>
      <c r="P117" s="768"/>
      <c r="Q117" s="768"/>
      <c r="R117" s="768"/>
      <c r="S117" s="768"/>
      <c r="T117" s="768"/>
      <c r="U117" s="768"/>
      <c r="V117" s="768"/>
      <c r="W117" s="768"/>
      <c r="X117" s="768"/>
      <c r="Y117" s="768"/>
      <c r="Z117" s="768"/>
      <c r="AA117" s="768"/>
      <c r="AB117" s="768"/>
      <c r="AC117" s="768"/>
      <c r="AD117" s="768"/>
      <c r="AE117" s="768"/>
      <c r="AF117" s="769"/>
      <c r="AG117" s="771"/>
      <c r="AH117" s="770"/>
      <c r="AI117" s="808"/>
      <c r="AJ117" s="771"/>
      <c r="AK117" s="757"/>
      <c r="AL117" s="749"/>
      <c r="AM117" s="749"/>
      <c r="AN117" s="749"/>
      <c r="AO117" s="749"/>
      <c r="AP117" s="749"/>
      <c r="AQ117" s="749"/>
      <c r="AR117" s="749"/>
      <c r="AS117" s="749"/>
      <c r="AT117" s="749"/>
      <c r="AU117" s="749"/>
      <c r="AV117" s="749"/>
      <c r="AW117" s="749"/>
      <c r="AX117" s="749"/>
      <c r="AY117" s="749"/>
      <c r="AZ117" s="749"/>
      <c r="BA117" s="749"/>
      <c r="BB117" s="749"/>
      <c r="BC117" s="749"/>
      <c r="BD117" s="749"/>
      <c r="BE117" s="749"/>
      <c r="BF117" s="749"/>
      <c r="BG117" s="749"/>
      <c r="BH117" s="749"/>
      <c r="BI117" s="749"/>
    </row>
  </sheetData>
  <mergeCells count="29">
    <mergeCell ref="A5:A8"/>
    <mergeCell ref="B5:B8"/>
    <mergeCell ref="C5:C8"/>
    <mergeCell ref="D5:D8"/>
    <mergeCell ref="E5:E8"/>
    <mergeCell ref="H7:K7"/>
    <mergeCell ref="L7:L8"/>
    <mergeCell ref="AB7:AE7"/>
    <mergeCell ref="AA7:AA8"/>
    <mergeCell ref="Q5:U6"/>
    <mergeCell ref="M7:P7"/>
    <mergeCell ref="L5:P6"/>
    <mergeCell ref="F5:K5"/>
    <mergeCell ref="AG4:AK4"/>
    <mergeCell ref="AK5:AK6"/>
    <mergeCell ref="AF7:AF8"/>
    <mergeCell ref="AG7:AJ7"/>
    <mergeCell ref="A2:AJ2"/>
    <mergeCell ref="A3:AJ3"/>
    <mergeCell ref="Q7:Q8"/>
    <mergeCell ref="R7:U7"/>
    <mergeCell ref="V7:V8"/>
    <mergeCell ref="W7:Z7"/>
    <mergeCell ref="V5:Z6"/>
    <mergeCell ref="AA5:AE6"/>
    <mergeCell ref="AF5:AJ6"/>
    <mergeCell ref="F6:F8"/>
    <mergeCell ref="G6:K6"/>
    <mergeCell ref="G7:G8"/>
  </mergeCells>
  <pageMargins left="0.196850393700787" right="0.196850393700787" top="0.52559055099999996" bottom="0.35" header="0.196850393700787" footer="0.31496062992126"/>
  <pageSetup paperSize="9" scale="41"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Line="0" autoPict="0" macro="[7]!Dutoan2001">
                <anchor moveWithCells="1" sizeWithCells="1">
                  <from>
                    <xdr:col>0</xdr:col>
                    <xdr:colOff>19050</xdr:colOff>
                    <xdr:row>0</xdr:row>
                    <xdr:rowOff>0</xdr:rowOff>
                  </from>
                  <to>
                    <xdr:col>5</xdr:col>
                    <xdr:colOff>361950</xdr:colOff>
                    <xdr:row>0</xdr:row>
                    <xdr:rowOff>0</xdr:rowOff>
                  </to>
                </anchor>
              </controlPr>
            </control>
          </mc:Choice>
        </mc:AlternateContent>
        <mc:AlternateContent xmlns:mc="http://schemas.openxmlformats.org/markup-compatibility/2006">
          <mc:Choice Requires="x14">
            <control shapeId="37360" r:id="rId5" name="Button 16880">
              <controlPr defaultSize="0" print="0" autoFill="0" autoLine="0" autoPict="0" macro="[8]!Dutoan2001">
                <anchor moveWithCells="1" sizeWithCells="1">
                  <from>
                    <xdr:col>0</xdr:col>
                    <xdr:colOff>19050</xdr:colOff>
                    <xdr:row>12</xdr:row>
                    <xdr:rowOff>0</xdr:rowOff>
                  </from>
                  <to>
                    <xdr:col>5</xdr:col>
                    <xdr:colOff>361950</xdr:colOff>
                    <xdr:row>12</xdr:row>
                    <xdr:rowOff>0</xdr:rowOff>
                  </to>
                </anchor>
              </controlPr>
            </control>
          </mc:Choice>
        </mc:AlternateContent>
        <mc:AlternateContent xmlns:mc="http://schemas.openxmlformats.org/markup-compatibility/2006">
          <mc:Choice Requires="x14">
            <control shapeId="37368" r:id="rId6" name="Button 16888">
              <controlPr defaultSize="0" print="0" autoFill="0" autoLine="0" autoPict="0" macro="[7]!Dutoan2001">
                <anchor moveWithCells="1" sizeWithCells="1">
                  <from>
                    <xdr:col>0</xdr:col>
                    <xdr:colOff>19050</xdr:colOff>
                    <xdr:row>12</xdr:row>
                    <xdr:rowOff>0</xdr:rowOff>
                  </from>
                  <to>
                    <xdr:col>2</xdr:col>
                    <xdr:colOff>0</xdr:colOff>
                    <xdr:row>12</xdr:row>
                    <xdr:rowOff>0</xdr:rowOff>
                  </to>
                </anchor>
              </controlPr>
            </control>
          </mc:Choice>
        </mc:AlternateContent>
        <mc:AlternateContent xmlns:mc="http://schemas.openxmlformats.org/markup-compatibility/2006">
          <mc:Choice Requires="x14">
            <control shapeId="37369" r:id="rId7" name="Button 16889">
              <controlPr defaultSize="0" print="0" autoFill="0" autoLine="0" autoPict="0" macro="[7]!Dutoan2001">
                <anchor moveWithCells="1" sizeWithCells="1">
                  <from>
                    <xdr:col>0</xdr:col>
                    <xdr:colOff>19050</xdr:colOff>
                    <xdr:row>12</xdr:row>
                    <xdr:rowOff>0</xdr:rowOff>
                  </from>
                  <to>
                    <xdr:col>5</xdr:col>
                    <xdr:colOff>361950</xdr:colOff>
                    <xdr:row>12</xdr:row>
                    <xdr:rowOff>0</xdr:rowOff>
                  </to>
                </anchor>
              </controlPr>
            </control>
          </mc:Choice>
        </mc:AlternateContent>
        <mc:AlternateContent xmlns:mc="http://schemas.openxmlformats.org/markup-compatibility/2006">
          <mc:Choice Requires="x14">
            <control shapeId="37370" r:id="rId8" name="Button 16890">
              <controlPr defaultSize="0" print="0" autoFill="0" autoLine="0" autoPict="0" macro="[7]!Dutoan2001">
                <anchor moveWithCells="1" sizeWithCells="1">
                  <from>
                    <xdr:col>0</xdr:col>
                    <xdr:colOff>19050</xdr:colOff>
                    <xdr:row>12</xdr:row>
                    <xdr:rowOff>0</xdr:rowOff>
                  </from>
                  <to>
                    <xdr:col>2</xdr:col>
                    <xdr:colOff>0</xdr:colOff>
                    <xdr:row>12</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FFFF00"/>
    <pageSetUpPr fitToPage="1"/>
  </sheetPr>
  <dimension ref="A1:Q18"/>
  <sheetViews>
    <sheetView showZeros="0" view="pageBreakPreview" zoomScale="115" zoomScaleNormal="100" zoomScaleSheetLayoutView="115" workbookViewId="0">
      <pane xSplit="2" ySplit="9" topLeftCell="C10" activePane="bottomRight" state="frozen"/>
      <selection pane="topRight" activeCell="C1" sqref="C1"/>
      <selection pane="bottomLeft" activeCell="A10" sqref="A10"/>
      <selection pane="bottomRight" activeCell="N12" sqref="N12"/>
    </sheetView>
  </sheetViews>
  <sheetFormatPr defaultColWidth="7" defaultRowHeight="18.75"/>
  <cols>
    <col min="1" max="1" width="3.75" style="245" customWidth="1"/>
    <col min="2" max="2" width="20.25" style="245" customWidth="1"/>
    <col min="3" max="3" width="11" style="245" customWidth="1"/>
    <col min="4" max="4" width="11.5" style="245" customWidth="1"/>
    <col min="5" max="5" width="9.625" style="245" customWidth="1"/>
    <col min="6" max="6" width="10.75" style="245" customWidth="1"/>
    <col min="7" max="7" width="11.125" style="245" customWidth="1"/>
    <col min="8" max="8" width="12" style="245" customWidth="1"/>
    <col min="9" max="9" width="10.125" style="245" customWidth="1"/>
    <col min="10" max="10" width="12" style="245" customWidth="1"/>
    <col min="11" max="11" width="10.875" style="245" customWidth="1"/>
    <col min="12" max="12" width="11.5" style="245" customWidth="1"/>
    <col min="13" max="13" width="14.25" style="263" customWidth="1"/>
    <col min="14" max="14" width="12.375" style="245" customWidth="1"/>
    <col min="15" max="15" width="9.875" style="247" customWidth="1"/>
    <col min="16" max="16" width="10.25" style="245" customWidth="1"/>
    <col min="17" max="16384" width="7" style="245"/>
  </cols>
  <sheetData>
    <row r="1" spans="1:17" ht="24" customHeight="1">
      <c r="A1" s="836"/>
      <c r="B1" s="836"/>
      <c r="C1" s="836"/>
      <c r="D1" s="836"/>
      <c r="E1" s="836"/>
      <c r="F1" s="836"/>
      <c r="G1" s="836"/>
      <c r="H1" s="836"/>
      <c r="I1" s="836"/>
      <c r="J1" s="836"/>
      <c r="K1" s="836"/>
      <c r="L1" s="837" t="s">
        <v>218</v>
      </c>
      <c r="M1" s="246"/>
    </row>
    <row r="2" spans="1:17" s="249" customFormat="1" ht="21" customHeight="1">
      <c r="A2" s="1076" t="s">
        <v>844</v>
      </c>
      <c r="B2" s="1076"/>
      <c r="C2" s="1076"/>
      <c r="D2" s="1076"/>
      <c r="E2" s="1076"/>
      <c r="F2" s="1076"/>
      <c r="G2" s="1076"/>
      <c r="H2" s="1076"/>
      <c r="I2" s="1076"/>
      <c r="J2" s="1076"/>
      <c r="K2" s="1076"/>
      <c r="L2" s="1076"/>
      <c r="M2" s="248"/>
      <c r="O2" s="250"/>
    </row>
    <row r="3" spans="1:17" s="252" customFormat="1" ht="18" customHeight="1">
      <c r="A3" s="1077" t="str">
        <f>'B48'!A3</f>
        <v>(Kèm theo Báo cáo số  289/BC-UBND ngày  17 /6 /2024 của UBND huyện Tuần Giáo)</v>
      </c>
      <c r="B3" s="1077"/>
      <c r="C3" s="1077"/>
      <c r="D3" s="1077"/>
      <c r="E3" s="1077"/>
      <c r="F3" s="1077"/>
      <c r="G3" s="1077"/>
      <c r="H3" s="1077"/>
      <c r="I3" s="1077"/>
      <c r="J3" s="1077"/>
      <c r="K3" s="1077"/>
      <c r="L3" s="1077"/>
      <c r="M3" s="251"/>
      <c r="O3" s="253"/>
    </row>
    <row r="4" spans="1:17" ht="19.5" customHeight="1">
      <c r="A4" s="836"/>
      <c r="B4" s="836"/>
      <c r="C4" s="838"/>
      <c r="D4" s="836"/>
      <c r="E4" s="836"/>
      <c r="F4" s="836"/>
      <c r="G4" s="836"/>
      <c r="H4" s="836"/>
      <c r="I4" s="836"/>
      <c r="J4" s="836"/>
      <c r="K4" s="1082" t="s">
        <v>201</v>
      </c>
      <c r="L4" s="1082"/>
      <c r="M4" s="119"/>
      <c r="N4" s="9"/>
    </row>
    <row r="5" spans="1:17" s="255" customFormat="1" ht="18.75" customHeight="1">
      <c r="A5" s="1078" t="s">
        <v>51</v>
      </c>
      <c r="B5" s="1080" t="s">
        <v>219</v>
      </c>
      <c r="C5" s="1081" t="s">
        <v>555</v>
      </c>
      <c r="D5" s="1081" t="s">
        <v>845</v>
      </c>
      <c r="E5" s="1081"/>
      <c r="F5" s="1081"/>
      <c r="G5" s="1081"/>
      <c r="H5" s="1081" t="s">
        <v>846</v>
      </c>
      <c r="I5" s="1081"/>
      <c r="J5" s="1081"/>
      <c r="K5" s="1081"/>
      <c r="L5" s="1081" t="s">
        <v>847</v>
      </c>
      <c r="M5" s="254"/>
      <c r="O5" s="256"/>
    </row>
    <row r="6" spans="1:17" s="255" customFormat="1" ht="32.25" customHeight="1">
      <c r="A6" s="1079"/>
      <c r="B6" s="1080"/>
      <c r="C6" s="1081"/>
      <c r="D6" s="1081" t="s">
        <v>220</v>
      </c>
      <c r="E6" s="1081"/>
      <c r="F6" s="1081" t="s">
        <v>221</v>
      </c>
      <c r="G6" s="1081" t="s">
        <v>222</v>
      </c>
      <c r="H6" s="1081" t="s">
        <v>220</v>
      </c>
      <c r="I6" s="1081"/>
      <c r="J6" s="1081" t="s">
        <v>221</v>
      </c>
      <c r="K6" s="1081" t="s">
        <v>222</v>
      </c>
      <c r="L6" s="1081"/>
      <c r="M6" s="254"/>
      <c r="O6" s="256"/>
    </row>
    <row r="7" spans="1:17" s="255" customFormat="1" ht="43.5" customHeight="1">
      <c r="A7" s="1079"/>
      <c r="B7" s="1080"/>
      <c r="C7" s="1081"/>
      <c r="D7" s="427" t="s">
        <v>67</v>
      </c>
      <c r="E7" s="427" t="s">
        <v>331</v>
      </c>
      <c r="F7" s="1081"/>
      <c r="G7" s="1081"/>
      <c r="H7" s="427" t="s">
        <v>67</v>
      </c>
      <c r="I7" s="427" t="s">
        <v>331</v>
      </c>
      <c r="J7" s="1081"/>
      <c r="K7" s="1081"/>
      <c r="L7" s="1081"/>
      <c r="M7" s="254"/>
      <c r="O7" s="257"/>
    </row>
    <row r="8" spans="1:17" s="261" customFormat="1" ht="15.75" customHeight="1">
      <c r="A8" s="258" t="s">
        <v>3</v>
      </c>
      <c r="B8" s="258" t="s">
        <v>4</v>
      </c>
      <c r="C8" s="258">
        <v>1</v>
      </c>
      <c r="D8" s="258">
        <f>C8+1</f>
        <v>2</v>
      </c>
      <c r="E8" s="258">
        <f>D8+1</f>
        <v>3</v>
      </c>
      <c r="F8" s="258">
        <f>E8+1</f>
        <v>4</v>
      </c>
      <c r="G8" s="258" t="s">
        <v>223</v>
      </c>
      <c r="H8" s="258">
        <v>6</v>
      </c>
      <c r="I8" s="258">
        <f>H8+1</f>
        <v>7</v>
      </c>
      <c r="J8" s="258">
        <f>I8+1</f>
        <v>8</v>
      </c>
      <c r="K8" s="258" t="s">
        <v>224</v>
      </c>
      <c r="L8" s="258" t="s">
        <v>225</v>
      </c>
      <c r="M8" s="259"/>
      <c r="N8" s="255"/>
      <c r="O8" s="256"/>
      <c r="P8" s="255"/>
      <c r="Q8" s="260"/>
    </row>
    <row r="9" spans="1:17" s="255" customFormat="1" ht="24.75" customHeight="1">
      <c r="A9" s="427"/>
      <c r="B9" s="839" t="s">
        <v>306</v>
      </c>
      <c r="C9" s="234">
        <f>SUM(C10:C17)</f>
        <v>2445849991</v>
      </c>
      <c r="D9" s="234">
        <f t="shared" ref="D9:L9" si="0">SUM(D10:D17)</f>
        <v>1970000000</v>
      </c>
      <c r="E9" s="234">
        <f t="shared" si="0"/>
        <v>100000000</v>
      </c>
      <c r="F9" s="234">
        <f t="shared" si="0"/>
        <v>2113000000</v>
      </c>
      <c r="G9" s="840">
        <f t="shared" si="0"/>
        <v>-143000000</v>
      </c>
      <c r="H9" s="234">
        <f t="shared" si="0"/>
        <v>38671899858</v>
      </c>
      <c r="I9" s="234">
        <f t="shared" si="0"/>
        <v>100000000</v>
      </c>
      <c r="J9" s="234">
        <f t="shared" si="0"/>
        <v>39467828188</v>
      </c>
      <c r="K9" s="234">
        <f t="shared" si="0"/>
        <v>-795928330</v>
      </c>
      <c r="L9" s="234">
        <f t="shared" si="0"/>
        <v>1649921661</v>
      </c>
      <c r="M9" s="262"/>
      <c r="O9" s="256"/>
    </row>
    <row r="10" spans="1:17" s="393" customFormat="1" ht="28.5" customHeight="1">
      <c r="A10" s="841">
        <v>1</v>
      </c>
      <c r="B10" s="842" t="s">
        <v>304</v>
      </c>
      <c r="C10" s="237">
        <v>346190502</v>
      </c>
      <c r="D10" s="843">
        <v>10000000</v>
      </c>
      <c r="E10" s="843"/>
      <c r="F10" s="843">
        <v>160000000</v>
      </c>
      <c r="G10" s="237">
        <f t="shared" ref="G10:G17" si="1">D10-F10</f>
        <v>-150000000</v>
      </c>
      <c r="H10" s="237">
        <v>218688257</v>
      </c>
      <c r="I10" s="237"/>
      <c r="J10" s="237">
        <v>297174500</v>
      </c>
      <c r="K10" s="237">
        <f>H10-J10</f>
        <v>-78486243</v>
      </c>
      <c r="L10" s="237">
        <f>C10+H10-J10</f>
        <v>267704259</v>
      </c>
      <c r="M10" s="260"/>
      <c r="N10" s="260"/>
      <c r="O10" s="391"/>
      <c r="P10" s="391"/>
      <c r="Q10" s="392"/>
    </row>
    <row r="11" spans="1:17" s="393" customFormat="1" ht="28.5" customHeight="1">
      <c r="A11" s="841">
        <v>2</v>
      </c>
      <c r="B11" s="842" t="s">
        <v>305</v>
      </c>
      <c r="C11" s="237">
        <v>526903157</v>
      </c>
      <c r="D11" s="843">
        <v>350000000</v>
      </c>
      <c r="E11" s="843"/>
      <c r="F11" s="843">
        <v>350000000</v>
      </c>
      <c r="G11" s="237">
        <f t="shared" si="1"/>
        <v>0</v>
      </c>
      <c r="H11" s="237">
        <v>1251286374</v>
      </c>
      <c r="I11" s="237"/>
      <c r="J11" s="237">
        <v>1421237688</v>
      </c>
      <c r="K11" s="237">
        <f t="shared" ref="K11:K16" si="2">H11-J11</f>
        <v>-169951314</v>
      </c>
      <c r="L11" s="237">
        <v>356951843</v>
      </c>
      <c r="M11" s="260"/>
      <c r="N11" s="260"/>
      <c r="O11" s="391"/>
      <c r="P11" s="391"/>
      <c r="Q11" s="392"/>
    </row>
    <row r="12" spans="1:17" s="393" customFormat="1" ht="28.5" customHeight="1">
      <c r="A12" s="841">
        <v>3</v>
      </c>
      <c r="B12" s="842" t="s">
        <v>491</v>
      </c>
      <c r="C12" s="237">
        <v>188702000</v>
      </c>
      <c r="D12" s="237">
        <v>300000000</v>
      </c>
      <c r="E12" s="237"/>
      <c r="F12" s="237">
        <v>280000000</v>
      </c>
      <c r="G12" s="237">
        <f t="shared" si="1"/>
        <v>20000000</v>
      </c>
      <c r="H12" s="237">
        <v>215526556</v>
      </c>
      <c r="I12" s="237"/>
      <c r="J12" s="237">
        <v>199592000</v>
      </c>
      <c r="K12" s="237">
        <v>15934556</v>
      </c>
      <c r="L12" s="237">
        <f t="shared" ref="L12:L17" si="3">C12+H12-J12</f>
        <v>204636556</v>
      </c>
      <c r="M12" s="260"/>
      <c r="N12" s="260"/>
      <c r="O12" s="391"/>
      <c r="P12" s="391"/>
      <c r="Q12" s="392"/>
    </row>
    <row r="13" spans="1:17" s="393" customFormat="1" ht="28.5" customHeight="1">
      <c r="A13" s="841">
        <v>4</v>
      </c>
      <c r="B13" s="842" t="s">
        <v>303</v>
      </c>
      <c r="C13" s="237">
        <v>167355722</v>
      </c>
      <c r="D13" s="843">
        <v>300000000</v>
      </c>
      <c r="E13" s="843"/>
      <c r="F13" s="843">
        <v>350000000</v>
      </c>
      <c r="G13" s="237">
        <f t="shared" si="1"/>
        <v>-50000000</v>
      </c>
      <c r="H13" s="237">
        <v>244278606</v>
      </c>
      <c r="I13" s="237"/>
      <c r="J13" s="237">
        <v>313624000</v>
      </c>
      <c r="K13" s="237">
        <f t="shared" si="2"/>
        <v>-69345394</v>
      </c>
      <c r="L13" s="237">
        <f t="shared" si="3"/>
        <v>98010328</v>
      </c>
      <c r="M13" s="260"/>
      <c r="N13" s="260"/>
      <c r="O13" s="391"/>
      <c r="P13" s="391"/>
      <c r="Q13" s="392"/>
    </row>
    <row r="14" spans="1:17" s="393" customFormat="1" ht="28.5" customHeight="1">
      <c r="A14" s="841">
        <v>5</v>
      </c>
      <c r="B14" s="842" t="s">
        <v>302</v>
      </c>
      <c r="C14" s="237">
        <v>41893579</v>
      </c>
      <c r="D14" s="843">
        <v>300000000</v>
      </c>
      <c r="E14" s="843"/>
      <c r="F14" s="843">
        <v>300000000</v>
      </c>
      <c r="G14" s="237">
        <f t="shared" si="1"/>
        <v>0</v>
      </c>
      <c r="H14" s="237">
        <v>285051283</v>
      </c>
      <c r="I14" s="237"/>
      <c r="J14" s="237">
        <v>287200000</v>
      </c>
      <c r="K14" s="237">
        <f t="shared" si="2"/>
        <v>-2148717</v>
      </c>
      <c r="L14" s="237">
        <f t="shared" si="3"/>
        <v>39744862</v>
      </c>
      <c r="M14" s="260"/>
      <c r="N14" s="260"/>
      <c r="O14" s="391"/>
      <c r="P14" s="391"/>
      <c r="Q14" s="392"/>
    </row>
    <row r="15" spans="1:17" s="393" customFormat="1" ht="28.5" customHeight="1">
      <c r="A15" s="841">
        <v>6</v>
      </c>
      <c r="B15" s="842" t="s">
        <v>329</v>
      </c>
      <c r="C15" s="237">
        <v>728744188</v>
      </c>
      <c r="D15" s="237">
        <v>400000000</v>
      </c>
      <c r="E15" s="237"/>
      <c r="F15" s="237">
        <v>400000000</v>
      </c>
      <c r="G15" s="237">
        <f t="shared" si="1"/>
        <v>0</v>
      </c>
      <c r="H15" s="237">
        <v>36221930363</v>
      </c>
      <c r="I15" s="237"/>
      <c r="J15" s="237">
        <v>36673000000</v>
      </c>
      <c r="K15" s="237">
        <f t="shared" si="2"/>
        <v>-451069637</v>
      </c>
      <c r="L15" s="237">
        <f>C15+H15-J15</f>
        <v>277674551</v>
      </c>
      <c r="M15" s="260"/>
      <c r="N15" s="392"/>
      <c r="O15" s="391"/>
      <c r="P15" s="391"/>
      <c r="Q15" s="392"/>
    </row>
    <row r="16" spans="1:17" s="393" customFormat="1" ht="28.5" customHeight="1">
      <c r="A16" s="841">
        <v>7</v>
      </c>
      <c r="B16" s="842" t="s">
        <v>489</v>
      </c>
      <c r="C16" s="237">
        <v>278460843</v>
      </c>
      <c r="D16" s="237">
        <v>80000000</v>
      </c>
      <c r="E16" s="237"/>
      <c r="F16" s="237">
        <v>53000000</v>
      </c>
      <c r="G16" s="237">
        <f t="shared" si="1"/>
        <v>27000000</v>
      </c>
      <c r="H16" s="237">
        <v>11445419</v>
      </c>
      <c r="I16" s="237"/>
      <c r="J16" s="237">
        <v>26000000</v>
      </c>
      <c r="K16" s="237">
        <f t="shared" si="2"/>
        <v>-14554581</v>
      </c>
      <c r="L16" s="237">
        <f t="shared" si="3"/>
        <v>263906262</v>
      </c>
      <c r="M16" s="260"/>
      <c r="N16" s="392"/>
      <c r="O16" s="391"/>
      <c r="P16" s="391"/>
      <c r="Q16" s="392"/>
    </row>
    <row r="17" spans="1:17" s="393" customFormat="1" ht="28.5" customHeight="1">
      <c r="A17" s="844">
        <v>8</v>
      </c>
      <c r="B17" s="845" t="s">
        <v>330</v>
      </c>
      <c r="C17" s="241">
        <v>167600000</v>
      </c>
      <c r="D17" s="241">
        <v>230000000</v>
      </c>
      <c r="E17" s="241">
        <v>100000000</v>
      </c>
      <c r="F17" s="241">
        <v>220000000</v>
      </c>
      <c r="G17" s="237">
        <f t="shared" si="1"/>
        <v>10000000</v>
      </c>
      <c r="H17" s="241">
        <v>223693000</v>
      </c>
      <c r="I17" s="241">
        <v>100000000</v>
      </c>
      <c r="J17" s="241">
        <v>250000000</v>
      </c>
      <c r="K17" s="241">
        <f t="shared" ref="K17" si="4">H17-J17</f>
        <v>-26307000</v>
      </c>
      <c r="L17" s="241">
        <f t="shared" si="3"/>
        <v>141293000</v>
      </c>
      <c r="M17" s="260"/>
      <c r="N17" s="392"/>
      <c r="O17" s="391"/>
      <c r="P17" s="391"/>
      <c r="Q17" s="392"/>
    </row>
    <row r="18" spans="1:17">
      <c r="N18" s="255"/>
      <c r="O18" s="256"/>
      <c r="P18" s="255"/>
      <c r="Q18" s="255"/>
    </row>
  </sheetData>
  <mergeCells count="15">
    <mergeCell ref="A2:L2"/>
    <mergeCell ref="A3:L3"/>
    <mergeCell ref="A5:A7"/>
    <mergeCell ref="B5:B7"/>
    <mergeCell ref="C5:C7"/>
    <mergeCell ref="D5:G5"/>
    <mergeCell ref="H5:K5"/>
    <mergeCell ref="L5:L7"/>
    <mergeCell ref="J6:J7"/>
    <mergeCell ref="K6:K7"/>
    <mergeCell ref="D6:E6"/>
    <mergeCell ref="F6:F7"/>
    <mergeCell ref="G6:G7"/>
    <mergeCell ref="H6:I6"/>
    <mergeCell ref="K4:L4"/>
  </mergeCells>
  <phoneticPr fontId="16" type="noConversion"/>
  <pageMargins left="0.24" right="0.2" top="0.48" bottom="1" header="0.32" footer="0.5"/>
  <pageSetup paperSize="9" fitToHeight="0" orientation="landscape" verticalDpi="4294967295"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FFFF00"/>
    <pageSetUpPr fitToPage="1"/>
  </sheetPr>
  <dimension ref="A1:J68"/>
  <sheetViews>
    <sheetView view="pageBreakPreview" zoomScale="115" zoomScaleNormal="100" zoomScaleSheetLayoutView="115" workbookViewId="0">
      <selection activeCell="I9" sqref="I9"/>
    </sheetView>
  </sheetViews>
  <sheetFormatPr defaultColWidth="9" defaultRowHeight="15.75"/>
  <cols>
    <col min="1" max="1" width="6.75" style="15" customWidth="1"/>
    <col min="2" max="2" width="37.875" style="15" customWidth="1"/>
    <col min="3" max="3" width="14.5" style="15" customWidth="1"/>
    <col min="4" max="4" width="14.25" style="15" customWidth="1"/>
    <col min="5" max="5" width="12.375" style="15" customWidth="1"/>
    <col min="6" max="6" width="12.75" style="207" hidden="1" customWidth="1"/>
    <col min="7" max="16384" width="9" style="15"/>
  </cols>
  <sheetData>
    <row r="1" spans="1:10" s="12" customFormat="1" ht="27.75" customHeight="1">
      <c r="A1" s="10"/>
      <c r="B1" s="11"/>
      <c r="D1" s="209"/>
      <c r="E1" s="846" t="s">
        <v>226</v>
      </c>
      <c r="F1" s="206"/>
    </row>
    <row r="2" spans="1:10" ht="24" customHeight="1">
      <c r="A2" s="1087" t="s">
        <v>871</v>
      </c>
      <c r="B2" s="1087"/>
      <c r="C2" s="1087"/>
      <c r="D2" s="1087"/>
      <c r="E2" s="1087"/>
      <c r="F2" s="206"/>
    </row>
    <row r="3" spans="1:10" ht="24" customHeight="1">
      <c r="A3" s="1087" t="s">
        <v>227</v>
      </c>
      <c r="B3" s="1087"/>
      <c r="C3" s="1087"/>
      <c r="D3" s="1087"/>
      <c r="E3" s="1087"/>
      <c r="F3" s="206"/>
    </row>
    <row r="4" spans="1:10" ht="22.5" customHeight="1">
      <c r="A4" s="884" t="str">
        <f>'B48'!A3</f>
        <v>(Kèm theo Báo cáo số  289/BC-UBND ngày  17 /6 /2024 của UBND huyện Tuần Giáo)</v>
      </c>
      <c r="B4" s="884"/>
      <c r="C4" s="884"/>
      <c r="D4" s="884"/>
      <c r="E4" s="884"/>
      <c r="F4" s="206"/>
    </row>
    <row r="5" spans="1:10" ht="25.5" customHeight="1">
      <c r="A5" s="12"/>
      <c r="B5" s="12"/>
      <c r="C5" s="12"/>
      <c r="D5" s="1088" t="s">
        <v>201</v>
      </c>
      <c r="E5" s="1088"/>
      <c r="F5" s="206"/>
    </row>
    <row r="6" spans="1:10" s="399" customFormat="1" ht="50.25" customHeight="1">
      <c r="A6" s="394" t="s">
        <v>51</v>
      </c>
      <c r="B6" s="394" t="s">
        <v>1</v>
      </c>
      <c r="C6" s="395" t="s">
        <v>845</v>
      </c>
      <c r="D6" s="396" t="s">
        <v>846</v>
      </c>
      <c r="E6" s="397" t="s">
        <v>75</v>
      </c>
      <c r="F6" s="847"/>
      <c r="G6" s="398"/>
      <c r="H6" s="398"/>
      <c r="I6" s="398"/>
    </row>
    <row r="7" spans="1:10" s="403" customFormat="1" ht="17.25" customHeight="1">
      <c r="A7" s="400" t="s">
        <v>3</v>
      </c>
      <c r="B7" s="400" t="s">
        <v>4</v>
      </c>
      <c r="C7" s="400">
        <v>1</v>
      </c>
      <c r="D7" s="400">
        <v>2</v>
      </c>
      <c r="E7" s="401" t="s">
        <v>44</v>
      </c>
      <c r="F7" s="848"/>
      <c r="G7" s="402"/>
      <c r="H7" s="402"/>
      <c r="I7" s="402"/>
    </row>
    <row r="8" spans="1:10" s="12" customFormat="1" ht="24" customHeight="1">
      <c r="A8" s="849"/>
      <c r="B8" s="850" t="s">
        <v>21</v>
      </c>
      <c r="C8" s="851">
        <f>C9+C11+C13+C15</f>
        <v>566000000</v>
      </c>
      <c r="D8" s="851">
        <f>D9+D11+D13+D15</f>
        <v>678327199</v>
      </c>
      <c r="E8" s="852">
        <f>D8/C8</f>
        <v>1.198457948763251</v>
      </c>
      <c r="F8" s="206"/>
      <c r="G8" s="405"/>
      <c r="H8" s="405"/>
      <c r="I8" s="405"/>
    </row>
    <row r="9" spans="1:10" s="12" customFormat="1" ht="24" customHeight="1">
      <c r="A9" s="853">
        <v>1</v>
      </c>
      <c r="B9" s="854" t="s">
        <v>354</v>
      </c>
      <c r="C9" s="855">
        <f>C10</f>
        <v>46000000</v>
      </c>
      <c r="D9" s="855">
        <f>D10</f>
        <v>114792400</v>
      </c>
      <c r="E9" s="856">
        <f>D9/C9</f>
        <v>2.4954869565217392</v>
      </c>
      <c r="F9" s="206"/>
      <c r="G9" s="405"/>
      <c r="H9" s="405"/>
      <c r="I9" s="405"/>
    </row>
    <row r="10" spans="1:10" s="407" customFormat="1" ht="24" customHeight="1">
      <c r="A10" s="853"/>
      <c r="B10" s="854" t="s">
        <v>314</v>
      </c>
      <c r="C10" s="857">
        <v>46000000</v>
      </c>
      <c r="D10" s="858">
        <f>25200000+89592400</f>
        <v>114792400</v>
      </c>
      <c r="E10" s="856"/>
      <c r="F10" s="859" t="s">
        <v>872</v>
      </c>
      <c r="G10" s="406"/>
      <c r="H10" s="406"/>
      <c r="I10" s="406"/>
    </row>
    <row r="11" spans="1:10" ht="24" customHeight="1">
      <c r="A11" s="853">
        <v>2</v>
      </c>
      <c r="B11" s="854" t="s">
        <v>355</v>
      </c>
      <c r="C11" s="855">
        <f>C12</f>
        <v>65000000</v>
      </c>
      <c r="D11" s="855">
        <f>D12</f>
        <v>118083135</v>
      </c>
      <c r="E11" s="856">
        <f>D11/C11</f>
        <v>1.8166636153846154</v>
      </c>
      <c r="F11" s="206"/>
      <c r="G11" s="405"/>
      <c r="H11" s="405"/>
      <c r="I11" s="405"/>
    </row>
    <row r="12" spans="1:10" ht="24" customHeight="1">
      <c r="A12" s="853"/>
      <c r="B12" s="854" t="s">
        <v>405</v>
      </c>
      <c r="C12" s="860">
        <v>65000000</v>
      </c>
      <c r="D12" s="858">
        <v>118083135</v>
      </c>
      <c r="E12" s="856"/>
      <c r="F12" s="206" t="s">
        <v>873</v>
      </c>
      <c r="G12" s="404"/>
      <c r="H12" s="405"/>
      <c r="I12" s="405"/>
    </row>
    <row r="13" spans="1:10" ht="24" customHeight="1">
      <c r="A13" s="853">
        <f>A11+1</f>
        <v>3</v>
      </c>
      <c r="B13" s="854" t="s">
        <v>356</v>
      </c>
      <c r="C13" s="855">
        <f>C14</f>
        <v>75000000</v>
      </c>
      <c r="D13" s="855">
        <f>D14</f>
        <v>196286680</v>
      </c>
      <c r="E13" s="856">
        <f>D13/C13</f>
        <v>2.6171557333333335</v>
      </c>
      <c r="F13" s="206"/>
      <c r="G13" s="404"/>
      <c r="H13" s="405"/>
      <c r="I13" s="405"/>
    </row>
    <row r="14" spans="1:10" ht="24" customHeight="1">
      <c r="A14" s="853"/>
      <c r="B14" s="854" t="s">
        <v>405</v>
      </c>
      <c r="C14" s="860">
        <v>75000000</v>
      </c>
      <c r="D14" s="858">
        <v>196286680</v>
      </c>
      <c r="E14" s="856"/>
      <c r="F14" s="206" t="s">
        <v>873</v>
      </c>
      <c r="G14" s="404"/>
      <c r="H14" s="408"/>
      <c r="I14" s="405"/>
    </row>
    <row r="15" spans="1:10" ht="24" customHeight="1">
      <c r="A15" s="853">
        <v>4</v>
      </c>
      <c r="B15" s="854" t="s">
        <v>156</v>
      </c>
      <c r="C15" s="855">
        <f>C16</f>
        <v>380000000</v>
      </c>
      <c r="D15" s="855">
        <f>D16</f>
        <v>249164984</v>
      </c>
      <c r="E15" s="856">
        <f>D15/C15</f>
        <v>0.65569732631578947</v>
      </c>
      <c r="F15" s="206"/>
      <c r="G15" s="405"/>
      <c r="H15" s="405"/>
      <c r="I15" s="405"/>
      <c r="J15" s="409"/>
    </row>
    <row r="16" spans="1:10" ht="24" customHeight="1">
      <c r="A16" s="861"/>
      <c r="B16" s="862" t="s">
        <v>346</v>
      </c>
      <c r="C16" s="863">
        <v>380000000</v>
      </c>
      <c r="D16" s="864">
        <v>249164984</v>
      </c>
      <c r="E16" s="865"/>
      <c r="F16" s="206" t="s">
        <v>874</v>
      </c>
      <c r="G16" s="405"/>
      <c r="H16" s="405"/>
      <c r="I16" s="405"/>
    </row>
    <row r="17" spans="1:6" s="132" customFormat="1" ht="16.5">
      <c r="D17" s="210"/>
      <c r="F17" s="208"/>
    </row>
    <row r="18" spans="1:6" s="132" customFormat="1" ht="16.5">
      <c r="D18" s="211"/>
      <c r="F18" s="208"/>
    </row>
    <row r="19" spans="1:6" s="132" customFormat="1" ht="16.5">
      <c r="D19" s="51"/>
      <c r="F19" s="208"/>
    </row>
    <row r="20" spans="1:6" s="132" customFormat="1" ht="16.5">
      <c r="D20" s="51"/>
      <c r="F20" s="208"/>
    </row>
    <row r="21" spans="1:6" s="132" customFormat="1" ht="16.5">
      <c r="D21" s="51"/>
      <c r="F21" s="208"/>
    </row>
    <row r="22" spans="1:6" s="132" customFormat="1" ht="16.5">
      <c r="D22" s="51"/>
      <c r="F22" s="208"/>
    </row>
    <row r="23" spans="1:6" s="132" customFormat="1" ht="21.75" customHeight="1">
      <c r="D23" s="51"/>
      <c r="F23" s="208"/>
    </row>
    <row r="24" spans="1:6" s="132" customFormat="1" ht="17.25">
      <c r="D24" s="212"/>
      <c r="F24" s="208"/>
    </row>
    <row r="32" spans="1:6" ht="18.75" hidden="1">
      <c r="A32" s="10"/>
      <c r="B32" s="11"/>
      <c r="C32" s="12"/>
      <c r="D32" s="209"/>
      <c r="E32" s="13" t="s">
        <v>228</v>
      </c>
    </row>
    <row r="33" spans="1:5" ht="15.75" hidden="1" customHeight="1">
      <c r="A33" s="10"/>
      <c r="B33" s="11"/>
      <c r="C33" s="12"/>
      <c r="D33" s="12"/>
      <c r="E33" s="14"/>
    </row>
    <row r="34" spans="1:5" ht="18.75" hidden="1" customHeight="1">
      <c r="A34" s="1083" t="s">
        <v>229</v>
      </c>
      <c r="B34" s="1083"/>
      <c r="C34" s="1083"/>
      <c r="D34" s="1083"/>
      <c r="E34" s="1083"/>
    </row>
    <row r="35" spans="1:5" ht="18.75" hidden="1" customHeight="1">
      <c r="A35" s="1083" t="s">
        <v>230</v>
      </c>
      <c r="B35" s="1083"/>
      <c r="C35" s="1083"/>
      <c r="D35" s="1083"/>
      <c r="E35" s="1083"/>
    </row>
    <row r="36" spans="1:5" ht="18.75" hidden="1">
      <c r="A36" s="1084" t="s">
        <v>27</v>
      </c>
      <c r="B36" s="1084"/>
      <c r="C36" s="1084"/>
      <c r="D36" s="1084"/>
      <c r="E36" s="1084"/>
    </row>
    <row r="37" spans="1:5" ht="18.75" hidden="1">
      <c r="A37" s="363"/>
      <c r="B37" s="363"/>
      <c r="C37" s="363"/>
      <c r="D37" s="362"/>
      <c r="E37" s="363"/>
    </row>
    <row r="38" spans="1:5" ht="19.5" hidden="1" thickBot="1">
      <c r="D38" s="213"/>
      <c r="E38" s="16" t="s">
        <v>70</v>
      </c>
    </row>
    <row r="39" spans="1:5" ht="56.25" hidden="1" customHeight="1">
      <c r="A39" s="17" t="s">
        <v>51</v>
      </c>
      <c r="B39" s="18" t="s">
        <v>1</v>
      </c>
      <c r="C39" s="19" t="s">
        <v>231</v>
      </c>
      <c r="D39" s="214" t="s">
        <v>232</v>
      </c>
      <c r="E39" s="20" t="s">
        <v>75</v>
      </c>
    </row>
    <row r="40" spans="1:5" ht="15.75" hidden="1" customHeight="1">
      <c r="A40" s="21"/>
      <c r="B40" s="22"/>
      <c r="C40" s="1085" t="s">
        <v>21</v>
      </c>
      <c r="D40" s="1085" t="s">
        <v>21</v>
      </c>
      <c r="E40" s="23"/>
    </row>
    <row r="41" spans="1:5" hidden="1">
      <c r="A41" s="24"/>
      <c r="B41" s="25"/>
      <c r="C41" s="1086"/>
      <c r="D41" s="1086"/>
      <c r="E41" s="26"/>
    </row>
    <row r="42" spans="1:5" hidden="1">
      <c r="A42" s="27" t="s">
        <v>3</v>
      </c>
      <c r="B42" s="28" t="s">
        <v>4</v>
      </c>
      <c r="C42" s="28">
        <v>1</v>
      </c>
      <c r="D42" s="28">
        <v>2</v>
      </c>
      <c r="E42" s="29" t="s">
        <v>44</v>
      </c>
    </row>
    <row r="43" spans="1:5" ht="18.75" hidden="1">
      <c r="A43" s="30"/>
      <c r="B43" s="31" t="s">
        <v>21</v>
      </c>
      <c r="C43" s="32"/>
      <c r="D43" s="32"/>
      <c r="E43" s="33"/>
    </row>
    <row r="44" spans="1:5" ht="18.75" hidden="1">
      <c r="A44" s="34"/>
      <c r="B44" s="35" t="s">
        <v>24</v>
      </c>
      <c r="C44" s="410"/>
      <c r="D44" s="410"/>
      <c r="E44" s="411"/>
    </row>
    <row r="45" spans="1:5" ht="18.75" hidden="1">
      <c r="A45" s="34"/>
      <c r="B45" s="36" t="s">
        <v>233</v>
      </c>
      <c r="C45" s="410"/>
      <c r="D45" s="410"/>
      <c r="E45" s="411"/>
    </row>
    <row r="46" spans="1:5" ht="18.75" hidden="1">
      <c r="A46" s="34"/>
      <c r="B46" s="36" t="s">
        <v>234</v>
      </c>
      <c r="C46" s="410"/>
      <c r="D46" s="410"/>
      <c r="E46" s="411"/>
    </row>
    <row r="47" spans="1:5" ht="18.75" hidden="1">
      <c r="A47" s="34"/>
      <c r="B47" s="36" t="s">
        <v>235</v>
      </c>
      <c r="C47" s="410"/>
      <c r="D47" s="410"/>
      <c r="E47" s="411"/>
    </row>
    <row r="48" spans="1:5" ht="18.75" hidden="1">
      <c r="A48" s="37">
        <v>1</v>
      </c>
      <c r="B48" s="38" t="s">
        <v>236</v>
      </c>
      <c r="C48" s="412"/>
      <c r="D48" s="412"/>
      <c r="E48" s="413"/>
    </row>
    <row r="49" spans="1:5" ht="18.75" hidden="1">
      <c r="A49" s="34"/>
      <c r="B49" s="35" t="s">
        <v>24</v>
      </c>
      <c r="C49" s="410"/>
      <c r="D49" s="410"/>
      <c r="E49" s="411"/>
    </row>
    <row r="50" spans="1:5" ht="18.75" hidden="1">
      <c r="A50" s="34"/>
      <c r="B50" s="36" t="s">
        <v>233</v>
      </c>
      <c r="C50" s="410"/>
      <c r="D50" s="410"/>
      <c r="E50" s="411"/>
    </row>
    <row r="51" spans="1:5" ht="18.75" hidden="1">
      <c r="A51" s="34"/>
      <c r="B51" s="36" t="s">
        <v>234</v>
      </c>
      <c r="C51" s="410"/>
      <c r="D51" s="410"/>
      <c r="E51" s="411"/>
    </row>
    <row r="52" spans="1:5" ht="18.75" hidden="1">
      <c r="A52" s="34"/>
      <c r="B52" s="36" t="s">
        <v>235</v>
      </c>
      <c r="C52" s="410"/>
      <c r="D52" s="410"/>
      <c r="E52" s="411"/>
    </row>
    <row r="53" spans="1:5" ht="18.75" hidden="1">
      <c r="A53" s="37">
        <v>2</v>
      </c>
      <c r="B53" s="38" t="s">
        <v>237</v>
      </c>
      <c r="C53" s="39"/>
      <c r="D53" s="39"/>
      <c r="E53" s="40"/>
    </row>
    <row r="54" spans="1:5" ht="18.75" hidden="1">
      <c r="A54" s="34"/>
      <c r="B54" s="35" t="s">
        <v>24</v>
      </c>
      <c r="C54" s="39"/>
      <c r="D54" s="39"/>
      <c r="E54" s="40"/>
    </row>
    <row r="55" spans="1:5" ht="18.75" hidden="1">
      <c r="A55" s="34"/>
      <c r="B55" s="36" t="s">
        <v>233</v>
      </c>
      <c r="C55" s="39"/>
      <c r="D55" s="39"/>
      <c r="E55" s="40"/>
    </row>
    <row r="56" spans="1:5" ht="18.75" hidden="1">
      <c r="A56" s="34"/>
      <c r="B56" s="36" t="s">
        <v>234</v>
      </c>
      <c r="C56" s="39"/>
      <c r="D56" s="39"/>
      <c r="E56" s="40"/>
    </row>
    <row r="57" spans="1:5" ht="18.75" hidden="1">
      <c r="A57" s="34"/>
      <c r="B57" s="36" t="s">
        <v>235</v>
      </c>
      <c r="C57" s="410"/>
      <c r="D57" s="410"/>
      <c r="E57" s="411"/>
    </row>
    <row r="58" spans="1:5" ht="18.75" hidden="1">
      <c r="A58" s="37">
        <v>3</v>
      </c>
      <c r="B58" s="38" t="s">
        <v>238</v>
      </c>
      <c r="C58" s="39"/>
      <c r="D58" s="39"/>
      <c r="E58" s="40"/>
    </row>
    <row r="59" spans="1:5" ht="18.75" hidden="1">
      <c r="A59" s="34"/>
      <c r="B59" s="35" t="s">
        <v>24</v>
      </c>
      <c r="C59" s="39"/>
      <c r="D59" s="39"/>
      <c r="E59" s="40"/>
    </row>
    <row r="60" spans="1:5" ht="18.75" hidden="1">
      <c r="A60" s="34"/>
      <c r="B60" s="36" t="s">
        <v>233</v>
      </c>
      <c r="C60" s="39"/>
      <c r="D60" s="39"/>
      <c r="E60" s="40"/>
    </row>
    <row r="61" spans="1:5" ht="18.75" hidden="1">
      <c r="A61" s="34"/>
      <c r="B61" s="36" t="s">
        <v>234</v>
      </c>
      <c r="C61" s="39"/>
      <c r="D61" s="39"/>
      <c r="E61" s="40"/>
    </row>
    <row r="62" spans="1:5" ht="18.75" hidden="1">
      <c r="A62" s="34"/>
      <c r="B62" s="36" t="s">
        <v>235</v>
      </c>
      <c r="C62" s="410"/>
      <c r="D62" s="410"/>
      <c r="E62" s="411"/>
    </row>
    <row r="63" spans="1:5" ht="19.5" hidden="1" thickBot="1">
      <c r="A63" s="41"/>
      <c r="B63" s="42"/>
      <c r="C63" s="43"/>
      <c r="D63" s="43"/>
      <c r="E63" s="44"/>
    </row>
    <row r="64" spans="1:5" hidden="1"/>
    <row r="65" hidden="1"/>
    <row r="66" hidden="1"/>
    <row r="67" hidden="1"/>
    <row r="68" hidden="1"/>
  </sheetData>
  <mergeCells count="9">
    <mergeCell ref="A35:E35"/>
    <mergeCell ref="A36:E36"/>
    <mergeCell ref="C40:C41"/>
    <mergeCell ref="D40:D41"/>
    <mergeCell ref="A2:E2"/>
    <mergeCell ref="A3:E3"/>
    <mergeCell ref="A4:E4"/>
    <mergeCell ref="A34:E34"/>
    <mergeCell ref="D5:E5"/>
  </mergeCells>
  <phoneticPr fontId="16" type="noConversion"/>
  <pageMargins left="0.69" right="0" top="0.65" bottom="1" header="0.5" footer="0.5"/>
  <pageSetup paperSize="9" fitToHeight="0" orientation="portrait" verticalDpi="4294967295"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1:S35"/>
  <sheetViews>
    <sheetView view="pageBreakPreview" zoomScaleNormal="100" zoomScaleSheetLayoutView="100" workbookViewId="0">
      <pane xSplit="2" ySplit="9" topLeftCell="C10" activePane="bottomRight" state="frozen"/>
      <selection pane="topRight" activeCell="C1" sqref="C1"/>
      <selection pane="bottomLeft" activeCell="A10" sqref="A10"/>
      <selection pane="bottomRight" activeCell="I16" sqref="I16"/>
    </sheetView>
  </sheetViews>
  <sheetFormatPr defaultColWidth="9" defaultRowHeight="15.75"/>
  <cols>
    <col min="1" max="1" width="4.625" style="48" customWidth="1"/>
    <col min="2" max="2" width="31.5" style="48" customWidth="1"/>
    <col min="3" max="3" width="15.5" style="48" customWidth="1"/>
    <col min="4" max="4" width="16.875" style="48" customWidth="1"/>
    <col min="5" max="5" width="14.875" style="48" customWidth="1"/>
    <col min="6" max="6" width="11.125" style="48" customWidth="1"/>
    <col min="7" max="7" width="7.875" style="48" customWidth="1"/>
    <col min="8" max="8" width="14.25" style="48" hidden="1" customWidth="1"/>
    <col min="9" max="9" width="15.625" style="48" customWidth="1"/>
    <col min="10" max="16384" width="9" style="48"/>
  </cols>
  <sheetData>
    <row r="1" spans="1:19" ht="21" customHeight="1">
      <c r="A1" s="428"/>
      <c r="B1" s="428"/>
      <c r="C1" s="429"/>
      <c r="D1" s="430"/>
      <c r="E1" s="431"/>
      <c r="F1" s="432" t="s">
        <v>106</v>
      </c>
    </row>
    <row r="2" spans="1:19" ht="26.25" customHeight="1">
      <c r="A2" s="869" t="s">
        <v>840</v>
      </c>
      <c r="B2" s="869"/>
      <c r="C2" s="869"/>
      <c r="D2" s="869"/>
      <c r="E2" s="869"/>
      <c r="F2" s="869"/>
    </row>
    <row r="3" spans="1:19" ht="21" customHeight="1">
      <c r="A3" s="870" t="s">
        <v>875</v>
      </c>
      <c r="B3" s="870"/>
      <c r="C3" s="870"/>
      <c r="D3" s="870"/>
      <c r="E3" s="870"/>
      <c r="F3" s="870"/>
      <c r="H3" s="216" t="s">
        <v>556</v>
      </c>
    </row>
    <row r="4" spans="1:19" ht="24.75" customHeight="1">
      <c r="A4" s="433"/>
      <c r="B4" s="433"/>
      <c r="C4" s="434"/>
      <c r="D4" s="868" t="s">
        <v>201</v>
      </c>
      <c r="E4" s="868"/>
      <c r="F4" s="868"/>
    </row>
    <row r="5" spans="1:19" s="72" customFormat="1" ht="22.5" customHeight="1">
      <c r="A5" s="871" t="s">
        <v>51</v>
      </c>
      <c r="B5" s="871" t="s">
        <v>120</v>
      </c>
      <c r="C5" s="871" t="s">
        <v>2</v>
      </c>
      <c r="D5" s="871" t="s">
        <v>50</v>
      </c>
      <c r="E5" s="874" t="s">
        <v>52</v>
      </c>
      <c r="F5" s="875"/>
    </row>
    <row r="6" spans="1:19" s="72" customFormat="1" ht="17.25" customHeight="1">
      <c r="A6" s="872"/>
      <c r="B6" s="872" t="s">
        <v>120</v>
      </c>
      <c r="C6" s="872"/>
      <c r="D6" s="872"/>
      <c r="E6" s="871" t="s">
        <v>72</v>
      </c>
      <c r="F6" s="876" t="s">
        <v>145</v>
      </c>
    </row>
    <row r="7" spans="1:19" s="72" customFormat="1" ht="17.25" customHeight="1">
      <c r="A7" s="873"/>
      <c r="B7" s="873"/>
      <c r="C7" s="873"/>
      <c r="D7" s="873"/>
      <c r="E7" s="873"/>
      <c r="F7" s="877"/>
    </row>
    <row r="8" spans="1:19" s="124" customFormat="1" ht="17.25" customHeight="1">
      <c r="A8" s="80" t="s">
        <v>3</v>
      </c>
      <c r="B8" s="121" t="s">
        <v>4</v>
      </c>
      <c r="C8" s="80">
        <v>1</v>
      </c>
      <c r="D8" s="80">
        <f>C8+1</f>
        <v>2</v>
      </c>
      <c r="E8" s="122" t="s">
        <v>73</v>
      </c>
      <c r="F8" s="123" t="s">
        <v>74</v>
      </c>
      <c r="H8" s="72"/>
      <c r="I8" s="72"/>
    </row>
    <row r="9" spans="1:19" s="72" customFormat="1" ht="30.75" customHeight="1">
      <c r="A9" s="416" t="s">
        <v>3</v>
      </c>
      <c r="B9" s="435" t="s">
        <v>90</v>
      </c>
      <c r="C9" s="436">
        <f>C10+C13+C16+C17+C18</f>
        <v>948814000000</v>
      </c>
      <c r="D9" s="436">
        <f>D10+D13+D16+D17+D18</f>
        <v>1115497299866</v>
      </c>
      <c r="E9" s="436">
        <f>E10+E13+E16+E17+E18</f>
        <v>166683299866</v>
      </c>
      <c r="F9" s="437">
        <f>D9/C9</f>
        <v>1.1756754220173817</v>
      </c>
    </row>
    <row r="10" spans="1:19" s="125" customFormat="1" ht="25.5" customHeight="1">
      <c r="A10" s="417" t="s">
        <v>11</v>
      </c>
      <c r="B10" s="438" t="s">
        <v>46</v>
      </c>
      <c r="C10" s="439">
        <f>C11+C12</f>
        <v>50600000000</v>
      </c>
      <c r="D10" s="439">
        <f>D11+D12</f>
        <v>57523754836</v>
      </c>
      <c r="E10" s="440">
        <f>D10-C10</f>
        <v>6923754836</v>
      </c>
      <c r="F10" s="437">
        <f>D10/C10</f>
        <v>1.1368330995256917</v>
      </c>
      <c r="G10" s="72"/>
      <c r="H10" s="72"/>
      <c r="I10" s="72"/>
    </row>
    <row r="11" spans="1:19" s="72" customFormat="1" ht="25.5" customHeight="1">
      <c r="A11" s="441" t="s">
        <v>9</v>
      </c>
      <c r="B11" s="442" t="s">
        <v>47</v>
      </c>
      <c r="C11" s="443">
        <f>'[2]B49-bich'!C12+'[2]B49-bich'!C29-C12</f>
        <v>50600000000</v>
      </c>
      <c r="D11" s="443">
        <f>'[2]B49-bich'!D12+'[2]B49-bich'!D29-D12</f>
        <v>57523754836</v>
      </c>
      <c r="E11" s="444">
        <f t="shared" ref="E11:E29" si="0">D11-C11</f>
        <v>6923754836</v>
      </c>
      <c r="F11" s="445">
        <f t="shared" ref="F11:F26" si="1">D11/C11</f>
        <v>1.1368330995256917</v>
      </c>
    </row>
    <row r="12" spans="1:19" s="72" customFormat="1" ht="42" hidden="1" customHeight="1">
      <c r="A12" s="441" t="s">
        <v>9</v>
      </c>
      <c r="B12" s="446" t="s">
        <v>117</v>
      </c>
      <c r="C12" s="443"/>
      <c r="D12" s="443"/>
      <c r="E12" s="444">
        <f t="shared" si="0"/>
        <v>0</v>
      </c>
      <c r="F12" s="445" t="e">
        <f t="shared" si="1"/>
        <v>#DIV/0!</v>
      </c>
    </row>
    <row r="13" spans="1:19" s="125" customFormat="1" ht="25.5" customHeight="1">
      <c r="A13" s="417" t="s">
        <v>12</v>
      </c>
      <c r="B13" s="438" t="s">
        <v>28</v>
      </c>
      <c r="C13" s="439">
        <f>C14+C15</f>
        <v>898214000000</v>
      </c>
      <c r="D13" s="439">
        <f>D14+D15</f>
        <v>959262677150</v>
      </c>
      <c r="E13" s="440">
        <f t="shared" si="0"/>
        <v>61048677150</v>
      </c>
      <c r="F13" s="437">
        <f t="shared" si="1"/>
        <v>1.0679667397190424</v>
      </c>
      <c r="G13" s="72"/>
      <c r="H13" s="72"/>
      <c r="I13" s="72"/>
    </row>
    <row r="14" spans="1:19" s="72" customFormat="1" ht="25.5" customHeight="1">
      <c r="A14" s="447">
        <v>1</v>
      </c>
      <c r="B14" s="442" t="s">
        <v>61</v>
      </c>
      <c r="C14" s="443">
        <f>'[2]B49-bich'!C14</f>
        <v>684106000000</v>
      </c>
      <c r="D14" s="443">
        <f>'[2]B49-bich'!D14</f>
        <v>681988065750</v>
      </c>
      <c r="E14" s="444">
        <f t="shared" si="0"/>
        <v>-2117934250</v>
      </c>
      <c r="F14" s="445">
        <f t="shared" si="1"/>
        <v>0.99690408467401248</v>
      </c>
    </row>
    <row r="15" spans="1:19" s="72" customFormat="1" ht="25.5" customHeight="1">
      <c r="A15" s="447">
        <f>A14+1</f>
        <v>2</v>
      </c>
      <c r="B15" s="442" t="s">
        <v>69</v>
      </c>
      <c r="C15" s="443">
        <f>'[2]B49-bich'!C15</f>
        <v>214108000000</v>
      </c>
      <c r="D15" s="443">
        <f>'[2]B49-bich'!D15</f>
        <v>277274611400</v>
      </c>
      <c r="E15" s="444">
        <f t="shared" si="0"/>
        <v>63166611400</v>
      </c>
      <c r="F15" s="445">
        <f t="shared" si="1"/>
        <v>1.295022191604237</v>
      </c>
      <c r="J15" s="125"/>
      <c r="K15" s="125"/>
      <c r="L15" s="125"/>
      <c r="M15" s="125"/>
      <c r="N15" s="125"/>
      <c r="O15" s="125"/>
      <c r="P15" s="125"/>
      <c r="Q15" s="125"/>
      <c r="R15" s="125"/>
      <c r="S15" s="125"/>
    </row>
    <row r="16" spans="1:19" s="125" customFormat="1" ht="25.5" customHeight="1">
      <c r="A16" s="417" t="s">
        <v>13</v>
      </c>
      <c r="B16" s="438" t="s">
        <v>297</v>
      </c>
      <c r="C16" s="439"/>
      <c r="D16" s="439">
        <f>'[2]B49-bich'!D16</f>
        <v>6703707642</v>
      </c>
      <c r="E16" s="440">
        <f t="shared" si="0"/>
        <v>6703707642</v>
      </c>
      <c r="F16" s="445"/>
      <c r="G16" s="72"/>
      <c r="H16" s="72"/>
      <c r="I16" s="72"/>
    </row>
    <row r="17" spans="1:19" s="126" customFormat="1" ht="25.5" customHeight="1">
      <c r="A17" s="417" t="s">
        <v>14</v>
      </c>
      <c r="B17" s="438" t="s">
        <v>26</v>
      </c>
      <c r="C17" s="448"/>
      <c r="D17" s="439">
        <f>'[2]B49-bich'!D18</f>
        <v>115400000</v>
      </c>
      <c r="E17" s="440">
        <f>D17-C17</f>
        <v>115400000</v>
      </c>
      <c r="F17" s="437"/>
      <c r="G17" s="72"/>
      <c r="H17" s="72"/>
      <c r="I17" s="72"/>
      <c r="J17" s="125"/>
      <c r="K17" s="125"/>
      <c r="L17" s="125"/>
      <c r="M17" s="125"/>
      <c r="N17" s="125"/>
      <c r="O17" s="125"/>
      <c r="P17" s="125"/>
      <c r="Q17" s="125"/>
      <c r="R17" s="125"/>
      <c r="S17" s="125"/>
    </row>
    <row r="18" spans="1:19" s="126" customFormat="1" ht="36" customHeight="1">
      <c r="A18" s="417" t="s">
        <v>15</v>
      </c>
      <c r="B18" s="449" t="s">
        <v>57</v>
      </c>
      <c r="C18" s="448"/>
      <c r="D18" s="439">
        <f>'[2]B49-bich'!D17+'[2]B49-bich'!D33</f>
        <v>91891760238</v>
      </c>
      <c r="E18" s="440">
        <f t="shared" si="0"/>
        <v>91891760238</v>
      </c>
      <c r="F18" s="437"/>
      <c r="G18" s="72"/>
      <c r="H18" s="72"/>
      <c r="I18" s="72"/>
      <c r="J18" s="125"/>
      <c r="K18" s="125"/>
      <c r="L18" s="125"/>
      <c r="M18" s="125"/>
      <c r="N18" s="125"/>
      <c r="O18" s="125"/>
      <c r="P18" s="125"/>
      <c r="Q18" s="125"/>
      <c r="R18" s="125"/>
      <c r="S18" s="125"/>
    </row>
    <row r="19" spans="1:19" s="72" customFormat="1" ht="25.5" customHeight="1">
      <c r="A19" s="417" t="s">
        <v>4</v>
      </c>
      <c r="B19" s="438" t="s">
        <v>89</v>
      </c>
      <c r="C19" s="439">
        <f>C20+C24+C28+C27</f>
        <v>948814000000</v>
      </c>
      <c r="D19" s="439">
        <f>D20+D24+D28+D27</f>
        <v>1105341372148</v>
      </c>
      <c r="E19" s="439">
        <f>E20+E24+E28+E27</f>
        <v>156527372148</v>
      </c>
      <c r="F19" s="437">
        <f t="shared" si="1"/>
        <v>1.1649716089222968</v>
      </c>
      <c r="J19" s="125"/>
      <c r="K19" s="125"/>
      <c r="L19" s="125"/>
      <c r="M19" s="125"/>
      <c r="N19" s="125"/>
      <c r="O19" s="125"/>
      <c r="P19" s="125"/>
      <c r="Q19" s="125"/>
      <c r="R19" s="125"/>
      <c r="S19" s="125"/>
    </row>
    <row r="20" spans="1:19" s="72" customFormat="1" ht="25.5" customHeight="1">
      <c r="A20" s="417" t="s">
        <v>11</v>
      </c>
      <c r="B20" s="438" t="s">
        <v>48</v>
      </c>
      <c r="C20" s="439">
        <f>SUM(C21:C23)</f>
        <v>734706000000</v>
      </c>
      <c r="D20" s="439">
        <f>SUM(D21:D23)</f>
        <v>789192730633</v>
      </c>
      <c r="E20" s="440">
        <f t="shared" si="0"/>
        <v>54486730633</v>
      </c>
      <c r="F20" s="437">
        <f t="shared" si="1"/>
        <v>1.0741612708117261</v>
      </c>
      <c r="G20" s="73"/>
      <c r="J20" s="125"/>
      <c r="K20" s="125"/>
      <c r="L20" s="125"/>
      <c r="M20" s="125"/>
      <c r="N20" s="125"/>
      <c r="O20" s="125"/>
      <c r="P20" s="125"/>
      <c r="Q20" s="125"/>
      <c r="R20" s="125"/>
      <c r="S20" s="125"/>
    </row>
    <row r="21" spans="1:19" s="72" customFormat="1" ht="25.5" customHeight="1">
      <c r="A21" s="447">
        <v>1</v>
      </c>
      <c r="B21" s="442" t="s">
        <v>25</v>
      </c>
      <c r="C21" s="443">
        <f>'[2]B51-mai'!C11</f>
        <v>36868000000</v>
      </c>
      <c r="D21" s="443">
        <f>'[2]B51-mai'!D11</f>
        <v>47520465894</v>
      </c>
      <c r="E21" s="444">
        <f t="shared" si="0"/>
        <v>10652465894</v>
      </c>
      <c r="F21" s="445">
        <f t="shared" si="1"/>
        <v>1.2889352797548008</v>
      </c>
      <c r="J21" s="125"/>
      <c r="K21" s="125"/>
      <c r="L21" s="125"/>
      <c r="M21" s="125"/>
      <c r="N21" s="125"/>
      <c r="O21" s="125"/>
      <c r="P21" s="125"/>
      <c r="Q21" s="125"/>
      <c r="R21" s="125"/>
      <c r="S21" s="125"/>
    </row>
    <row r="22" spans="1:19" s="72" customFormat="1" ht="25.5" customHeight="1">
      <c r="A22" s="447">
        <f>A21+1</f>
        <v>2</v>
      </c>
      <c r="B22" s="442" t="s">
        <v>19</v>
      </c>
      <c r="C22" s="443">
        <f>'[2]B51-mai'!C25</f>
        <v>683144000000</v>
      </c>
      <c r="D22" s="443">
        <f>'[2]B51-mai'!D25</f>
        <v>741672264739</v>
      </c>
      <c r="E22" s="444">
        <f t="shared" si="0"/>
        <v>58528264739</v>
      </c>
      <c r="F22" s="445">
        <f t="shared" si="1"/>
        <v>1.0856748573346175</v>
      </c>
      <c r="J22" s="125"/>
      <c r="K22" s="125"/>
      <c r="L22" s="125"/>
      <c r="M22" s="125"/>
      <c r="N22" s="125"/>
      <c r="O22" s="125"/>
      <c r="P22" s="125"/>
      <c r="Q22" s="125"/>
      <c r="R22" s="125"/>
      <c r="S22" s="125"/>
    </row>
    <row r="23" spans="1:19" s="72" customFormat="1" ht="25.5" customHeight="1">
      <c r="A23" s="447">
        <v>3</v>
      </c>
      <c r="B23" s="442" t="s">
        <v>20</v>
      </c>
      <c r="C23" s="444">
        <f>'[2]B51-mai'!C39</f>
        <v>14694000000</v>
      </c>
      <c r="D23" s="444">
        <f>'[2]B51-mai'!D39</f>
        <v>0</v>
      </c>
      <c r="E23" s="444">
        <f t="shared" si="0"/>
        <v>-14694000000</v>
      </c>
      <c r="F23" s="445">
        <f t="shared" si="1"/>
        <v>0</v>
      </c>
      <c r="J23" s="125"/>
      <c r="K23" s="125"/>
      <c r="L23" s="125"/>
      <c r="M23" s="125"/>
      <c r="N23" s="125"/>
      <c r="O23" s="125"/>
      <c r="P23" s="125"/>
      <c r="Q23" s="125"/>
      <c r="R23" s="125"/>
      <c r="S23" s="125"/>
    </row>
    <row r="24" spans="1:19" s="72" customFormat="1" ht="25.5" customHeight="1">
      <c r="A24" s="417" t="s">
        <v>12</v>
      </c>
      <c r="B24" s="438" t="s">
        <v>91</v>
      </c>
      <c r="C24" s="439">
        <f>C25+C26</f>
        <v>214108000000</v>
      </c>
      <c r="D24" s="439">
        <f>D25+D26</f>
        <v>162277662963</v>
      </c>
      <c r="E24" s="440">
        <f t="shared" si="0"/>
        <v>-51830337037</v>
      </c>
      <c r="F24" s="437">
        <f t="shared" si="1"/>
        <v>0.75792433240700952</v>
      </c>
    </row>
    <row r="25" spans="1:19" s="72" customFormat="1" ht="25.5" customHeight="1">
      <c r="A25" s="447">
        <v>1</v>
      </c>
      <c r="B25" s="442" t="s">
        <v>92</v>
      </c>
      <c r="C25" s="443">
        <f>'[2]B51-mai'!C41</f>
        <v>210875000000</v>
      </c>
      <c r="D25" s="443">
        <f>'[2]B51-mai'!D41</f>
        <v>158991000563</v>
      </c>
      <c r="E25" s="444">
        <f>D25-C25</f>
        <v>-51883999437</v>
      </c>
      <c r="F25" s="445"/>
    </row>
    <row r="26" spans="1:19" s="72" customFormat="1" ht="25.5" customHeight="1">
      <c r="A26" s="447">
        <f>A25+1</f>
        <v>2</v>
      </c>
      <c r="B26" s="442" t="s">
        <v>412</v>
      </c>
      <c r="C26" s="443">
        <f>'[2]B51-mai'!C170</f>
        <v>3233000000</v>
      </c>
      <c r="D26" s="443">
        <f>'[2]B51-mai'!D170</f>
        <v>3286662400</v>
      </c>
      <c r="E26" s="444">
        <f>D26-C26</f>
        <v>53662400</v>
      </c>
      <c r="F26" s="445">
        <f t="shared" si="1"/>
        <v>1.0165983297247139</v>
      </c>
    </row>
    <row r="27" spans="1:19" s="72" customFormat="1" ht="25.5" customHeight="1">
      <c r="A27" s="418" t="s">
        <v>13</v>
      </c>
      <c r="B27" s="450" t="s">
        <v>271</v>
      </c>
      <c r="C27" s="451">
        <f>'[2]B51-mai'!C181</f>
        <v>0</v>
      </c>
      <c r="D27" s="451">
        <f>'[2]B51-mai'!D181</f>
        <v>9504193948</v>
      </c>
      <c r="E27" s="440">
        <f>D27-C27</f>
        <v>9504193948</v>
      </c>
      <c r="F27" s="445"/>
    </row>
    <row r="28" spans="1:19" s="72" customFormat="1" ht="25.5" customHeight="1">
      <c r="A28" s="452" t="s">
        <v>14</v>
      </c>
      <c r="B28" s="453" t="s">
        <v>56</v>
      </c>
      <c r="C28" s="454">
        <f>'[2]B51-mai'!C182</f>
        <v>0</v>
      </c>
      <c r="D28" s="454">
        <f>'[2]B51-mai'!D182</f>
        <v>144366784604</v>
      </c>
      <c r="E28" s="455">
        <f t="shared" si="0"/>
        <v>144366784604</v>
      </c>
      <c r="F28" s="456"/>
      <c r="H28" s="358">
        <f>D9-D19</f>
        <v>10155927718</v>
      </c>
    </row>
    <row r="29" spans="1:19" s="72" customFormat="1" ht="25.5" hidden="1" customHeight="1">
      <c r="A29" s="414" t="s">
        <v>16</v>
      </c>
      <c r="B29" s="457" t="s">
        <v>124</v>
      </c>
      <c r="C29" s="458"/>
      <c r="D29" s="459"/>
      <c r="E29" s="460">
        <f t="shared" si="0"/>
        <v>0</v>
      </c>
      <c r="F29" s="461"/>
    </row>
    <row r="30" spans="1:19">
      <c r="H30" s="72"/>
      <c r="I30" s="72"/>
    </row>
    <row r="31" spans="1:19">
      <c r="H31" s="72"/>
      <c r="I31" s="72"/>
    </row>
    <row r="32" spans="1:19">
      <c r="H32" s="72"/>
      <c r="I32" s="72"/>
    </row>
    <row r="33" spans="8:9">
      <c r="H33" s="72"/>
      <c r="I33" s="72"/>
    </row>
    <row r="34" spans="8:9">
      <c r="H34" s="72"/>
      <c r="I34" s="72"/>
    </row>
    <row r="35" spans="8:9">
      <c r="H35" s="72"/>
      <c r="I35" s="72"/>
    </row>
  </sheetData>
  <mergeCells count="10">
    <mergeCell ref="D4:F4"/>
    <mergeCell ref="A2:F2"/>
    <mergeCell ref="A3:F3"/>
    <mergeCell ref="A5:A7"/>
    <mergeCell ref="B5:B7"/>
    <mergeCell ref="C5:C7"/>
    <mergeCell ref="D5:D7"/>
    <mergeCell ref="E5:F5"/>
    <mergeCell ref="E6:E7"/>
    <mergeCell ref="F6:F7"/>
  </mergeCells>
  <phoneticPr fontId="16" type="noConversion"/>
  <pageMargins left="0.56999999999999995" right="0.25" top="0.78740157480314998" bottom="0.74803149606299202" header="0.511811023622047" footer="0.511811023622047"/>
  <pageSetup paperSize="9" scale="94" fitToHeight="0" orientation="portrait"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A1:H54"/>
  <sheetViews>
    <sheetView view="pageBreakPreview" zoomScale="115" zoomScaleNormal="100" zoomScaleSheetLayoutView="115" workbookViewId="0">
      <pane xSplit="2" ySplit="10" topLeftCell="C11" activePane="bottomRight" state="frozen"/>
      <selection pane="topRight" activeCell="C1" sqref="C1"/>
      <selection pane="bottomLeft" activeCell="A11" sqref="A11"/>
      <selection pane="bottomRight" activeCell="D12" sqref="D12"/>
    </sheetView>
  </sheetViews>
  <sheetFormatPr defaultColWidth="9" defaultRowHeight="15.75"/>
  <cols>
    <col min="1" max="1" width="6.125" style="2" customWidth="1"/>
    <col min="2" max="2" width="37.25" style="2" customWidth="1"/>
    <col min="3" max="3" width="15" style="2" customWidth="1"/>
    <col min="4" max="4" width="15.5" style="48" customWidth="1"/>
    <col min="5" max="5" width="8.875" style="2" customWidth="1"/>
    <col min="6" max="6" width="7.125" style="2" customWidth="1"/>
    <col min="7" max="7" width="14.125" style="215" customWidth="1"/>
    <col min="8" max="8" width="13.75" style="2" customWidth="1"/>
    <col min="9" max="16384" width="9" style="2"/>
  </cols>
  <sheetData>
    <row r="1" spans="1:8" ht="21" customHeight="1">
      <c r="A1" s="485"/>
      <c r="B1" s="485"/>
      <c r="C1" s="486"/>
      <c r="D1" s="879" t="s">
        <v>125</v>
      </c>
      <c r="E1" s="879"/>
      <c r="F1" s="348"/>
    </row>
    <row r="2" spans="1:8" ht="21" customHeight="1">
      <c r="A2" s="885" t="s">
        <v>126</v>
      </c>
      <c r="B2" s="885"/>
      <c r="C2" s="885"/>
      <c r="D2" s="885"/>
      <c r="E2" s="885"/>
      <c r="F2" s="3"/>
    </row>
    <row r="3" spans="1:8" ht="21" customHeight="1">
      <c r="A3" s="885" t="s">
        <v>839</v>
      </c>
      <c r="B3" s="885"/>
      <c r="C3" s="885"/>
      <c r="D3" s="885"/>
      <c r="E3" s="885"/>
      <c r="F3" s="1"/>
    </row>
    <row r="4" spans="1:8" ht="21" customHeight="1">
      <c r="A4" s="884" t="str">
        <f>'B48'!A3:F3</f>
        <v>(Kèm theo Báo cáo số  289/BC-UBND ngày  17 /6 /2024 của UBND huyện Tuần Giáo)</v>
      </c>
      <c r="B4" s="884"/>
      <c r="C4" s="884"/>
      <c r="D4" s="884"/>
      <c r="E4" s="884"/>
      <c r="F4" s="1"/>
    </row>
    <row r="5" spans="1:8" ht="22.5" customHeight="1">
      <c r="A5" s="487"/>
      <c r="B5" s="487"/>
      <c r="C5" s="488"/>
      <c r="D5" s="880" t="s">
        <v>201</v>
      </c>
      <c r="E5" s="880"/>
      <c r="F5" s="349"/>
    </row>
    <row r="6" spans="1:8" s="70" customFormat="1" ht="10.5" customHeight="1">
      <c r="A6" s="881" t="s">
        <v>51</v>
      </c>
      <c r="B6" s="881" t="s">
        <v>1</v>
      </c>
      <c r="C6" s="881" t="s">
        <v>2</v>
      </c>
      <c r="D6" s="871" t="s">
        <v>50</v>
      </c>
      <c r="E6" s="876" t="s">
        <v>75</v>
      </c>
      <c r="F6" s="164"/>
      <c r="G6" s="215"/>
    </row>
    <row r="7" spans="1:8" s="70" customFormat="1" ht="9" customHeight="1">
      <c r="A7" s="882"/>
      <c r="B7" s="882"/>
      <c r="C7" s="882"/>
      <c r="D7" s="872"/>
      <c r="E7" s="878"/>
      <c r="F7" s="164"/>
      <c r="G7" s="215"/>
    </row>
    <row r="8" spans="1:8" s="70" customFormat="1" ht="18" customHeight="1">
      <c r="A8" s="883"/>
      <c r="B8" s="883"/>
      <c r="C8" s="883"/>
      <c r="D8" s="873"/>
      <c r="E8" s="877"/>
      <c r="F8" s="164"/>
      <c r="G8" s="215"/>
    </row>
    <row r="9" spans="1:8" s="8" customFormat="1" ht="12.75" customHeight="1">
      <c r="A9" s="7" t="s">
        <v>3</v>
      </c>
      <c r="B9" s="6" t="s">
        <v>4</v>
      </c>
      <c r="C9" s="7">
        <v>1</v>
      </c>
      <c r="D9" s="80">
        <f>C9+1</f>
        <v>2</v>
      </c>
      <c r="E9" s="45" t="s">
        <v>44</v>
      </c>
      <c r="F9" s="165"/>
      <c r="G9" s="215"/>
    </row>
    <row r="10" spans="1:8" s="70" customFormat="1" ht="18.75" customHeight="1">
      <c r="A10" s="489" t="s">
        <v>3</v>
      </c>
      <c r="B10" s="490" t="s">
        <v>137</v>
      </c>
      <c r="C10" s="491"/>
      <c r="D10" s="492"/>
      <c r="E10" s="491"/>
      <c r="F10" s="166"/>
      <c r="G10" s="215"/>
    </row>
    <row r="11" spans="1:8" s="71" customFormat="1" ht="18.75" customHeight="1">
      <c r="A11" s="493" t="s">
        <v>11</v>
      </c>
      <c r="B11" s="494" t="s">
        <v>127</v>
      </c>
      <c r="C11" s="495">
        <f>C12+C13+C16+C18+C17</f>
        <v>944834000000</v>
      </c>
      <c r="D11" s="439">
        <f>D12+D13+D16+D18+D17</f>
        <v>1098844570253</v>
      </c>
      <c r="E11" s="496">
        <f>D11/C11</f>
        <v>1.1630027817087447</v>
      </c>
      <c r="F11" s="167"/>
      <c r="G11" s="215"/>
      <c r="H11" s="215"/>
    </row>
    <row r="12" spans="1:8" s="70" customFormat="1" ht="18.75" customHeight="1">
      <c r="A12" s="497">
        <v>1</v>
      </c>
      <c r="B12" s="498" t="s">
        <v>128</v>
      </c>
      <c r="C12" s="499">
        <f>50600000000-C29</f>
        <v>46620000000</v>
      </c>
      <c r="D12" s="443">
        <v>52028725773</v>
      </c>
      <c r="E12" s="500">
        <f>D12/C12</f>
        <v>1.1160172838481339</v>
      </c>
      <c r="F12" s="168"/>
      <c r="G12" s="215"/>
      <c r="H12" s="215"/>
    </row>
    <row r="13" spans="1:8" s="70" customFormat="1" ht="18.75" customHeight="1">
      <c r="A13" s="497">
        <f>A12+1</f>
        <v>2</v>
      </c>
      <c r="B13" s="498" t="s">
        <v>28</v>
      </c>
      <c r="C13" s="501">
        <f>C14+C15</f>
        <v>898214000000</v>
      </c>
      <c r="D13" s="443">
        <f>D14+D15</f>
        <v>959262677150</v>
      </c>
      <c r="E13" s="500">
        <f t="shared" ref="E13:E36" si="0">D13/C13</f>
        <v>1.0679667397190424</v>
      </c>
      <c r="F13" s="168"/>
      <c r="G13" s="215"/>
      <c r="H13" s="64"/>
    </row>
    <row r="14" spans="1:8" s="70" customFormat="1" ht="18.75" customHeight="1">
      <c r="A14" s="502" t="s">
        <v>9</v>
      </c>
      <c r="B14" s="498" t="s">
        <v>129</v>
      </c>
      <c r="C14" s="501">
        <v>684106000000</v>
      </c>
      <c r="D14" s="443">
        <v>681988065750</v>
      </c>
      <c r="E14" s="500">
        <f t="shared" si="0"/>
        <v>0.99690408467401248</v>
      </c>
      <c r="F14" s="168"/>
      <c r="G14" s="215"/>
      <c r="H14" s="64"/>
    </row>
    <row r="15" spans="1:8" s="70" customFormat="1" ht="18.75" customHeight="1">
      <c r="A15" s="502" t="s">
        <v>9</v>
      </c>
      <c r="B15" s="498" t="s">
        <v>130</v>
      </c>
      <c r="C15" s="501">
        <v>214108000000</v>
      </c>
      <c r="D15" s="443">
        <v>277274611400</v>
      </c>
      <c r="E15" s="500">
        <f t="shared" si="0"/>
        <v>1.295022191604237</v>
      </c>
      <c r="F15" s="168"/>
      <c r="G15" s="215"/>
    </row>
    <row r="16" spans="1:8" s="70" customFormat="1" ht="18.75" customHeight="1">
      <c r="A16" s="502">
        <v>3</v>
      </c>
      <c r="B16" s="498" t="s">
        <v>270</v>
      </c>
      <c r="C16" s="501"/>
      <c r="D16" s="443">
        <v>6703707642</v>
      </c>
      <c r="E16" s="500"/>
      <c r="F16" s="168"/>
      <c r="G16" s="215"/>
    </row>
    <row r="17" spans="1:8" s="70" customFormat="1" ht="18.75" customHeight="1">
      <c r="A17" s="497">
        <v>4</v>
      </c>
      <c r="B17" s="498" t="s">
        <v>131</v>
      </c>
      <c r="C17" s="501"/>
      <c r="D17" s="443">
        <v>80734059688</v>
      </c>
      <c r="E17" s="500"/>
      <c r="F17" s="168"/>
      <c r="G17" s="215"/>
    </row>
    <row r="18" spans="1:8" s="70" customFormat="1" ht="18.75" customHeight="1">
      <c r="A18" s="497">
        <v>5</v>
      </c>
      <c r="B18" s="498" t="s">
        <v>26</v>
      </c>
      <c r="C18" s="501"/>
      <c r="D18" s="443">
        <v>115400000</v>
      </c>
      <c r="E18" s="500"/>
      <c r="F18" s="168"/>
      <c r="G18" s="215"/>
    </row>
    <row r="19" spans="1:8" s="71" customFormat="1" ht="18.75" customHeight="1">
      <c r="A19" s="493" t="s">
        <v>12</v>
      </c>
      <c r="B19" s="494" t="s">
        <v>132</v>
      </c>
      <c r="C19" s="495">
        <f>C20+C21+C25+C24</f>
        <v>944834000000</v>
      </c>
      <c r="D19" s="439">
        <f>D20+D21+D25+D24</f>
        <v>1090384444359</v>
      </c>
      <c r="E19" s="496">
        <f t="shared" si="0"/>
        <v>1.1540486946479487</v>
      </c>
      <c r="F19" s="167"/>
      <c r="G19" s="215"/>
    </row>
    <row r="20" spans="1:8" s="70" customFormat="1" ht="18.75" customHeight="1">
      <c r="A20" s="497">
        <v>1</v>
      </c>
      <c r="B20" s="498" t="s">
        <v>143</v>
      </c>
      <c r="C20" s="443">
        <v>801093000000</v>
      </c>
      <c r="D20" s="351">
        <f>961972018224-D25</f>
        <v>828856333298</v>
      </c>
      <c r="E20" s="500">
        <f t="shared" si="0"/>
        <v>1.0346568167466199</v>
      </c>
      <c r="F20" s="168"/>
      <c r="G20" s="215"/>
    </row>
    <row r="21" spans="1:8" s="70" customFormat="1" ht="18.75" customHeight="1">
      <c r="A21" s="502">
        <f>A20+1</f>
        <v>2</v>
      </c>
      <c r="B21" s="498" t="s">
        <v>133</v>
      </c>
      <c r="C21" s="443">
        <f>C22+C23</f>
        <v>143741000000</v>
      </c>
      <c r="D21" s="443">
        <f>D22+D23</f>
        <v>125611939829</v>
      </c>
      <c r="E21" s="500">
        <f t="shared" si="0"/>
        <v>0.87387690240780291</v>
      </c>
      <c r="F21" s="168"/>
      <c r="G21" s="215"/>
    </row>
    <row r="22" spans="1:8" s="70" customFormat="1" ht="18.75" customHeight="1">
      <c r="A22" s="497" t="s">
        <v>9</v>
      </c>
      <c r="B22" s="498" t="s">
        <v>134</v>
      </c>
      <c r="C22" s="443">
        <f>C31</f>
        <v>88891000000</v>
      </c>
      <c r="D22" s="443">
        <v>85389175358</v>
      </c>
      <c r="E22" s="500">
        <f t="shared" si="0"/>
        <v>0.96060540839905051</v>
      </c>
      <c r="F22" s="168"/>
      <c r="G22" s="215"/>
    </row>
    <row r="23" spans="1:8" s="70" customFormat="1" ht="18.75" customHeight="1">
      <c r="A23" s="497" t="s">
        <v>9</v>
      </c>
      <c r="B23" s="498" t="s">
        <v>135</v>
      </c>
      <c r="C23" s="443">
        <v>54850000000</v>
      </c>
      <c r="D23" s="443">
        <v>40222764471</v>
      </c>
      <c r="E23" s="500"/>
      <c r="F23" s="168"/>
      <c r="G23" s="215"/>
    </row>
    <row r="24" spans="1:8" s="70" customFormat="1" ht="18.75" customHeight="1">
      <c r="A24" s="502">
        <v>3</v>
      </c>
      <c r="B24" s="498" t="s">
        <v>271</v>
      </c>
      <c r="C24" s="443"/>
      <c r="D24" s="443">
        <v>2800486306</v>
      </c>
      <c r="E24" s="500"/>
      <c r="F24" s="168"/>
      <c r="G24" s="215"/>
    </row>
    <row r="25" spans="1:8" s="70" customFormat="1" ht="18.75" customHeight="1">
      <c r="A25" s="502">
        <v>4</v>
      </c>
      <c r="B25" s="498" t="s">
        <v>56</v>
      </c>
      <c r="C25" s="443"/>
      <c r="D25" s="443">
        <v>133115684926</v>
      </c>
      <c r="E25" s="500"/>
      <c r="F25" s="168"/>
      <c r="G25" s="215"/>
    </row>
    <row r="26" spans="1:8" s="71" customFormat="1" ht="18.75" customHeight="1">
      <c r="A26" s="417" t="s">
        <v>13</v>
      </c>
      <c r="B26" s="438" t="s">
        <v>144</v>
      </c>
      <c r="C26" s="439"/>
      <c r="D26" s="439">
        <f>D11-D19</f>
        <v>8460125894</v>
      </c>
      <c r="E26" s="500"/>
      <c r="F26" s="168"/>
      <c r="G26" s="215"/>
      <c r="H26" s="356"/>
    </row>
    <row r="27" spans="1:8" s="72" customFormat="1" ht="18.75" customHeight="1">
      <c r="A27" s="493" t="s">
        <v>4</v>
      </c>
      <c r="B27" s="503" t="s">
        <v>138</v>
      </c>
      <c r="C27" s="504"/>
      <c r="D27" s="504"/>
      <c r="E27" s="500"/>
      <c r="F27" s="168"/>
      <c r="G27" s="215"/>
    </row>
    <row r="28" spans="1:8" s="72" customFormat="1" ht="18.75" customHeight="1">
      <c r="A28" s="493" t="s">
        <v>11</v>
      </c>
      <c r="B28" s="494" t="s">
        <v>127</v>
      </c>
      <c r="C28" s="439">
        <f>C29+C30+C34+C33</f>
        <v>147721000000</v>
      </c>
      <c r="D28" s="439">
        <f>D29+D30+D34+D33</f>
        <v>142264669442</v>
      </c>
      <c r="E28" s="496">
        <f t="shared" si="0"/>
        <v>0.9630632709093494</v>
      </c>
      <c r="F28" s="167"/>
      <c r="G28" s="215"/>
    </row>
    <row r="29" spans="1:8" s="70" customFormat="1" ht="18.75" customHeight="1">
      <c r="A29" s="497">
        <v>1</v>
      </c>
      <c r="B29" s="498" t="s">
        <v>128</v>
      </c>
      <c r="C29" s="443">
        <v>3980000000</v>
      </c>
      <c r="D29" s="443">
        <v>5495029063</v>
      </c>
      <c r="E29" s="500">
        <f t="shared" si="0"/>
        <v>1.3806605685929649</v>
      </c>
      <c r="F29" s="168"/>
      <c r="G29" s="215"/>
    </row>
    <row r="30" spans="1:8" s="70" customFormat="1" ht="18.75" customHeight="1">
      <c r="A30" s="502">
        <f>A29+1</f>
        <v>2</v>
      </c>
      <c r="B30" s="498" t="s">
        <v>28</v>
      </c>
      <c r="C30" s="443">
        <f>C31+C32</f>
        <v>143741000000</v>
      </c>
      <c r="D30" s="443">
        <f>D31+D32</f>
        <v>125611939829</v>
      </c>
      <c r="E30" s="500">
        <f t="shared" si="0"/>
        <v>0.87387690240780291</v>
      </c>
      <c r="F30" s="168"/>
      <c r="G30" s="215"/>
    </row>
    <row r="31" spans="1:8" s="70" customFormat="1" ht="18.75" customHeight="1">
      <c r="A31" s="497" t="s">
        <v>9</v>
      </c>
      <c r="B31" s="498" t="s">
        <v>61</v>
      </c>
      <c r="C31" s="443">
        <v>88891000000</v>
      </c>
      <c r="D31" s="443">
        <v>85389175358</v>
      </c>
      <c r="E31" s="500">
        <f t="shared" si="0"/>
        <v>0.96060540839905051</v>
      </c>
      <c r="F31" s="168"/>
      <c r="G31" s="215"/>
    </row>
    <row r="32" spans="1:8" s="70" customFormat="1" ht="18.75" customHeight="1">
      <c r="A32" s="497" t="s">
        <v>9</v>
      </c>
      <c r="B32" s="498" t="s">
        <v>69</v>
      </c>
      <c r="C32" s="443">
        <v>54850000000</v>
      </c>
      <c r="D32" s="443">
        <v>40222764471</v>
      </c>
      <c r="E32" s="500">
        <f t="shared" si="0"/>
        <v>0.73332296209662717</v>
      </c>
      <c r="F32" s="168"/>
      <c r="G32" s="215"/>
    </row>
    <row r="33" spans="1:7" s="70" customFormat="1" ht="18.75" customHeight="1">
      <c r="A33" s="502">
        <v>3</v>
      </c>
      <c r="B33" s="498" t="s">
        <v>57</v>
      </c>
      <c r="C33" s="443"/>
      <c r="D33" s="443">
        <v>11157700550</v>
      </c>
      <c r="E33" s="500"/>
      <c r="F33" s="168"/>
      <c r="G33" s="215"/>
    </row>
    <row r="34" spans="1:7" s="70" customFormat="1" ht="18.75" customHeight="1">
      <c r="A34" s="502">
        <v>4</v>
      </c>
      <c r="B34" s="498" t="s">
        <v>26</v>
      </c>
      <c r="C34" s="443"/>
      <c r="D34" s="443"/>
      <c r="E34" s="500"/>
      <c r="F34" s="168"/>
      <c r="G34" s="215"/>
    </row>
    <row r="35" spans="1:7" s="71" customFormat="1" ht="18.75" customHeight="1">
      <c r="A35" s="493" t="s">
        <v>12</v>
      </c>
      <c r="B35" s="494" t="s">
        <v>132</v>
      </c>
      <c r="C35" s="495">
        <f>C36+C38+C37</f>
        <v>147721000000</v>
      </c>
      <c r="D35" s="439">
        <f>D36+D38+D37</f>
        <v>140568867618</v>
      </c>
      <c r="E35" s="496">
        <f t="shared" si="0"/>
        <v>0.95158350957548354</v>
      </c>
      <c r="F35" s="167"/>
      <c r="G35" s="215"/>
    </row>
    <row r="36" spans="1:7" s="70" customFormat="1" ht="18.75" customHeight="1">
      <c r="A36" s="497">
        <v>1</v>
      </c>
      <c r="B36" s="498" t="s">
        <v>139</v>
      </c>
      <c r="C36" s="443">
        <f>C28</f>
        <v>147721000000</v>
      </c>
      <c r="D36" s="443">
        <f>133865159976-D38</f>
        <v>122614060298</v>
      </c>
      <c r="E36" s="500">
        <f t="shared" si="0"/>
        <v>0.83003811440485775</v>
      </c>
      <c r="F36" s="168"/>
      <c r="G36" s="215"/>
    </row>
    <row r="37" spans="1:7" s="70" customFormat="1" ht="18.75" customHeight="1">
      <c r="A37" s="502">
        <v>2</v>
      </c>
      <c r="B37" s="498" t="s">
        <v>271</v>
      </c>
      <c r="C37" s="443"/>
      <c r="D37" s="443">
        <v>6703707642</v>
      </c>
      <c r="E37" s="500"/>
      <c r="F37" s="168"/>
      <c r="G37" s="215"/>
    </row>
    <row r="38" spans="1:7" s="70" customFormat="1" ht="18.75" customHeight="1">
      <c r="A38" s="502">
        <v>3</v>
      </c>
      <c r="B38" s="498" t="s">
        <v>56</v>
      </c>
      <c r="C38" s="443"/>
      <c r="D38" s="443">
        <v>11251099678</v>
      </c>
      <c r="E38" s="500"/>
      <c r="F38" s="168"/>
      <c r="G38" s="215"/>
    </row>
    <row r="39" spans="1:7" s="71" customFormat="1" ht="18.75" customHeight="1">
      <c r="A39" s="452" t="s">
        <v>13</v>
      </c>
      <c r="B39" s="453" t="s">
        <v>136</v>
      </c>
      <c r="C39" s="454"/>
      <c r="D39" s="454">
        <f>D28-D35</f>
        <v>1695801824</v>
      </c>
      <c r="E39" s="505"/>
      <c r="F39" s="169"/>
      <c r="G39" s="357">
        <f>D26+D39</f>
        <v>10155927718</v>
      </c>
    </row>
    <row r="40" spans="1:7" ht="25.5" customHeight="1">
      <c r="C40" s="4"/>
      <c r="D40" s="5"/>
      <c r="E40" s="4"/>
      <c r="F40" s="4"/>
    </row>
    <row r="41" spans="1:7" ht="20.25" customHeight="1">
      <c r="B41" s="65"/>
      <c r="C41" s="4"/>
      <c r="D41" s="5"/>
      <c r="E41" s="4"/>
      <c r="F41" s="4"/>
    </row>
    <row r="42" spans="1:7" ht="11.25" customHeight="1">
      <c r="A42" s="4"/>
      <c r="B42" s="4"/>
      <c r="C42" s="4"/>
      <c r="D42" s="5"/>
      <c r="E42" s="4"/>
      <c r="F42" s="4"/>
    </row>
    <row r="43" spans="1:7" ht="18.75">
      <c r="A43" s="4"/>
      <c r="B43" s="4"/>
      <c r="C43" s="4"/>
      <c r="D43" s="5"/>
      <c r="E43" s="4"/>
      <c r="F43" s="4"/>
    </row>
    <row r="44" spans="1:7" ht="18.75">
      <c r="A44" s="4"/>
      <c r="B44" s="4"/>
      <c r="C44" s="4"/>
      <c r="D44" s="5"/>
      <c r="E44" s="4"/>
      <c r="F44" s="4"/>
    </row>
    <row r="45" spans="1:7" ht="18.75">
      <c r="A45" s="4"/>
      <c r="B45" s="4"/>
      <c r="C45" s="4"/>
      <c r="D45" s="5"/>
      <c r="E45" s="4"/>
      <c r="F45" s="4"/>
    </row>
    <row r="46" spans="1:7" ht="18.75">
      <c r="A46" s="4"/>
      <c r="B46" s="4"/>
      <c r="C46" s="4"/>
      <c r="D46" s="5"/>
      <c r="E46" s="4"/>
      <c r="F46" s="4"/>
    </row>
    <row r="47" spans="1:7" ht="18.75">
      <c r="A47" s="4"/>
      <c r="B47" s="4"/>
      <c r="C47" s="4"/>
      <c r="D47" s="5"/>
      <c r="E47" s="4"/>
      <c r="F47" s="4"/>
    </row>
    <row r="48" spans="1:7" ht="18.75">
      <c r="A48" s="4"/>
      <c r="B48" s="4"/>
      <c r="C48" s="4"/>
      <c r="D48" s="5"/>
      <c r="E48" s="4"/>
      <c r="F48" s="4"/>
    </row>
    <row r="49" spans="1:6" ht="18.75">
      <c r="A49" s="4"/>
      <c r="B49" s="4"/>
      <c r="C49" s="4"/>
      <c r="D49" s="5"/>
      <c r="E49" s="4"/>
      <c r="F49" s="4"/>
    </row>
    <row r="50" spans="1:6" ht="22.5" customHeight="1">
      <c r="A50" s="4"/>
      <c r="B50" s="4"/>
      <c r="C50" s="4"/>
      <c r="D50" s="5"/>
      <c r="E50" s="4"/>
      <c r="F50" s="4"/>
    </row>
    <row r="51" spans="1:6" ht="18.75">
      <c r="A51" s="4"/>
      <c r="B51" s="4"/>
      <c r="C51" s="4"/>
      <c r="D51" s="5"/>
      <c r="E51" s="4"/>
      <c r="F51" s="4"/>
    </row>
    <row r="52" spans="1:6" ht="18.75">
      <c r="A52" s="4"/>
      <c r="B52" s="4"/>
      <c r="C52" s="4"/>
      <c r="D52" s="5"/>
      <c r="E52" s="4"/>
      <c r="F52" s="4"/>
    </row>
    <row r="53" spans="1:6" ht="18.75">
      <c r="A53" s="4"/>
      <c r="B53" s="4"/>
      <c r="C53" s="4"/>
      <c r="D53" s="5"/>
      <c r="E53" s="4"/>
      <c r="F53" s="4"/>
    </row>
    <row r="54" spans="1:6" ht="18.75">
      <c r="A54" s="4"/>
      <c r="B54" s="4"/>
      <c r="C54" s="4"/>
      <c r="D54" s="5"/>
      <c r="E54" s="4"/>
      <c r="F54" s="4"/>
    </row>
  </sheetData>
  <mergeCells count="10">
    <mergeCell ref="E6:E8"/>
    <mergeCell ref="D1:E1"/>
    <mergeCell ref="D5:E5"/>
    <mergeCell ref="A6:A8"/>
    <mergeCell ref="B6:B8"/>
    <mergeCell ref="C6:C8"/>
    <mergeCell ref="D6:D8"/>
    <mergeCell ref="A4:E4"/>
    <mergeCell ref="A2:E2"/>
    <mergeCell ref="A3:E3"/>
  </mergeCells>
  <phoneticPr fontId="16" type="noConversion"/>
  <pageMargins left="0.83" right="0.25" top="0.47" bottom="0.25" header="0.5" footer="0.5"/>
  <pageSetup paperSize="9" fitToHeight="0" orientation="portrait" vertic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pageSetUpPr fitToPage="1"/>
  </sheetPr>
  <dimension ref="A1:I67"/>
  <sheetViews>
    <sheetView view="pageBreakPreview" zoomScale="85" zoomScaleNormal="100" zoomScaleSheetLayoutView="85" workbookViewId="0">
      <pane xSplit="2" ySplit="8" topLeftCell="C27" activePane="bottomRight" state="frozen"/>
      <selection pane="topRight" activeCell="C1" sqref="C1"/>
      <selection pane="bottomLeft" activeCell="A11" sqref="A11"/>
      <selection pane="bottomRight" activeCell="K55" sqref="K55"/>
    </sheetView>
  </sheetViews>
  <sheetFormatPr defaultColWidth="9" defaultRowHeight="15.75"/>
  <cols>
    <col min="1" max="1" width="5.25" style="58" customWidth="1"/>
    <col min="2" max="2" width="45.625" style="58" customWidth="1"/>
    <col min="3" max="3" width="15.625" style="58" customWidth="1"/>
    <col min="4" max="4" width="16.25" style="58" customWidth="1"/>
    <col min="5" max="5" width="18" style="58" customWidth="1"/>
    <col min="6" max="6" width="17.875" style="58" customWidth="1"/>
    <col min="7" max="7" width="9.75" style="58" customWidth="1"/>
    <col min="8" max="8" width="9.5" style="58" customWidth="1"/>
    <col min="9" max="9" width="16.25" style="58" customWidth="1"/>
    <col min="10" max="16384" width="9" style="58"/>
  </cols>
  <sheetData>
    <row r="1" spans="1:9" ht="21" customHeight="1">
      <c r="A1" s="462"/>
      <c r="B1" s="462"/>
      <c r="C1" s="463"/>
      <c r="D1" s="463"/>
      <c r="E1" s="463"/>
      <c r="F1" s="463"/>
      <c r="G1" s="886" t="s">
        <v>107</v>
      </c>
      <c r="H1" s="886"/>
    </row>
    <row r="2" spans="1:9" ht="21" customHeight="1">
      <c r="A2" s="887" t="s">
        <v>833</v>
      </c>
      <c r="B2" s="887"/>
      <c r="C2" s="887"/>
      <c r="D2" s="887"/>
      <c r="E2" s="887"/>
      <c r="F2" s="887"/>
      <c r="G2" s="887"/>
      <c r="H2" s="887"/>
    </row>
    <row r="3" spans="1:9" ht="21" customHeight="1">
      <c r="A3" s="870" t="str">
        <f>'B48'!A3:F3</f>
        <v>(Kèm theo Báo cáo số  289/BC-UBND ngày  17 /6 /2024 của UBND huyện Tuần Giáo)</v>
      </c>
      <c r="B3" s="870"/>
      <c r="C3" s="870"/>
      <c r="D3" s="870"/>
      <c r="E3" s="870"/>
      <c r="F3" s="870"/>
      <c r="G3" s="870"/>
      <c r="H3" s="870"/>
    </row>
    <row r="4" spans="1:9" ht="23.25" customHeight="1">
      <c r="A4" s="464"/>
      <c r="B4" s="464"/>
      <c r="C4" s="465"/>
      <c r="D4" s="466"/>
      <c r="E4" s="465"/>
      <c r="F4" s="465"/>
      <c r="G4" s="467"/>
      <c r="H4" s="468" t="s">
        <v>201</v>
      </c>
    </row>
    <row r="5" spans="1:9" s="108" customFormat="1" ht="19.5" customHeight="1">
      <c r="A5" s="889" t="s">
        <v>51</v>
      </c>
      <c r="B5" s="889" t="s">
        <v>1</v>
      </c>
      <c r="C5" s="888" t="s">
        <v>2</v>
      </c>
      <c r="D5" s="888"/>
      <c r="E5" s="888" t="s">
        <v>50</v>
      </c>
      <c r="F5" s="888"/>
      <c r="G5" s="888" t="s">
        <v>75</v>
      </c>
      <c r="H5" s="888"/>
    </row>
    <row r="6" spans="1:9" s="108" customFormat="1" ht="39.75" customHeight="1">
      <c r="A6" s="890"/>
      <c r="B6" s="890"/>
      <c r="C6" s="426" t="s">
        <v>349</v>
      </c>
      <c r="D6" s="426" t="s">
        <v>350</v>
      </c>
      <c r="E6" s="426" t="s">
        <v>349</v>
      </c>
      <c r="F6" s="426" t="s">
        <v>350</v>
      </c>
      <c r="G6" s="426" t="s">
        <v>349</v>
      </c>
      <c r="H6" s="426" t="s">
        <v>351</v>
      </c>
    </row>
    <row r="7" spans="1:9" s="63" customFormat="1" ht="17.25" customHeight="1">
      <c r="A7" s="62" t="s">
        <v>3</v>
      </c>
      <c r="B7" s="114" t="s">
        <v>4</v>
      </c>
      <c r="C7" s="62">
        <v>1</v>
      </c>
      <c r="D7" s="62">
        <f>C7+1</f>
        <v>2</v>
      </c>
      <c r="E7" s="62">
        <f>D7+1</f>
        <v>3</v>
      </c>
      <c r="F7" s="62">
        <f>E7+1</f>
        <v>4</v>
      </c>
      <c r="G7" s="62" t="s">
        <v>53</v>
      </c>
      <c r="H7" s="62" t="s">
        <v>54</v>
      </c>
    </row>
    <row r="8" spans="1:9" s="108" customFormat="1" ht="21.75" customHeight="1">
      <c r="A8" s="116"/>
      <c r="B8" s="117" t="s">
        <v>244</v>
      </c>
      <c r="C8" s="118">
        <f>C9+C53+C60+C61</f>
        <v>952214000000</v>
      </c>
      <c r="D8" s="118">
        <f>D9+D53+D60+D61</f>
        <v>948814000000</v>
      </c>
      <c r="E8" s="118">
        <f>E9+E53+E60+E61</f>
        <v>1248874025291</v>
      </c>
      <c r="F8" s="118">
        <f>F9+F53+F60+F61</f>
        <v>1115497299866</v>
      </c>
      <c r="G8" s="160">
        <f t="shared" ref="G8:H10" si="0">E8/C8</f>
        <v>1.3115476408569922</v>
      </c>
      <c r="H8" s="160">
        <f>F8/D8</f>
        <v>1.1756754220173817</v>
      </c>
      <c r="I8" s="115"/>
    </row>
    <row r="9" spans="1:9" s="108" customFormat="1" ht="23.25" customHeight="1">
      <c r="A9" s="469" t="s">
        <v>3</v>
      </c>
      <c r="B9" s="470" t="s">
        <v>245</v>
      </c>
      <c r="C9" s="471">
        <f>C10</f>
        <v>54000000000</v>
      </c>
      <c r="D9" s="471">
        <f>D10</f>
        <v>50600000000</v>
      </c>
      <c r="E9" s="471">
        <f>E10</f>
        <v>62488054126</v>
      </c>
      <c r="F9" s="471">
        <f>F10</f>
        <v>57523754836</v>
      </c>
      <c r="G9" s="160">
        <f t="shared" si="0"/>
        <v>1.1571861875185185</v>
      </c>
      <c r="H9" s="160">
        <f t="shared" si="0"/>
        <v>1.1368330995256917</v>
      </c>
      <c r="I9" s="133"/>
    </row>
    <row r="10" spans="1:9" s="108" customFormat="1" ht="21" customHeight="1">
      <c r="A10" s="469" t="s">
        <v>11</v>
      </c>
      <c r="B10" s="470" t="s">
        <v>5</v>
      </c>
      <c r="C10" s="471">
        <f>C14+C18+C23+C24+C25+C31+C37+C42+C43+C26+C52+C11</f>
        <v>54000000000</v>
      </c>
      <c r="D10" s="471">
        <f>D14+D18+D23+D24+D25+D31+D37+D42+D43+D26+D52+D11</f>
        <v>50600000000</v>
      </c>
      <c r="E10" s="471">
        <f>E14+E18+E23+E24+E25+E31+E37+E42+E43+E26+E52+E11</f>
        <v>62488054126</v>
      </c>
      <c r="F10" s="471">
        <f>F14+F18+F23+F24+F25+F31+F37+F42+F43+F26+F52+F11</f>
        <v>57523754836</v>
      </c>
      <c r="G10" s="160">
        <f>E10/C10</f>
        <v>1.1571861875185185</v>
      </c>
      <c r="H10" s="160">
        <f t="shared" si="0"/>
        <v>1.1368330995256917</v>
      </c>
      <c r="I10" s="115"/>
    </row>
    <row r="11" spans="1:9" s="108" customFormat="1" ht="36.75" customHeight="1">
      <c r="A11" s="469">
        <v>1</v>
      </c>
      <c r="B11" s="470" t="s">
        <v>408</v>
      </c>
      <c r="C11" s="471">
        <f>C13</f>
        <v>1000000000</v>
      </c>
      <c r="D11" s="471">
        <f>D13</f>
        <v>1000000000</v>
      </c>
      <c r="E11" s="471">
        <f>E12+E13</f>
        <v>1148984902</v>
      </c>
      <c r="F11" s="471">
        <f>F12+F13</f>
        <v>1145384902</v>
      </c>
      <c r="G11" s="160"/>
      <c r="H11" s="160"/>
    </row>
    <row r="12" spans="1:9" s="108" customFormat="1" ht="21" customHeight="1">
      <c r="A12" s="472"/>
      <c r="B12" s="473" t="s">
        <v>141</v>
      </c>
      <c r="C12" s="474"/>
      <c r="D12" s="474"/>
      <c r="E12" s="474">
        <v>3600000</v>
      </c>
      <c r="F12" s="474"/>
      <c r="G12" s="475"/>
      <c r="H12" s="475"/>
    </row>
    <row r="13" spans="1:9" s="108" customFormat="1" ht="21" customHeight="1">
      <c r="A13" s="472"/>
      <c r="B13" s="473" t="s">
        <v>142</v>
      </c>
      <c r="C13" s="474">
        <v>1000000000</v>
      </c>
      <c r="D13" s="474">
        <f>C13</f>
        <v>1000000000</v>
      </c>
      <c r="E13" s="476">
        <v>1145384902</v>
      </c>
      <c r="F13" s="474">
        <f>E13</f>
        <v>1145384902</v>
      </c>
      <c r="G13" s="160"/>
      <c r="H13" s="160"/>
    </row>
    <row r="14" spans="1:9" s="108" customFormat="1" ht="35.25" customHeight="1">
      <c r="A14" s="469">
        <v>2</v>
      </c>
      <c r="B14" s="470" t="s">
        <v>246</v>
      </c>
      <c r="C14" s="471">
        <f>SUM(C15:C17)</f>
        <v>0</v>
      </c>
      <c r="D14" s="471">
        <f>SUM(D15:D17)</f>
        <v>0</v>
      </c>
      <c r="E14" s="471">
        <f>SUM(E15:E17)</f>
        <v>375883201</v>
      </c>
      <c r="F14" s="471">
        <f>SUM(F15:F17)</f>
        <v>375883201</v>
      </c>
      <c r="G14" s="160"/>
      <c r="H14" s="160"/>
    </row>
    <row r="15" spans="1:9" s="108" customFormat="1" ht="21" customHeight="1">
      <c r="A15" s="472"/>
      <c r="B15" s="473" t="s">
        <v>140</v>
      </c>
      <c r="C15" s="474"/>
      <c r="D15" s="474"/>
      <c r="E15" s="474">
        <v>39739787</v>
      </c>
      <c r="F15" s="474">
        <f>E15</f>
        <v>39739787</v>
      </c>
      <c r="G15" s="160"/>
      <c r="H15" s="160"/>
    </row>
    <row r="16" spans="1:9" s="108" customFormat="1" ht="21" customHeight="1">
      <c r="A16" s="472"/>
      <c r="B16" s="473" t="s">
        <v>141</v>
      </c>
      <c r="C16" s="474"/>
      <c r="D16" s="474"/>
      <c r="E16" s="474">
        <v>70627234</v>
      </c>
      <c r="F16" s="474">
        <f>E16</f>
        <v>70627234</v>
      </c>
      <c r="G16" s="160"/>
      <c r="H16" s="160"/>
    </row>
    <row r="17" spans="1:8" s="108" customFormat="1" ht="21" customHeight="1">
      <c r="A17" s="472"/>
      <c r="B17" s="473" t="s">
        <v>142</v>
      </c>
      <c r="C17" s="474"/>
      <c r="D17" s="474"/>
      <c r="E17" s="474">
        <v>265516180</v>
      </c>
      <c r="F17" s="474">
        <f>E17</f>
        <v>265516180</v>
      </c>
      <c r="G17" s="160"/>
      <c r="H17" s="160"/>
    </row>
    <row r="18" spans="1:8" s="108" customFormat="1" ht="21" customHeight="1">
      <c r="A18" s="469">
        <v>3</v>
      </c>
      <c r="B18" s="470" t="s">
        <v>247</v>
      </c>
      <c r="C18" s="471">
        <f>SUM(C19:C22)</f>
        <v>21300000000</v>
      </c>
      <c r="D18" s="471">
        <f>SUM(D19:D22)</f>
        <v>21300000000</v>
      </c>
      <c r="E18" s="471">
        <f>SUM(E19:E22)</f>
        <v>20104872527</v>
      </c>
      <c r="F18" s="471">
        <f>SUM(F19:F22)</f>
        <v>20104872527</v>
      </c>
      <c r="G18" s="160">
        <f t="shared" ref="G18:H27" si="1">E18/C18</f>
        <v>0.94389072896713611</v>
      </c>
      <c r="H18" s="160">
        <f t="shared" si="1"/>
        <v>0.94389072896713611</v>
      </c>
    </row>
    <row r="19" spans="1:8" s="108" customFormat="1" ht="21" customHeight="1">
      <c r="A19" s="472"/>
      <c r="B19" s="473" t="s">
        <v>140</v>
      </c>
      <c r="C19" s="474">
        <v>8000000000</v>
      </c>
      <c r="D19" s="474">
        <f>C19</f>
        <v>8000000000</v>
      </c>
      <c r="E19" s="474">
        <v>6258221202</v>
      </c>
      <c r="F19" s="474">
        <f t="shared" ref="F19:F25" si="2">E19</f>
        <v>6258221202</v>
      </c>
      <c r="G19" s="475">
        <f t="shared" si="1"/>
        <v>0.78227765024999996</v>
      </c>
      <c r="H19" s="475">
        <f t="shared" si="1"/>
        <v>0.78227765024999996</v>
      </c>
    </row>
    <row r="20" spans="1:8" s="108" customFormat="1" ht="21" customHeight="1">
      <c r="A20" s="472"/>
      <c r="B20" s="477" t="s">
        <v>834</v>
      </c>
      <c r="C20" s="474"/>
      <c r="D20" s="474"/>
      <c r="E20" s="474">
        <v>7567362</v>
      </c>
      <c r="F20" s="474">
        <f t="shared" si="2"/>
        <v>7567362</v>
      </c>
      <c r="G20" s="475"/>
      <c r="H20" s="475"/>
    </row>
    <row r="21" spans="1:8" s="108" customFormat="1" ht="21" customHeight="1">
      <c r="A21" s="472"/>
      <c r="B21" s="473" t="s">
        <v>141</v>
      </c>
      <c r="C21" s="474">
        <v>1200000000</v>
      </c>
      <c r="D21" s="474">
        <f t="shared" ref="D21:D25" si="3">C21</f>
        <v>1200000000</v>
      </c>
      <c r="E21" s="474">
        <v>1599531723</v>
      </c>
      <c r="F21" s="474">
        <f t="shared" si="2"/>
        <v>1599531723</v>
      </c>
      <c r="G21" s="475">
        <f t="shared" si="1"/>
        <v>1.3329431025</v>
      </c>
      <c r="H21" s="475">
        <f t="shared" si="1"/>
        <v>1.3329431025</v>
      </c>
    </row>
    <row r="22" spans="1:8" s="108" customFormat="1" ht="21" customHeight="1">
      <c r="A22" s="472"/>
      <c r="B22" s="473" t="s">
        <v>142</v>
      </c>
      <c r="C22" s="474">
        <v>12100000000</v>
      </c>
      <c r="D22" s="474">
        <f t="shared" si="3"/>
        <v>12100000000</v>
      </c>
      <c r="E22" s="474">
        <v>12239552240</v>
      </c>
      <c r="F22" s="474">
        <f t="shared" si="2"/>
        <v>12239552240</v>
      </c>
      <c r="G22" s="475">
        <f t="shared" si="1"/>
        <v>1.0115332429752066</v>
      </c>
      <c r="H22" s="475">
        <f t="shared" si="1"/>
        <v>1.0115332429752066</v>
      </c>
    </row>
    <row r="23" spans="1:8" s="108" customFormat="1" ht="21" customHeight="1">
      <c r="A23" s="469">
        <v>4</v>
      </c>
      <c r="B23" s="470" t="s">
        <v>6</v>
      </c>
      <c r="C23" s="471">
        <v>5200000000</v>
      </c>
      <c r="D23" s="471">
        <f t="shared" si="3"/>
        <v>5200000000</v>
      </c>
      <c r="E23" s="471">
        <v>7649980426</v>
      </c>
      <c r="F23" s="471">
        <f t="shared" si="2"/>
        <v>7649980426</v>
      </c>
      <c r="G23" s="160">
        <f t="shared" si="1"/>
        <v>1.4711500819230769</v>
      </c>
      <c r="H23" s="160">
        <f t="shared" si="1"/>
        <v>1.4711500819230769</v>
      </c>
    </row>
    <row r="24" spans="1:8" s="108" customFormat="1" ht="21" customHeight="1">
      <c r="A24" s="469">
        <v>5</v>
      </c>
      <c r="B24" s="470" t="s">
        <v>7</v>
      </c>
      <c r="C24" s="471">
        <v>80000000</v>
      </c>
      <c r="D24" s="471">
        <f t="shared" si="3"/>
        <v>80000000</v>
      </c>
      <c r="E24" s="471">
        <v>288556231</v>
      </c>
      <c r="F24" s="471">
        <f t="shared" si="2"/>
        <v>288556231</v>
      </c>
      <c r="G24" s="160">
        <f t="shared" si="1"/>
        <v>3.6069528874999999</v>
      </c>
      <c r="H24" s="160">
        <f t="shared" si="1"/>
        <v>3.6069528874999999</v>
      </c>
    </row>
    <row r="25" spans="1:8" s="108" customFormat="1" ht="21" customHeight="1">
      <c r="A25" s="469">
        <v>6</v>
      </c>
      <c r="B25" s="470" t="s">
        <v>8</v>
      </c>
      <c r="C25" s="471">
        <v>2220000000</v>
      </c>
      <c r="D25" s="471">
        <f t="shared" si="3"/>
        <v>2220000000</v>
      </c>
      <c r="E25" s="471">
        <v>2279448840</v>
      </c>
      <c r="F25" s="471">
        <f t="shared" si="2"/>
        <v>2279448840</v>
      </c>
      <c r="G25" s="160">
        <f t="shared" si="1"/>
        <v>1.0267787567567568</v>
      </c>
      <c r="H25" s="160">
        <f t="shared" si="1"/>
        <v>1.0267787567567568</v>
      </c>
    </row>
    <row r="26" spans="1:8" s="108" customFormat="1" ht="21" customHeight="1">
      <c r="A26" s="469">
        <v>7</v>
      </c>
      <c r="B26" s="470" t="s">
        <v>557</v>
      </c>
      <c r="C26" s="471">
        <f>C30+C27</f>
        <v>2700000000</v>
      </c>
      <c r="D26" s="471">
        <f>D30+D27</f>
        <v>880000000</v>
      </c>
      <c r="E26" s="471">
        <f>E30+E27</f>
        <v>3023490258</v>
      </c>
      <c r="F26" s="471">
        <f>F30+F27</f>
        <v>1058177254</v>
      </c>
      <c r="G26" s="160">
        <f t="shared" si="1"/>
        <v>1.1198112066666666</v>
      </c>
      <c r="H26" s="160">
        <f t="shared" si="1"/>
        <v>1.2024741522727274</v>
      </c>
    </row>
    <row r="27" spans="1:8" s="108" customFormat="1" ht="21" customHeight="1">
      <c r="A27" s="472"/>
      <c r="B27" s="473" t="s">
        <v>558</v>
      </c>
      <c r="C27" s="474">
        <f>C28+C29</f>
        <v>2600000000</v>
      </c>
      <c r="D27" s="474">
        <f>D28+D29</f>
        <v>780000000</v>
      </c>
      <c r="E27" s="474">
        <v>2811836294</v>
      </c>
      <c r="F27" s="474">
        <f>F28+F29</f>
        <v>846523290</v>
      </c>
      <c r="G27" s="475">
        <f t="shared" si="1"/>
        <v>1.0814754976923078</v>
      </c>
      <c r="H27" s="475">
        <f t="shared" si="1"/>
        <v>1.0852862692307692</v>
      </c>
    </row>
    <row r="28" spans="1:8" s="108" customFormat="1" ht="21" customHeight="1">
      <c r="A28" s="472"/>
      <c r="B28" s="473" t="s">
        <v>559</v>
      </c>
      <c r="C28" s="474">
        <v>1820000000</v>
      </c>
      <c r="D28" s="474"/>
      <c r="E28" s="474">
        <v>1965313004</v>
      </c>
      <c r="F28" s="474"/>
      <c r="G28" s="475">
        <f>E28/C28</f>
        <v>1.07984230989011</v>
      </c>
      <c r="H28" s="475"/>
    </row>
    <row r="29" spans="1:8" s="108" customFormat="1" ht="21" customHeight="1">
      <c r="A29" s="472"/>
      <c r="B29" s="473" t="s">
        <v>560</v>
      </c>
      <c r="C29" s="474">
        <v>780000000</v>
      </c>
      <c r="D29" s="474">
        <f>C29</f>
        <v>780000000</v>
      </c>
      <c r="E29" s="474">
        <f>E27-E28</f>
        <v>846523290</v>
      </c>
      <c r="F29" s="474">
        <f>E29</f>
        <v>846523290</v>
      </c>
      <c r="G29" s="475">
        <f>E29/C29</f>
        <v>1.0852862692307692</v>
      </c>
      <c r="H29" s="475">
        <f>F29/D29</f>
        <v>1.0852862692307692</v>
      </c>
    </row>
    <row r="30" spans="1:8" s="108" customFormat="1" ht="21" customHeight="1">
      <c r="A30" s="472"/>
      <c r="B30" s="473" t="s">
        <v>561</v>
      </c>
      <c r="C30" s="474">
        <v>100000000</v>
      </c>
      <c r="D30" s="474">
        <f>C30</f>
        <v>100000000</v>
      </c>
      <c r="E30" s="474">
        <v>211653964</v>
      </c>
      <c r="F30" s="474">
        <f>E30</f>
        <v>211653964</v>
      </c>
      <c r="G30" s="475">
        <f>E30/C30</f>
        <v>2.1165396400000001</v>
      </c>
      <c r="H30" s="475">
        <f>F30/D30</f>
        <v>2.1165396400000001</v>
      </c>
    </row>
    <row r="31" spans="1:8" s="108" customFormat="1" ht="21" customHeight="1">
      <c r="A31" s="469">
        <v>8</v>
      </c>
      <c r="B31" s="470" t="s">
        <v>248</v>
      </c>
      <c r="C31" s="471">
        <f>C32+C33</f>
        <v>1300000000</v>
      </c>
      <c r="D31" s="471">
        <f>D32+D33</f>
        <v>1200000000</v>
      </c>
      <c r="E31" s="471">
        <f>E32+E33+E34</f>
        <v>1563284101</v>
      </c>
      <c r="F31" s="471">
        <f>F32+F33+F34</f>
        <v>1489588042</v>
      </c>
      <c r="G31" s="160">
        <f>E31/C31</f>
        <v>1.2025262315384615</v>
      </c>
      <c r="H31" s="160">
        <f>F31/D31</f>
        <v>1.2413233683333333</v>
      </c>
    </row>
    <row r="32" spans="1:8" s="108" customFormat="1" ht="21" customHeight="1">
      <c r="A32" s="472"/>
      <c r="B32" s="473" t="s">
        <v>835</v>
      </c>
      <c r="C32" s="474">
        <v>100000000</v>
      </c>
      <c r="D32" s="474"/>
      <c r="E32" s="474">
        <v>73696059</v>
      </c>
      <c r="F32" s="478"/>
      <c r="G32" s="160"/>
      <c r="H32" s="160"/>
    </row>
    <row r="33" spans="1:8" s="108" customFormat="1" ht="21" customHeight="1">
      <c r="A33" s="472"/>
      <c r="B33" s="473" t="s">
        <v>836</v>
      </c>
      <c r="C33" s="474">
        <v>1200000000</v>
      </c>
      <c r="D33" s="474">
        <f>C33</f>
        <v>1200000000</v>
      </c>
      <c r="E33" s="474">
        <v>1489588042</v>
      </c>
      <c r="F33" s="474">
        <f>E33</f>
        <v>1489588042</v>
      </c>
      <c r="G33" s="160"/>
      <c r="H33" s="160"/>
    </row>
    <row r="34" spans="1:8" s="108" customFormat="1" ht="21" hidden="1" customHeight="1">
      <c r="A34" s="472"/>
      <c r="B34" s="473" t="s">
        <v>837</v>
      </c>
      <c r="C34" s="474"/>
      <c r="D34" s="474"/>
      <c r="E34" s="474"/>
      <c r="F34" s="474">
        <f>E34</f>
        <v>0</v>
      </c>
      <c r="G34" s="160"/>
      <c r="H34" s="160"/>
    </row>
    <row r="35" spans="1:8" s="108" customFormat="1" ht="21" customHeight="1">
      <c r="A35" s="472"/>
      <c r="B35" s="473" t="s">
        <v>421</v>
      </c>
      <c r="C35" s="474">
        <v>500000000</v>
      </c>
      <c r="D35" s="474">
        <f t="shared" ref="D35:D42" si="4">C35</f>
        <v>500000000</v>
      </c>
      <c r="E35" s="474">
        <v>479020825</v>
      </c>
      <c r="F35" s="474">
        <f>E35</f>
        <v>479020825</v>
      </c>
      <c r="G35" s="475">
        <f t="shared" ref="G35:H48" si="5">E35/C35</f>
        <v>0.95804164999999997</v>
      </c>
      <c r="H35" s="475">
        <f t="shared" si="5"/>
        <v>0.95804164999999997</v>
      </c>
    </row>
    <row r="36" spans="1:8" s="108" customFormat="1" ht="21" hidden="1" customHeight="1">
      <c r="A36" s="472"/>
      <c r="B36" s="473" t="s">
        <v>422</v>
      </c>
      <c r="C36" s="474">
        <v>200000000</v>
      </c>
      <c r="D36" s="474">
        <f t="shared" si="4"/>
        <v>200000000</v>
      </c>
      <c r="E36" s="474">
        <v>312066039</v>
      </c>
      <c r="F36" s="474">
        <f>E36</f>
        <v>312066039</v>
      </c>
      <c r="G36" s="475">
        <f>E36/C36</f>
        <v>1.5603301949999999</v>
      </c>
      <c r="H36" s="475">
        <f>F36/D36</f>
        <v>1.5603301949999999</v>
      </c>
    </row>
    <row r="37" spans="1:8" s="108" customFormat="1" ht="21" hidden="1" customHeight="1">
      <c r="A37" s="469">
        <v>9</v>
      </c>
      <c r="B37" s="470" t="s">
        <v>249</v>
      </c>
      <c r="C37" s="471">
        <v>15000000000</v>
      </c>
      <c r="D37" s="471">
        <f t="shared" si="4"/>
        <v>15000000000</v>
      </c>
      <c r="E37" s="471">
        <v>17149751596</v>
      </c>
      <c r="F37" s="471">
        <f>E37</f>
        <v>17149751596</v>
      </c>
      <c r="G37" s="160">
        <f t="shared" si="5"/>
        <v>1.1433167730666667</v>
      </c>
      <c r="H37" s="160">
        <f t="shared" si="5"/>
        <v>1.1433167730666667</v>
      </c>
    </row>
    <row r="38" spans="1:8" s="108" customFormat="1" ht="21" hidden="1" customHeight="1">
      <c r="A38" s="472"/>
      <c r="B38" s="473" t="s">
        <v>251</v>
      </c>
      <c r="C38" s="474"/>
      <c r="D38" s="471">
        <f t="shared" si="4"/>
        <v>0</v>
      </c>
      <c r="E38" s="474"/>
      <c r="F38" s="474"/>
      <c r="G38" s="160" t="e">
        <f t="shared" si="5"/>
        <v>#DIV/0!</v>
      </c>
      <c r="H38" s="160" t="e">
        <f t="shared" si="5"/>
        <v>#DIV/0!</v>
      </c>
    </row>
    <row r="39" spans="1:8" s="108" customFormat="1" ht="21" hidden="1" customHeight="1">
      <c r="A39" s="472"/>
      <c r="B39" s="473" t="s">
        <v>252</v>
      </c>
      <c r="C39" s="476"/>
      <c r="D39" s="471">
        <f t="shared" si="4"/>
        <v>0</v>
      </c>
      <c r="E39" s="474"/>
      <c r="F39" s="474"/>
      <c r="G39" s="160" t="e">
        <f t="shared" si="5"/>
        <v>#DIV/0!</v>
      </c>
      <c r="H39" s="160" t="e">
        <f t="shared" si="5"/>
        <v>#DIV/0!</v>
      </c>
    </row>
    <row r="40" spans="1:8" s="108" customFormat="1" ht="21" hidden="1" customHeight="1">
      <c r="A40" s="472"/>
      <c r="B40" s="473" t="s">
        <v>253</v>
      </c>
      <c r="C40" s="476"/>
      <c r="D40" s="471">
        <f t="shared" si="4"/>
        <v>0</v>
      </c>
      <c r="E40" s="474"/>
      <c r="F40" s="474"/>
      <c r="G40" s="160" t="e">
        <f t="shared" si="5"/>
        <v>#DIV/0!</v>
      </c>
      <c r="H40" s="160" t="e">
        <f t="shared" si="5"/>
        <v>#DIV/0!</v>
      </c>
    </row>
    <row r="41" spans="1:8" s="108" customFormat="1" ht="21" hidden="1" customHeight="1">
      <c r="A41" s="472"/>
      <c r="B41" s="473" t="s">
        <v>250</v>
      </c>
      <c r="C41" s="476"/>
      <c r="D41" s="471">
        <f t="shared" si="4"/>
        <v>0</v>
      </c>
      <c r="E41" s="474"/>
      <c r="F41" s="474"/>
      <c r="G41" s="160" t="e">
        <f t="shared" si="5"/>
        <v>#DIV/0!</v>
      </c>
      <c r="H41" s="160" t="e">
        <f t="shared" si="5"/>
        <v>#DIV/0!</v>
      </c>
    </row>
    <row r="42" spans="1:8" s="108" customFormat="1" ht="21" customHeight="1">
      <c r="A42" s="469">
        <v>10</v>
      </c>
      <c r="B42" s="470" t="s">
        <v>254</v>
      </c>
      <c r="C42" s="471">
        <v>3000000000</v>
      </c>
      <c r="D42" s="471">
        <f t="shared" si="4"/>
        <v>3000000000</v>
      </c>
      <c r="E42" s="471">
        <v>3980837260</v>
      </c>
      <c r="F42" s="471">
        <f>E42</f>
        <v>3980837260</v>
      </c>
      <c r="G42" s="160">
        <f t="shared" si="5"/>
        <v>1.3269457533333333</v>
      </c>
      <c r="H42" s="160">
        <f t="shared" si="5"/>
        <v>1.3269457533333333</v>
      </c>
    </row>
    <row r="43" spans="1:8" s="108" customFormat="1" ht="21" hidden="1" customHeight="1">
      <c r="A43" s="469">
        <v>11</v>
      </c>
      <c r="B43" s="470" t="s">
        <v>10</v>
      </c>
      <c r="C43" s="471">
        <f>C44+C48</f>
        <v>2100000000</v>
      </c>
      <c r="D43" s="471">
        <f>D44+D48</f>
        <v>620000000</v>
      </c>
      <c r="E43" s="471">
        <f>E44+E48</f>
        <v>4762783813</v>
      </c>
      <c r="F43" s="471">
        <f>F44+F48</f>
        <v>1841093586</v>
      </c>
      <c r="G43" s="160">
        <f t="shared" si="5"/>
        <v>2.2679922919047617</v>
      </c>
      <c r="H43" s="160">
        <f>F43/D43</f>
        <v>2.9695057838709675</v>
      </c>
    </row>
    <row r="44" spans="1:8" s="108" customFormat="1" ht="21" hidden="1" customHeight="1">
      <c r="A44" s="473"/>
      <c r="B44" s="473" t="s">
        <v>838</v>
      </c>
      <c r="C44" s="474">
        <v>1480000000</v>
      </c>
      <c r="D44" s="474"/>
      <c r="E44" s="474">
        <v>2921690227</v>
      </c>
      <c r="F44" s="479"/>
      <c r="G44" s="475">
        <f t="shared" si="5"/>
        <v>1.9741150182432432</v>
      </c>
      <c r="H44" s="475"/>
    </row>
    <row r="45" spans="1:8" s="108" customFormat="1" ht="21" hidden="1" customHeight="1">
      <c r="A45" s="473"/>
      <c r="B45" s="473" t="s">
        <v>352</v>
      </c>
      <c r="C45" s="474"/>
      <c r="D45" s="474"/>
      <c r="E45" s="474">
        <v>0</v>
      </c>
      <c r="F45" s="474"/>
      <c r="G45" s="475" t="e">
        <f t="shared" si="5"/>
        <v>#DIV/0!</v>
      </c>
      <c r="H45" s="475" t="e">
        <f>F45/D45</f>
        <v>#DIV/0!</v>
      </c>
    </row>
    <row r="46" spans="1:8" s="108" customFormat="1" ht="21" hidden="1" customHeight="1">
      <c r="A46" s="473"/>
      <c r="B46" s="473" t="s">
        <v>409</v>
      </c>
      <c r="C46" s="474"/>
      <c r="D46" s="474"/>
      <c r="E46" s="474">
        <v>0</v>
      </c>
      <c r="F46" s="479"/>
      <c r="G46" s="475" t="e">
        <f t="shared" si="5"/>
        <v>#DIV/0!</v>
      </c>
      <c r="H46" s="475" t="e">
        <f>F46/D46</f>
        <v>#DIV/0!</v>
      </c>
    </row>
    <row r="47" spans="1:8" s="108" customFormat="1" ht="21" hidden="1" customHeight="1">
      <c r="A47" s="473"/>
      <c r="B47" s="473" t="s">
        <v>410</v>
      </c>
      <c r="C47" s="474"/>
      <c r="D47" s="474"/>
      <c r="E47" s="474">
        <v>0</v>
      </c>
      <c r="F47" s="474"/>
      <c r="G47" s="475" t="e">
        <f t="shared" si="5"/>
        <v>#DIV/0!</v>
      </c>
      <c r="H47" s="475" t="e">
        <f>F47/D47</f>
        <v>#DIV/0!</v>
      </c>
    </row>
    <row r="48" spans="1:8" s="108" customFormat="1" ht="21" customHeight="1">
      <c r="A48" s="473"/>
      <c r="B48" s="473" t="s">
        <v>411</v>
      </c>
      <c r="C48" s="474">
        <v>620000000</v>
      </c>
      <c r="D48" s="474">
        <f>C48</f>
        <v>620000000</v>
      </c>
      <c r="E48" s="474">
        <v>1841093586</v>
      </c>
      <c r="F48" s="474">
        <f>E48</f>
        <v>1841093586</v>
      </c>
      <c r="G48" s="475">
        <f t="shared" si="5"/>
        <v>2.9695057838709675</v>
      </c>
      <c r="H48" s="475">
        <f>F48/D48</f>
        <v>2.9695057838709675</v>
      </c>
    </row>
    <row r="49" spans="1:8" s="108" customFormat="1" ht="21" hidden="1" customHeight="1">
      <c r="A49" s="473"/>
      <c r="B49" s="473" t="s">
        <v>255</v>
      </c>
      <c r="C49" s="474"/>
      <c r="D49" s="474"/>
      <c r="E49" s="474"/>
      <c r="F49" s="474"/>
      <c r="G49" s="475"/>
      <c r="H49" s="475"/>
    </row>
    <row r="50" spans="1:8" s="108" customFormat="1" ht="21" hidden="1" customHeight="1">
      <c r="A50" s="473"/>
      <c r="B50" s="473" t="s">
        <v>256</v>
      </c>
      <c r="C50" s="474"/>
      <c r="D50" s="474"/>
      <c r="E50" s="474"/>
      <c r="F50" s="474">
        <f>E50</f>
        <v>0</v>
      </c>
      <c r="G50" s="475"/>
      <c r="H50" s="475"/>
    </row>
    <row r="51" spans="1:8" s="108" customFormat="1" ht="21" hidden="1" customHeight="1">
      <c r="A51" s="473"/>
      <c r="B51" s="473" t="s">
        <v>257</v>
      </c>
      <c r="C51" s="474"/>
      <c r="D51" s="474"/>
      <c r="E51" s="474"/>
      <c r="F51" s="474">
        <f>E51</f>
        <v>0</v>
      </c>
      <c r="G51" s="475"/>
      <c r="H51" s="475"/>
    </row>
    <row r="52" spans="1:8" s="108" customFormat="1" ht="21" customHeight="1">
      <c r="A52" s="469">
        <v>12</v>
      </c>
      <c r="B52" s="470" t="s">
        <v>258</v>
      </c>
      <c r="C52" s="471">
        <v>100000000</v>
      </c>
      <c r="D52" s="471">
        <f>C52</f>
        <v>100000000</v>
      </c>
      <c r="E52" s="471">
        <v>160180971</v>
      </c>
      <c r="F52" s="471">
        <f>E52</f>
        <v>160180971</v>
      </c>
      <c r="G52" s="160">
        <f>E52/C52</f>
        <v>1.6018097099999999</v>
      </c>
      <c r="H52" s="160">
        <f>F52/D52</f>
        <v>1.6018097099999999</v>
      </c>
    </row>
    <row r="53" spans="1:8" s="108" customFormat="1" ht="21" customHeight="1">
      <c r="A53" s="469" t="s">
        <v>4</v>
      </c>
      <c r="B53" s="470" t="s">
        <v>259</v>
      </c>
      <c r="C53" s="471">
        <f>C54+C59</f>
        <v>898214000000</v>
      </c>
      <c r="D53" s="471">
        <f>D54+D59</f>
        <v>898214000000</v>
      </c>
      <c r="E53" s="471">
        <f>E54+E59</f>
        <v>1094378810927</v>
      </c>
      <c r="F53" s="471">
        <f>F54+F59</f>
        <v>965966384792</v>
      </c>
      <c r="G53" s="160">
        <f t="shared" ref="G53:H55" si="6">E53/C53</f>
        <v>1.2183942923701925</v>
      </c>
      <c r="H53" s="160">
        <f t="shared" si="6"/>
        <v>1.0754301144181677</v>
      </c>
    </row>
    <row r="54" spans="1:8" s="108" customFormat="1" ht="21" customHeight="1">
      <c r="A54" s="469" t="s">
        <v>11</v>
      </c>
      <c r="B54" s="470" t="s">
        <v>28</v>
      </c>
      <c r="C54" s="471">
        <f>C55+C56</f>
        <v>898214000000</v>
      </c>
      <c r="D54" s="471">
        <f>D55+D56</f>
        <v>898214000000</v>
      </c>
      <c r="E54" s="471">
        <f>E55+E56</f>
        <v>1084874616979</v>
      </c>
      <c r="F54" s="471">
        <f>F55+F56</f>
        <v>959262677150</v>
      </c>
      <c r="G54" s="160">
        <f t="shared" si="6"/>
        <v>1.2078130790424109</v>
      </c>
      <c r="H54" s="160">
        <f t="shared" si="6"/>
        <v>1.0679667397190424</v>
      </c>
    </row>
    <row r="55" spans="1:8" s="108" customFormat="1" ht="21" customHeight="1">
      <c r="A55" s="469">
        <v>1</v>
      </c>
      <c r="B55" s="470" t="s">
        <v>260</v>
      </c>
      <c r="C55" s="471">
        <v>684106000000</v>
      </c>
      <c r="D55" s="471">
        <f>C55</f>
        <v>684106000000</v>
      </c>
      <c r="E55" s="471">
        <v>767377241108</v>
      </c>
      <c r="F55" s="471">
        <v>681988065750</v>
      </c>
      <c r="G55" s="160">
        <f t="shared" si="6"/>
        <v>1.121722717105244</v>
      </c>
      <c r="H55" s="160">
        <f t="shared" si="6"/>
        <v>0.99690408467401248</v>
      </c>
    </row>
    <row r="56" spans="1:8" s="108" customFormat="1" ht="21" customHeight="1">
      <c r="A56" s="469">
        <v>2</v>
      </c>
      <c r="B56" s="470" t="s">
        <v>76</v>
      </c>
      <c r="C56" s="471">
        <f>C57+C58</f>
        <v>214108000000</v>
      </c>
      <c r="D56" s="471">
        <f>D57+D58</f>
        <v>214108000000</v>
      </c>
      <c r="E56" s="471">
        <f>E57+E58</f>
        <v>317497375871</v>
      </c>
      <c r="F56" s="471">
        <f>F57+F58</f>
        <v>277274611400</v>
      </c>
      <c r="G56" s="160">
        <f>E56/C56</f>
        <v>1.4828842260494703</v>
      </c>
      <c r="H56" s="160">
        <f>F56/D56</f>
        <v>1.295022191604237</v>
      </c>
    </row>
    <row r="57" spans="1:8" s="108" customFormat="1" ht="21" customHeight="1">
      <c r="A57" s="472" t="s">
        <v>261</v>
      </c>
      <c r="B57" s="473" t="s">
        <v>262</v>
      </c>
      <c r="C57" s="474">
        <v>214108000000</v>
      </c>
      <c r="D57" s="474">
        <f>C57</f>
        <v>214108000000</v>
      </c>
      <c r="E57" s="474">
        <v>317497375871</v>
      </c>
      <c r="F57" s="474">
        <v>277274611400</v>
      </c>
      <c r="G57" s="475">
        <f>E57/C57</f>
        <v>1.4828842260494703</v>
      </c>
      <c r="H57" s="475">
        <f>F57/D57</f>
        <v>1.295022191604237</v>
      </c>
    </row>
    <row r="58" spans="1:8" s="108" customFormat="1" ht="21" customHeight="1">
      <c r="A58" s="472" t="s">
        <v>263</v>
      </c>
      <c r="B58" s="473" t="s">
        <v>264</v>
      </c>
      <c r="C58" s="474"/>
      <c r="D58" s="474"/>
      <c r="E58" s="474"/>
      <c r="F58" s="474">
        <f>E58</f>
        <v>0</v>
      </c>
      <c r="G58" s="866"/>
      <c r="H58" s="866"/>
    </row>
    <row r="59" spans="1:8" s="108" customFormat="1" ht="21" customHeight="1">
      <c r="A59" s="469" t="s">
        <v>12</v>
      </c>
      <c r="B59" s="470" t="s">
        <v>265</v>
      </c>
      <c r="C59" s="474"/>
      <c r="D59" s="474"/>
      <c r="E59" s="471">
        <v>9504193948</v>
      </c>
      <c r="F59" s="471">
        <v>6703707642</v>
      </c>
      <c r="G59" s="867"/>
      <c r="H59" s="867"/>
    </row>
    <row r="60" spans="1:8" s="108" customFormat="1" ht="24" customHeight="1">
      <c r="A60" s="469" t="s">
        <v>16</v>
      </c>
      <c r="B60" s="470" t="s">
        <v>266</v>
      </c>
      <c r="C60" s="474"/>
      <c r="D60" s="474"/>
      <c r="E60" s="471">
        <v>91891760238</v>
      </c>
      <c r="F60" s="471">
        <f>E60</f>
        <v>91891760238</v>
      </c>
      <c r="G60" s="867"/>
      <c r="H60" s="867"/>
    </row>
    <row r="61" spans="1:8" s="108" customFormat="1" ht="22.5" customHeight="1">
      <c r="A61" s="480" t="s">
        <v>267</v>
      </c>
      <c r="B61" s="481" t="s">
        <v>268</v>
      </c>
      <c r="C61" s="482"/>
      <c r="D61" s="482"/>
      <c r="E61" s="483">
        <v>115400000</v>
      </c>
      <c r="F61" s="483">
        <f>E61</f>
        <v>115400000</v>
      </c>
      <c r="G61" s="484"/>
      <c r="H61" s="484"/>
    </row>
    <row r="62" spans="1:8" s="108" customFormat="1" ht="15"/>
    <row r="63" spans="1:8" s="108" customFormat="1" ht="15" hidden="1">
      <c r="C63" s="133">
        <f>'[3]61'!$D$7-C8</f>
        <v>-107888000000</v>
      </c>
      <c r="D63" s="133">
        <f>'[3]61'!$D$7-D8</f>
        <v>-104488000000</v>
      </c>
      <c r="E63" s="115">
        <f>'[3]61'!$E$7-E8</f>
        <v>-48471991750</v>
      </c>
      <c r="F63" s="115">
        <f>'[3]61'!$H$7+'[3]61'!$I$7-F8</f>
        <v>79019779987</v>
      </c>
    </row>
    <row r="64" spans="1:8" s="108" customFormat="1" ht="15">
      <c r="C64" s="133"/>
      <c r="D64" s="133"/>
      <c r="E64" s="115"/>
    </row>
    <row r="65" spans="3:4" s="108" customFormat="1" ht="15">
      <c r="C65" s="133"/>
      <c r="D65" s="133"/>
    </row>
    <row r="66" spans="3:4" s="108" customFormat="1" ht="15">
      <c r="C66" s="133"/>
      <c r="D66" s="133"/>
    </row>
    <row r="67" spans="3:4">
      <c r="C67" s="112"/>
      <c r="D67" s="112"/>
    </row>
  </sheetData>
  <mergeCells count="8">
    <mergeCell ref="G1:H1"/>
    <mergeCell ref="A2:H2"/>
    <mergeCell ref="A3:H3"/>
    <mergeCell ref="C5:D5"/>
    <mergeCell ref="E5:F5"/>
    <mergeCell ref="G5:H5"/>
    <mergeCell ref="A5:A6"/>
    <mergeCell ref="B5:B6"/>
  </mergeCells>
  <phoneticPr fontId="16" type="noConversion"/>
  <pageMargins left="0.31496062992126" right="0.15748031496063" top="0.59" bottom="0.56000000000000005" header="0.35" footer="0.511811023622047"/>
  <pageSetup paperSize="9" scale="9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FF00"/>
    <pageSetUpPr fitToPage="1"/>
  </sheetPr>
  <dimension ref="A1:H182"/>
  <sheetViews>
    <sheetView view="pageBreakPreview" zoomScaleNormal="100" zoomScaleSheetLayoutView="100" workbookViewId="0">
      <pane xSplit="2" ySplit="9" topLeftCell="C168" activePane="bottomRight" state="frozen"/>
      <selection pane="topRight" activeCell="C1" sqref="C1"/>
      <selection pane="bottomLeft" activeCell="A10" sqref="A10"/>
      <selection pane="bottomRight" activeCell="D174" sqref="D174"/>
    </sheetView>
  </sheetViews>
  <sheetFormatPr defaultColWidth="9" defaultRowHeight="15.75"/>
  <cols>
    <col min="1" max="1" width="5.125" style="58" customWidth="1"/>
    <col min="2" max="2" width="40.375" style="58" customWidth="1"/>
    <col min="3" max="3" width="15.25" style="58" customWidth="1"/>
    <col min="4" max="4" width="16.5" style="58" customWidth="1"/>
    <col min="5" max="5" width="9.75" style="58" customWidth="1"/>
    <col min="6" max="6" width="7" style="58" customWidth="1"/>
    <col min="7" max="7" width="16" style="58" customWidth="1"/>
    <col min="8" max="8" width="9.875" style="58" bestFit="1" customWidth="1"/>
    <col min="9" max="16384" width="9" style="58"/>
  </cols>
  <sheetData>
    <row r="1" spans="1:8" ht="18.75" customHeight="1">
      <c r="A1" s="462"/>
      <c r="B1" s="462"/>
      <c r="C1" s="463"/>
      <c r="D1" s="506"/>
      <c r="E1" s="507" t="s">
        <v>112</v>
      </c>
    </row>
    <row r="2" spans="1:8" ht="24.75" customHeight="1">
      <c r="A2" s="887" t="s">
        <v>831</v>
      </c>
      <c r="B2" s="887"/>
      <c r="C2" s="887"/>
      <c r="D2" s="887"/>
      <c r="E2" s="887"/>
    </row>
    <row r="3" spans="1:8" ht="17.25" customHeight="1">
      <c r="A3" s="870" t="str">
        <f>'B48'!A3</f>
        <v>(Kèm theo Báo cáo số  289/BC-UBND ngày  17 /6 /2024 của UBND huyện Tuần Giáo)</v>
      </c>
      <c r="B3" s="870"/>
      <c r="C3" s="870"/>
      <c r="D3" s="870"/>
      <c r="E3" s="870"/>
    </row>
    <row r="4" spans="1:8" ht="27" customHeight="1">
      <c r="A4" s="464"/>
      <c r="B4" s="464"/>
      <c r="C4" s="465"/>
      <c r="D4" s="891" t="s">
        <v>201</v>
      </c>
      <c r="E4" s="891"/>
    </row>
    <row r="5" spans="1:8" ht="13.5" customHeight="1">
      <c r="A5" s="892" t="s">
        <v>51</v>
      </c>
      <c r="B5" s="892" t="s">
        <v>120</v>
      </c>
      <c r="C5" s="892" t="s">
        <v>2</v>
      </c>
      <c r="D5" s="892" t="s">
        <v>50</v>
      </c>
      <c r="E5" s="895" t="s">
        <v>75</v>
      </c>
    </row>
    <row r="6" spans="1:8" ht="13.5" customHeight="1">
      <c r="A6" s="893"/>
      <c r="B6" s="893" t="s">
        <v>120</v>
      </c>
      <c r="C6" s="893"/>
      <c r="D6" s="893"/>
      <c r="E6" s="896"/>
    </row>
    <row r="7" spans="1:8" ht="13.5" customHeight="1">
      <c r="A7" s="894"/>
      <c r="B7" s="894"/>
      <c r="C7" s="894"/>
      <c r="D7" s="894"/>
      <c r="E7" s="897"/>
    </row>
    <row r="8" spans="1:8" s="111" customFormat="1" ht="17.25" customHeight="1">
      <c r="A8" s="109" t="s">
        <v>3</v>
      </c>
      <c r="B8" s="109" t="s">
        <v>4</v>
      </c>
      <c r="C8" s="109">
        <v>1</v>
      </c>
      <c r="D8" s="109">
        <f>C8+1</f>
        <v>2</v>
      </c>
      <c r="E8" s="110" t="s">
        <v>44</v>
      </c>
    </row>
    <row r="9" spans="1:8" ht="21" customHeight="1">
      <c r="A9" s="508"/>
      <c r="B9" s="509" t="s">
        <v>65</v>
      </c>
      <c r="C9" s="510">
        <f>C10+C40+C181+C182</f>
        <v>948814000000</v>
      </c>
      <c r="D9" s="510">
        <f>D10+D40+D181+D182</f>
        <v>1105341372148</v>
      </c>
      <c r="E9" s="511">
        <f>D9/C9</f>
        <v>1.1649716089222968</v>
      </c>
      <c r="F9" s="112"/>
      <c r="G9" s="112"/>
    </row>
    <row r="10" spans="1:8" ht="21" customHeight="1">
      <c r="A10" s="415" t="s">
        <v>3</v>
      </c>
      <c r="B10" s="512" t="s">
        <v>49</v>
      </c>
      <c r="C10" s="513">
        <f>C11+C25+C39</f>
        <v>734706000000</v>
      </c>
      <c r="D10" s="513">
        <f>D11+D25+D39</f>
        <v>789192730633</v>
      </c>
      <c r="E10" s="511">
        <f>D10/C10</f>
        <v>1.0741612708117261</v>
      </c>
      <c r="G10" s="112"/>
      <c r="H10" s="112"/>
    </row>
    <row r="11" spans="1:8" ht="21" customHeight="1">
      <c r="A11" s="415" t="s">
        <v>11</v>
      </c>
      <c r="B11" s="512" t="s">
        <v>25</v>
      </c>
      <c r="C11" s="513">
        <f>C12</f>
        <v>36868000000</v>
      </c>
      <c r="D11" s="513">
        <f>D12</f>
        <v>47520465894</v>
      </c>
      <c r="E11" s="511">
        <f t="shared" ref="E11:E12" si="0">D11/C11</f>
        <v>1.2889352797548008</v>
      </c>
    </row>
    <row r="12" spans="1:8" ht="21" customHeight="1">
      <c r="A12" s="415">
        <v>1</v>
      </c>
      <c r="B12" s="512" t="s">
        <v>58</v>
      </c>
      <c r="C12" s="513">
        <f>C20</f>
        <v>36868000000</v>
      </c>
      <c r="D12" s="513">
        <f>D20</f>
        <v>47520465894</v>
      </c>
      <c r="E12" s="511">
        <f t="shared" si="0"/>
        <v>1.2889352797548008</v>
      </c>
    </row>
    <row r="13" spans="1:8" ht="21" customHeight="1">
      <c r="A13" s="514" t="s">
        <v>364</v>
      </c>
      <c r="B13" s="512" t="s">
        <v>118</v>
      </c>
      <c r="C13" s="515">
        <f>SUM(C14:C19)</f>
        <v>36868000000</v>
      </c>
      <c r="D13" s="515">
        <f>SUM(D14:D19)</f>
        <v>47520465894</v>
      </c>
      <c r="E13" s="516">
        <f>D13/C13</f>
        <v>1.2889352797548008</v>
      </c>
    </row>
    <row r="14" spans="1:8" ht="21" customHeight="1">
      <c r="A14" s="514" t="s">
        <v>9</v>
      </c>
      <c r="B14" s="517" t="s">
        <v>116</v>
      </c>
      <c r="C14" s="515">
        <v>6000000000</v>
      </c>
      <c r="D14" s="515">
        <v>10564334000</v>
      </c>
      <c r="E14" s="516">
        <f t="shared" ref="E14:E22" si="1">D14/C14</f>
        <v>1.7607223333333333</v>
      </c>
    </row>
    <row r="15" spans="1:8" ht="21" customHeight="1">
      <c r="A15" s="514" t="s">
        <v>9</v>
      </c>
      <c r="B15" s="517" t="s">
        <v>102</v>
      </c>
      <c r="C15" s="515">
        <f>36868000000-C14</f>
        <v>30868000000</v>
      </c>
      <c r="D15" s="515">
        <v>36801815894</v>
      </c>
      <c r="E15" s="516">
        <f t="shared" si="1"/>
        <v>1.1922319519891149</v>
      </c>
    </row>
    <row r="16" spans="1:8" ht="21" hidden="1" customHeight="1">
      <c r="A16" s="514" t="s">
        <v>148</v>
      </c>
      <c r="B16" s="517" t="s">
        <v>435</v>
      </c>
      <c r="C16" s="515"/>
      <c r="D16" s="515"/>
      <c r="E16" s="516" t="e">
        <f t="shared" si="1"/>
        <v>#DIV/0!</v>
      </c>
    </row>
    <row r="17" spans="1:7" ht="21" hidden="1" customHeight="1">
      <c r="A17" s="518" t="s">
        <v>9</v>
      </c>
      <c r="B17" s="517" t="s">
        <v>101</v>
      </c>
      <c r="C17" s="515"/>
      <c r="D17" s="515"/>
      <c r="E17" s="516" t="e">
        <f t="shared" si="1"/>
        <v>#DIV/0!</v>
      </c>
    </row>
    <row r="18" spans="1:7" ht="21" customHeight="1">
      <c r="A18" s="441" t="s">
        <v>9</v>
      </c>
      <c r="B18" s="519" t="s">
        <v>98</v>
      </c>
      <c r="C18" s="515"/>
      <c r="D18" s="515">
        <v>154316000</v>
      </c>
      <c r="E18" s="516"/>
    </row>
    <row r="19" spans="1:7" ht="21" hidden="1" customHeight="1">
      <c r="A19" s="441" t="s">
        <v>9</v>
      </c>
      <c r="B19" s="519" t="s">
        <v>321</v>
      </c>
      <c r="C19" s="515"/>
      <c r="D19" s="520"/>
      <c r="E19" s="516" t="e">
        <f t="shared" si="1"/>
        <v>#DIV/0!</v>
      </c>
    </row>
    <row r="20" spans="1:7" ht="21" customHeight="1">
      <c r="A20" s="514" t="s">
        <v>364</v>
      </c>
      <c r="B20" s="512" t="s">
        <v>119</v>
      </c>
      <c r="C20" s="515">
        <f>SUM(C21:C23)</f>
        <v>36868000000</v>
      </c>
      <c r="D20" s="515">
        <f>SUM(D21:D23)</f>
        <v>47520465894</v>
      </c>
      <c r="E20" s="516">
        <f t="shared" si="1"/>
        <v>1.2889352797548008</v>
      </c>
    </row>
    <row r="21" spans="1:7" ht="21" customHeight="1">
      <c r="A21" s="518" t="s">
        <v>9</v>
      </c>
      <c r="B21" s="521" t="s">
        <v>423</v>
      </c>
      <c r="C21" s="515">
        <v>23368000000</v>
      </c>
      <c r="D21" s="515">
        <v>30741533000</v>
      </c>
      <c r="E21" s="516">
        <f t="shared" si="1"/>
        <v>1.3155397552208148</v>
      </c>
    </row>
    <row r="22" spans="1:7" ht="21" customHeight="1">
      <c r="A22" s="518" t="s">
        <v>9</v>
      </c>
      <c r="B22" s="521" t="s">
        <v>424</v>
      </c>
      <c r="C22" s="515">
        <v>13500000000</v>
      </c>
      <c r="D22" s="515">
        <v>13024978485</v>
      </c>
      <c r="E22" s="516">
        <f t="shared" si="1"/>
        <v>0.96481322111111112</v>
      </c>
    </row>
    <row r="23" spans="1:7" ht="21" customHeight="1">
      <c r="A23" s="518" t="s">
        <v>9</v>
      </c>
      <c r="B23" s="521" t="s">
        <v>562</v>
      </c>
      <c r="C23" s="515"/>
      <c r="D23" s="515">
        <v>3753954409</v>
      </c>
      <c r="E23" s="516"/>
    </row>
    <row r="24" spans="1:7" ht="21" customHeight="1">
      <c r="A24" s="522">
        <v>2</v>
      </c>
      <c r="B24" s="512" t="s">
        <v>407</v>
      </c>
      <c r="C24" s="515"/>
      <c r="D24" s="515"/>
      <c r="E24" s="516"/>
    </row>
    <row r="25" spans="1:7" s="113" customFormat="1" ht="21" customHeight="1">
      <c r="A25" s="415" t="s">
        <v>12</v>
      </c>
      <c r="B25" s="512" t="s">
        <v>19</v>
      </c>
      <c r="C25" s="513">
        <f>SUM(C26:C38)</f>
        <v>683144000000</v>
      </c>
      <c r="D25" s="513">
        <f>SUM(D26:D38)</f>
        <v>741672264739</v>
      </c>
      <c r="E25" s="511">
        <f>D25/C25</f>
        <v>1.0856748573346175</v>
      </c>
      <c r="G25" s="82"/>
    </row>
    <row r="26" spans="1:7" ht="21" customHeight="1">
      <c r="A26" s="518">
        <v>1</v>
      </c>
      <c r="B26" s="521" t="s">
        <v>116</v>
      </c>
      <c r="C26" s="515">
        <v>425458000000</v>
      </c>
      <c r="D26" s="515">
        <v>460833695527</v>
      </c>
      <c r="E26" s="516">
        <f>D26/C26</f>
        <v>1.0831473271791809</v>
      </c>
    </row>
    <row r="27" spans="1:7" ht="21" customHeight="1">
      <c r="A27" s="518">
        <v>2</v>
      </c>
      <c r="B27" s="521" t="s">
        <v>68</v>
      </c>
      <c r="C27" s="515">
        <v>600000000</v>
      </c>
      <c r="D27" s="515">
        <v>315080670</v>
      </c>
      <c r="E27" s="516">
        <f>D27/C27</f>
        <v>0.52513445000000003</v>
      </c>
    </row>
    <row r="28" spans="1:7" ht="21" customHeight="1">
      <c r="A28" s="518">
        <v>3</v>
      </c>
      <c r="B28" s="521" t="s">
        <v>433</v>
      </c>
      <c r="C28" s="515">
        <v>9082000000</v>
      </c>
      <c r="D28" s="515">
        <v>11916776793</v>
      </c>
      <c r="E28" s="516">
        <f t="shared" ref="E28:E38" si="2">D28/C28</f>
        <v>1.3121313359392204</v>
      </c>
    </row>
    <row r="29" spans="1:7" ht="21" customHeight="1">
      <c r="A29" s="518">
        <v>4</v>
      </c>
      <c r="B29" s="521" t="s">
        <v>96</v>
      </c>
      <c r="C29" s="515">
        <v>3299000000</v>
      </c>
      <c r="D29" s="515">
        <v>7248043348</v>
      </c>
      <c r="E29" s="516">
        <f t="shared" si="2"/>
        <v>2.197042542588663</v>
      </c>
    </row>
    <row r="30" spans="1:7" ht="21" customHeight="1">
      <c r="A30" s="518">
        <v>5</v>
      </c>
      <c r="B30" s="521" t="s">
        <v>97</v>
      </c>
      <c r="C30" s="515">
        <v>200000000</v>
      </c>
      <c r="D30" s="515">
        <v>184571400</v>
      </c>
      <c r="E30" s="516">
        <f t="shared" si="2"/>
        <v>0.92285700000000004</v>
      </c>
    </row>
    <row r="31" spans="1:7" ht="21" customHeight="1">
      <c r="A31" s="518">
        <v>6</v>
      </c>
      <c r="B31" s="521" t="s">
        <v>98</v>
      </c>
      <c r="C31" s="515">
        <v>3686000000</v>
      </c>
      <c r="D31" s="515">
        <v>3544328340</v>
      </c>
      <c r="E31" s="516">
        <f t="shared" si="2"/>
        <v>0.9615649321758003</v>
      </c>
    </row>
    <row r="32" spans="1:7" ht="21" customHeight="1">
      <c r="A32" s="518">
        <v>7</v>
      </c>
      <c r="B32" s="521" t="s">
        <v>434</v>
      </c>
      <c r="C32" s="515">
        <v>2889000000</v>
      </c>
      <c r="D32" s="515">
        <v>3746228528</v>
      </c>
      <c r="E32" s="516">
        <f t="shared" si="2"/>
        <v>1.2967215396330911</v>
      </c>
    </row>
    <row r="33" spans="1:8" ht="21" customHeight="1">
      <c r="A33" s="518">
        <v>8</v>
      </c>
      <c r="B33" s="521" t="s">
        <v>100</v>
      </c>
      <c r="C33" s="515">
        <v>616000000</v>
      </c>
      <c r="D33" s="515">
        <v>616506600</v>
      </c>
      <c r="E33" s="516">
        <f t="shared" si="2"/>
        <v>1.0008224025974026</v>
      </c>
    </row>
    <row r="34" spans="1:8" ht="21" customHeight="1">
      <c r="A34" s="518">
        <v>9</v>
      </c>
      <c r="B34" s="521" t="s">
        <v>101</v>
      </c>
      <c r="C34" s="515">
        <v>4232000000</v>
      </c>
      <c r="D34" s="515">
        <v>4420850000</v>
      </c>
      <c r="E34" s="516">
        <f t="shared" si="2"/>
        <v>1.0446242911153119</v>
      </c>
    </row>
    <row r="35" spans="1:8" ht="21" customHeight="1">
      <c r="A35" s="518">
        <v>10</v>
      </c>
      <c r="B35" s="521" t="s">
        <v>102</v>
      </c>
      <c r="C35" s="515">
        <v>56948000000</v>
      </c>
      <c r="D35" s="515">
        <v>66478535976</v>
      </c>
      <c r="E35" s="516">
        <f t="shared" si="2"/>
        <v>1.167355060335745</v>
      </c>
    </row>
    <row r="36" spans="1:8" ht="21" customHeight="1">
      <c r="A36" s="518">
        <v>11</v>
      </c>
      <c r="B36" s="521" t="s">
        <v>435</v>
      </c>
      <c r="C36" s="515">
        <v>110925000000</v>
      </c>
      <c r="D36" s="515">
        <v>125466598081</v>
      </c>
      <c r="E36" s="516">
        <f t="shared" si="2"/>
        <v>1.1310939651205769</v>
      </c>
    </row>
    <row r="37" spans="1:8" ht="21" customHeight="1">
      <c r="A37" s="518">
        <v>12</v>
      </c>
      <c r="B37" s="521" t="s">
        <v>321</v>
      </c>
      <c r="C37" s="515">
        <v>47164000000</v>
      </c>
      <c r="D37" s="515">
        <v>56731049476</v>
      </c>
      <c r="E37" s="516">
        <f t="shared" si="2"/>
        <v>1.2028464395725553</v>
      </c>
    </row>
    <row r="38" spans="1:8" ht="21" customHeight="1">
      <c r="A38" s="518">
        <v>13</v>
      </c>
      <c r="B38" s="521" t="s">
        <v>322</v>
      </c>
      <c r="C38" s="515">
        <v>18045000000</v>
      </c>
      <c r="D38" s="515">
        <v>170000000</v>
      </c>
      <c r="E38" s="516">
        <f t="shared" si="2"/>
        <v>9.4208922139096696E-3</v>
      </c>
    </row>
    <row r="39" spans="1:8" ht="21" customHeight="1">
      <c r="A39" s="415" t="s">
        <v>13</v>
      </c>
      <c r="B39" s="512" t="s">
        <v>20</v>
      </c>
      <c r="C39" s="513">
        <v>14694000000</v>
      </c>
      <c r="D39" s="515"/>
      <c r="E39" s="516"/>
    </row>
    <row r="40" spans="1:8" s="113" customFormat="1" ht="22.5" customHeight="1">
      <c r="A40" s="415" t="s">
        <v>4</v>
      </c>
      <c r="B40" s="523" t="s">
        <v>94</v>
      </c>
      <c r="C40" s="513">
        <f>C41+C170</f>
        <v>214108000000</v>
      </c>
      <c r="D40" s="513">
        <f>D41+D170</f>
        <v>162277662963</v>
      </c>
      <c r="E40" s="511">
        <f>D40/C40</f>
        <v>0.75792433240700952</v>
      </c>
      <c r="G40" s="352"/>
      <c r="H40" s="352"/>
    </row>
    <row r="41" spans="1:8" s="113" customFormat="1" ht="20.25" customHeight="1">
      <c r="A41" s="415" t="s">
        <v>11</v>
      </c>
      <c r="B41" s="512" t="s">
        <v>92</v>
      </c>
      <c r="C41" s="513">
        <f>C72</f>
        <v>210875000000</v>
      </c>
      <c r="D41" s="513">
        <f>D72</f>
        <v>158991000563</v>
      </c>
      <c r="E41" s="511">
        <f t="shared" ref="E41:E104" si="3">D41/C41</f>
        <v>0.75395850889389449</v>
      </c>
    </row>
    <row r="42" spans="1:8" s="113" customFormat="1" ht="20.25" customHeight="1">
      <c r="A42" s="415">
        <v>1</v>
      </c>
      <c r="B42" s="524" t="s">
        <v>658</v>
      </c>
      <c r="C42" s="513"/>
      <c r="D42" s="513"/>
      <c r="E42" s="511"/>
    </row>
    <row r="43" spans="1:8" s="113" customFormat="1" ht="20.25" hidden="1" customHeight="1">
      <c r="A43" s="415" t="s">
        <v>364</v>
      </c>
      <c r="B43" s="524" t="s">
        <v>308</v>
      </c>
      <c r="C43" s="513"/>
      <c r="D43" s="513"/>
      <c r="E43" s="511" t="e">
        <f t="shared" si="3"/>
        <v>#DIV/0!</v>
      </c>
    </row>
    <row r="44" spans="1:8" s="113" customFormat="1" ht="20.25" hidden="1" customHeight="1">
      <c r="A44" s="415"/>
      <c r="B44" s="525" t="s">
        <v>563</v>
      </c>
      <c r="C44" s="513"/>
      <c r="D44" s="515"/>
      <c r="E44" s="511" t="e">
        <f t="shared" si="3"/>
        <v>#DIV/0!</v>
      </c>
    </row>
    <row r="45" spans="1:8" s="113" customFormat="1" ht="20.25" hidden="1" customHeight="1">
      <c r="A45" s="415"/>
      <c r="B45" s="525" t="s">
        <v>564</v>
      </c>
      <c r="C45" s="513"/>
      <c r="D45" s="515"/>
      <c r="E45" s="511" t="e">
        <f t="shared" si="3"/>
        <v>#DIV/0!</v>
      </c>
    </row>
    <row r="46" spans="1:8" s="113" customFormat="1" ht="20.25" hidden="1" customHeight="1">
      <c r="A46" s="415" t="s">
        <v>364</v>
      </c>
      <c r="B46" s="524" t="s">
        <v>309</v>
      </c>
      <c r="C46" s="513"/>
      <c r="D46" s="513"/>
      <c r="E46" s="511" t="e">
        <f t="shared" si="3"/>
        <v>#DIV/0!</v>
      </c>
    </row>
    <row r="47" spans="1:8" s="113" customFormat="1" ht="20.25" hidden="1" customHeight="1">
      <c r="A47" s="415" t="s">
        <v>440</v>
      </c>
      <c r="B47" s="524" t="s">
        <v>159</v>
      </c>
      <c r="C47" s="513"/>
      <c r="D47" s="513"/>
      <c r="E47" s="511" t="e">
        <f t="shared" si="3"/>
        <v>#DIV/0!</v>
      </c>
    </row>
    <row r="48" spans="1:8" s="113" customFormat="1" ht="20.25" hidden="1" customHeight="1">
      <c r="A48" s="415" t="s">
        <v>364</v>
      </c>
      <c r="B48" s="524" t="s">
        <v>659</v>
      </c>
      <c r="C48" s="513"/>
      <c r="D48" s="513"/>
      <c r="E48" s="511" t="e">
        <f t="shared" si="3"/>
        <v>#DIV/0!</v>
      </c>
    </row>
    <row r="49" spans="1:5" s="113" customFormat="1" ht="20.25" hidden="1" customHeight="1">
      <c r="A49" s="415"/>
      <c r="B49" s="525" t="s">
        <v>565</v>
      </c>
      <c r="C49" s="513"/>
      <c r="D49" s="515"/>
      <c r="E49" s="511" t="e">
        <f t="shared" si="3"/>
        <v>#DIV/0!</v>
      </c>
    </row>
    <row r="50" spans="1:5" s="113" customFormat="1" ht="20.25" hidden="1" customHeight="1">
      <c r="A50" s="415"/>
      <c r="B50" s="525" t="s">
        <v>566</v>
      </c>
      <c r="C50" s="513"/>
      <c r="D50" s="515"/>
      <c r="E50" s="511" t="e">
        <f t="shared" si="3"/>
        <v>#DIV/0!</v>
      </c>
    </row>
    <row r="51" spans="1:5" s="113" customFormat="1" ht="20.25" hidden="1" customHeight="1">
      <c r="A51" s="415" t="s">
        <v>364</v>
      </c>
      <c r="B51" s="524" t="s">
        <v>660</v>
      </c>
      <c r="C51" s="513"/>
      <c r="D51" s="513"/>
      <c r="E51" s="511" t="e">
        <f t="shared" si="3"/>
        <v>#DIV/0!</v>
      </c>
    </row>
    <row r="52" spans="1:5" s="113" customFormat="1" ht="20.25" hidden="1" customHeight="1">
      <c r="A52" s="415"/>
      <c r="B52" s="524" t="s">
        <v>413</v>
      </c>
      <c r="C52" s="513"/>
      <c r="D52" s="513"/>
      <c r="E52" s="511" t="e">
        <f t="shared" si="3"/>
        <v>#DIV/0!</v>
      </c>
    </row>
    <row r="53" spans="1:5" s="113" customFormat="1" ht="33.75" hidden="1" customHeight="1">
      <c r="A53" s="415"/>
      <c r="B53" s="526" t="s">
        <v>567</v>
      </c>
      <c r="C53" s="513"/>
      <c r="D53" s="515"/>
      <c r="E53" s="511" t="e">
        <f t="shared" si="3"/>
        <v>#DIV/0!</v>
      </c>
    </row>
    <row r="54" spans="1:5" s="113" customFormat="1" ht="33.75" hidden="1" customHeight="1">
      <c r="A54" s="415"/>
      <c r="B54" s="526" t="s">
        <v>568</v>
      </c>
      <c r="C54" s="513"/>
      <c r="D54" s="515"/>
      <c r="E54" s="511" t="e">
        <f t="shared" si="3"/>
        <v>#DIV/0!</v>
      </c>
    </row>
    <row r="55" spans="1:5" s="113" customFormat="1" ht="20.25" hidden="1" customHeight="1">
      <c r="A55" s="415"/>
      <c r="B55" s="526" t="s">
        <v>317</v>
      </c>
      <c r="C55" s="513"/>
      <c r="D55" s="513">
        <v>0</v>
      </c>
      <c r="E55" s="511" t="e">
        <f t="shared" si="3"/>
        <v>#DIV/0!</v>
      </c>
    </row>
    <row r="56" spans="1:5" s="113" customFormat="1" ht="20.25" hidden="1" customHeight="1">
      <c r="A56" s="415"/>
      <c r="B56" s="526" t="s">
        <v>569</v>
      </c>
      <c r="C56" s="513"/>
      <c r="D56" s="513">
        <v>0</v>
      </c>
      <c r="E56" s="511" t="e">
        <f t="shared" si="3"/>
        <v>#DIV/0!</v>
      </c>
    </row>
    <row r="57" spans="1:5" s="113" customFormat="1" ht="20.25" hidden="1" customHeight="1">
      <c r="A57" s="415"/>
      <c r="B57" s="524" t="s">
        <v>661</v>
      </c>
      <c r="C57" s="513"/>
      <c r="D57" s="513"/>
      <c r="E57" s="511" t="e">
        <f t="shared" si="3"/>
        <v>#DIV/0!</v>
      </c>
    </row>
    <row r="58" spans="1:5" s="113" customFormat="1" ht="42" hidden="1" customHeight="1">
      <c r="A58" s="415"/>
      <c r="B58" s="526" t="s">
        <v>570</v>
      </c>
      <c r="C58" s="513"/>
      <c r="D58" s="515"/>
      <c r="E58" s="511" t="e">
        <f t="shared" si="3"/>
        <v>#DIV/0!</v>
      </c>
    </row>
    <row r="59" spans="1:5" s="113" customFormat="1" ht="20.25" hidden="1" customHeight="1">
      <c r="A59" s="415"/>
      <c r="B59" s="526" t="s">
        <v>571</v>
      </c>
      <c r="C59" s="513"/>
      <c r="D59" s="513">
        <v>0</v>
      </c>
      <c r="E59" s="511" t="e">
        <f t="shared" si="3"/>
        <v>#DIV/0!</v>
      </c>
    </row>
    <row r="60" spans="1:5" s="113" customFormat="1" ht="41.25" hidden="1" customHeight="1">
      <c r="A60" s="415"/>
      <c r="B60" s="526" t="s">
        <v>572</v>
      </c>
      <c r="C60" s="513"/>
      <c r="D60" s="515"/>
      <c r="E60" s="511" t="e">
        <f t="shared" si="3"/>
        <v>#DIV/0!</v>
      </c>
    </row>
    <row r="61" spans="1:5" s="113" customFormat="1" ht="20.25" hidden="1" customHeight="1">
      <c r="A61" s="415"/>
      <c r="B61" s="524" t="s">
        <v>573</v>
      </c>
      <c r="C61" s="513"/>
      <c r="D61" s="513">
        <v>0</v>
      </c>
      <c r="E61" s="511" t="e">
        <f t="shared" si="3"/>
        <v>#DIV/0!</v>
      </c>
    </row>
    <row r="62" spans="1:5" s="113" customFormat="1" ht="20.25" hidden="1" customHeight="1">
      <c r="A62" s="415"/>
      <c r="B62" s="526" t="s">
        <v>574</v>
      </c>
      <c r="C62" s="513"/>
      <c r="D62" s="513">
        <v>0</v>
      </c>
      <c r="E62" s="511" t="e">
        <f t="shared" si="3"/>
        <v>#DIV/0!</v>
      </c>
    </row>
    <row r="63" spans="1:5" s="113" customFormat="1" ht="20.25" hidden="1" customHeight="1">
      <c r="A63" s="415" t="s">
        <v>446</v>
      </c>
      <c r="B63" s="524" t="s">
        <v>670</v>
      </c>
      <c r="C63" s="513"/>
      <c r="D63" s="513"/>
      <c r="E63" s="511" t="e">
        <f t="shared" si="3"/>
        <v>#DIV/0!</v>
      </c>
    </row>
    <row r="64" spans="1:5" s="113" customFormat="1" ht="20.25" hidden="1" customHeight="1">
      <c r="A64" s="415" t="s">
        <v>364</v>
      </c>
      <c r="B64" s="524" t="s">
        <v>662</v>
      </c>
      <c r="C64" s="513"/>
      <c r="D64" s="513"/>
      <c r="E64" s="511" t="e">
        <f t="shared" si="3"/>
        <v>#DIV/0!</v>
      </c>
    </row>
    <row r="65" spans="1:5" s="113" customFormat="1" ht="20.25" hidden="1" customHeight="1">
      <c r="A65" s="415"/>
      <c r="B65" s="526" t="s">
        <v>575</v>
      </c>
      <c r="C65" s="513"/>
      <c r="D65" s="515"/>
      <c r="E65" s="511" t="e">
        <f t="shared" si="3"/>
        <v>#DIV/0!</v>
      </c>
    </row>
    <row r="66" spans="1:5" s="113" customFormat="1" ht="20.25" hidden="1" customHeight="1">
      <c r="A66" s="415"/>
      <c r="B66" s="526" t="s">
        <v>576</v>
      </c>
      <c r="C66" s="513"/>
      <c r="D66" s="515"/>
      <c r="E66" s="511" t="e">
        <f t="shared" si="3"/>
        <v>#DIV/0!</v>
      </c>
    </row>
    <row r="67" spans="1:5" s="113" customFormat="1" ht="20.25" hidden="1" customHeight="1">
      <c r="A67" s="415" t="s">
        <v>364</v>
      </c>
      <c r="B67" s="524" t="s">
        <v>309</v>
      </c>
      <c r="C67" s="513"/>
      <c r="D67" s="513"/>
      <c r="E67" s="511" t="e">
        <f t="shared" si="3"/>
        <v>#DIV/0!</v>
      </c>
    </row>
    <row r="68" spans="1:5" s="113" customFormat="1" ht="20.25" hidden="1" customHeight="1">
      <c r="A68" s="415"/>
      <c r="B68" s="526" t="s">
        <v>577</v>
      </c>
      <c r="C68" s="513"/>
      <c r="D68" s="513">
        <v>0</v>
      </c>
      <c r="E68" s="511" t="e">
        <f t="shared" si="3"/>
        <v>#DIV/0!</v>
      </c>
    </row>
    <row r="69" spans="1:5" s="113" customFormat="1" ht="20.25" hidden="1" customHeight="1">
      <c r="A69" s="415"/>
      <c r="B69" s="527" t="s">
        <v>436</v>
      </c>
      <c r="C69" s="513"/>
      <c r="D69" s="513">
        <v>0</v>
      </c>
      <c r="E69" s="511" t="e">
        <f t="shared" si="3"/>
        <v>#DIV/0!</v>
      </c>
    </row>
    <row r="70" spans="1:5" s="113" customFormat="1" ht="20.25" hidden="1" customHeight="1">
      <c r="A70" s="415"/>
      <c r="B70" s="527" t="s">
        <v>437</v>
      </c>
      <c r="C70" s="513"/>
      <c r="D70" s="513">
        <v>0</v>
      </c>
      <c r="E70" s="511" t="e">
        <f t="shared" si="3"/>
        <v>#DIV/0!</v>
      </c>
    </row>
    <row r="71" spans="1:5" s="113" customFormat="1" ht="20.25" hidden="1" customHeight="1">
      <c r="A71" s="415"/>
      <c r="B71" s="527" t="s">
        <v>438</v>
      </c>
      <c r="C71" s="513"/>
      <c r="D71" s="513">
        <v>0</v>
      </c>
      <c r="E71" s="511" t="e">
        <f t="shared" si="3"/>
        <v>#DIV/0!</v>
      </c>
    </row>
    <row r="72" spans="1:5" s="113" customFormat="1" ht="20.25" customHeight="1">
      <c r="A72" s="415">
        <v>2</v>
      </c>
      <c r="B72" s="524" t="s">
        <v>663</v>
      </c>
      <c r="C72" s="513">
        <f>C73+C74</f>
        <v>210875000000</v>
      </c>
      <c r="D72" s="513">
        <f>D73+D74</f>
        <v>158991000563</v>
      </c>
      <c r="E72" s="511">
        <f t="shared" si="3"/>
        <v>0.75395850889389449</v>
      </c>
    </row>
    <row r="73" spans="1:5" s="113" customFormat="1" ht="20.25" customHeight="1">
      <c r="A73" s="415" t="s">
        <v>364</v>
      </c>
      <c r="B73" s="524" t="s">
        <v>308</v>
      </c>
      <c r="C73" s="513">
        <f>C76+C117+C140</f>
        <v>83500000000</v>
      </c>
      <c r="D73" s="513">
        <f>D76+D117+D140</f>
        <v>82420412000</v>
      </c>
      <c r="E73" s="511">
        <f t="shared" si="3"/>
        <v>0.98707080239520961</v>
      </c>
    </row>
    <row r="74" spans="1:5" s="113" customFormat="1" ht="20.25" customHeight="1">
      <c r="A74" s="415" t="s">
        <v>364</v>
      </c>
      <c r="B74" s="524" t="s">
        <v>309</v>
      </c>
      <c r="C74" s="513">
        <f>C77+C118+C141</f>
        <v>127375000000</v>
      </c>
      <c r="D74" s="513">
        <f>D77+D118+D141</f>
        <v>76570588563</v>
      </c>
      <c r="E74" s="511">
        <f t="shared" si="3"/>
        <v>0.60114299166241414</v>
      </c>
    </row>
    <row r="75" spans="1:5" s="113" customFormat="1" ht="42" customHeight="1">
      <c r="A75" s="415" t="s">
        <v>261</v>
      </c>
      <c r="B75" s="528" t="s">
        <v>664</v>
      </c>
      <c r="C75" s="513">
        <f>C76+C77</f>
        <v>161997000000</v>
      </c>
      <c r="D75" s="513">
        <f>D76+D77</f>
        <v>123488608887</v>
      </c>
      <c r="E75" s="511">
        <f t="shared" si="3"/>
        <v>0.76228947997185137</v>
      </c>
    </row>
    <row r="76" spans="1:5" s="113" customFormat="1" ht="20.25" customHeight="1">
      <c r="A76" s="415" t="s">
        <v>364</v>
      </c>
      <c r="B76" s="524" t="s">
        <v>308</v>
      </c>
      <c r="C76" s="513">
        <v>83500000000</v>
      </c>
      <c r="D76" s="513">
        <v>74453314000</v>
      </c>
      <c r="E76" s="511">
        <f t="shared" si="3"/>
        <v>0.89165645508982039</v>
      </c>
    </row>
    <row r="77" spans="1:5" s="113" customFormat="1" ht="20.25" customHeight="1">
      <c r="A77" s="415" t="s">
        <v>364</v>
      </c>
      <c r="B77" s="524" t="s">
        <v>309</v>
      </c>
      <c r="C77" s="513">
        <f>C78+C85+C90+C94+C99+C101+C104+C112</f>
        <v>78497000000</v>
      </c>
      <c r="D77" s="513">
        <f>D78+D85+D90+D94+D99+D101+D104+D112</f>
        <v>49035294887</v>
      </c>
      <c r="E77" s="511">
        <f t="shared" si="3"/>
        <v>0.62467731106921287</v>
      </c>
    </row>
    <row r="78" spans="1:5" s="113" customFormat="1" ht="37.5" customHeight="1">
      <c r="A78" s="415"/>
      <c r="B78" s="529" t="s">
        <v>578</v>
      </c>
      <c r="C78" s="513">
        <f>C79+C82</f>
        <v>4318000000</v>
      </c>
      <c r="D78" s="513">
        <f>D79+D82</f>
        <v>4191536000</v>
      </c>
      <c r="E78" s="511">
        <f t="shared" si="3"/>
        <v>0.97071236683649842</v>
      </c>
    </row>
    <row r="79" spans="1:5" ht="20.25" customHeight="1">
      <c r="A79" s="514"/>
      <c r="B79" s="530" t="s">
        <v>579</v>
      </c>
      <c r="C79" s="515">
        <f>C81</f>
        <v>2018000000</v>
      </c>
      <c r="D79" s="515">
        <v>0</v>
      </c>
      <c r="E79" s="516">
        <f t="shared" si="3"/>
        <v>0</v>
      </c>
    </row>
    <row r="80" spans="1:5" ht="20.25" hidden="1" customHeight="1">
      <c r="A80" s="514"/>
      <c r="B80" s="530" t="s">
        <v>580</v>
      </c>
      <c r="C80" s="515"/>
      <c r="D80" s="515">
        <v>0</v>
      </c>
      <c r="E80" s="516" t="e">
        <f t="shared" si="3"/>
        <v>#DIV/0!</v>
      </c>
    </row>
    <row r="81" spans="1:5" ht="20.25" customHeight="1">
      <c r="A81" s="514"/>
      <c r="B81" s="530" t="s">
        <v>581</v>
      </c>
      <c r="C81" s="515">
        <v>2018000000</v>
      </c>
      <c r="D81" s="515">
        <v>0</v>
      </c>
      <c r="E81" s="516">
        <f t="shared" si="3"/>
        <v>0</v>
      </c>
    </row>
    <row r="82" spans="1:5" ht="20.25" customHeight="1">
      <c r="A82" s="514"/>
      <c r="B82" s="530" t="s">
        <v>582</v>
      </c>
      <c r="C82" s="515">
        <f>C83</f>
        <v>2300000000</v>
      </c>
      <c r="D82" s="515">
        <f>D83</f>
        <v>4191536000</v>
      </c>
      <c r="E82" s="516">
        <f t="shared" si="3"/>
        <v>1.8224069565217391</v>
      </c>
    </row>
    <row r="83" spans="1:5" ht="20.25" customHeight="1">
      <c r="A83" s="514"/>
      <c r="B83" s="530" t="s">
        <v>581</v>
      </c>
      <c r="C83" s="515">
        <v>2300000000</v>
      </c>
      <c r="D83" s="515">
        <v>4191536000</v>
      </c>
      <c r="E83" s="516">
        <f t="shared" si="3"/>
        <v>1.8224069565217391</v>
      </c>
    </row>
    <row r="84" spans="1:5" s="113" customFormat="1" ht="20.25" hidden="1" customHeight="1">
      <c r="A84" s="415"/>
      <c r="B84" s="530" t="s">
        <v>583</v>
      </c>
      <c r="C84" s="513"/>
      <c r="D84" s="515">
        <v>535000000</v>
      </c>
      <c r="E84" s="511" t="e">
        <f t="shared" si="3"/>
        <v>#DIV/0!</v>
      </c>
    </row>
    <row r="85" spans="1:5" s="113" customFormat="1" ht="71.25" customHeight="1">
      <c r="A85" s="415"/>
      <c r="B85" s="529" t="s">
        <v>584</v>
      </c>
      <c r="C85" s="513">
        <f>C87</f>
        <v>48590000000</v>
      </c>
      <c r="D85" s="513">
        <f>D87</f>
        <v>34884499547</v>
      </c>
      <c r="E85" s="511">
        <f t="shared" si="3"/>
        <v>0.71793577993414281</v>
      </c>
    </row>
    <row r="86" spans="1:5" s="113" customFormat="1" ht="32.25" hidden="1" customHeight="1">
      <c r="A86" s="415"/>
      <c r="B86" s="530" t="s">
        <v>585</v>
      </c>
      <c r="C86" s="513"/>
      <c r="D86" s="513">
        <v>0</v>
      </c>
      <c r="E86" s="511" t="e">
        <f t="shared" si="3"/>
        <v>#DIV/0!</v>
      </c>
    </row>
    <row r="87" spans="1:5" ht="69" customHeight="1">
      <c r="A87" s="514"/>
      <c r="B87" s="530" t="s">
        <v>586</v>
      </c>
      <c r="C87" s="515">
        <f>C89</f>
        <v>48590000000</v>
      </c>
      <c r="D87" s="515">
        <f>D89</f>
        <v>34884499547</v>
      </c>
      <c r="E87" s="516">
        <f t="shared" si="3"/>
        <v>0.71793577993414281</v>
      </c>
    </row>
    <row r="88" spans="1:5" ht="20.25" hidden="1" customHeight="1">
      <c r="A88" s="514"/>
      <c r="B88" s="530" t="s">
        <v>587</v>
      </c>
      <c r="C88" s="515"/>
      <c r="D88" s="515">
        <v>0</v>
      </c>
      <c r="E88" s="516" t="e">
        <f t="shared" si="3"/>
        <v>#DIV/0!</v>
      </c>
    </row>
    <row r="89" spans="1:5" ht="25.5" customHeight="1">
      <c r="A89" s="514"/>
      <c r="B89" s="530" t="s">
        <v>581</v>
      </c>
      <c r="C89" s="515">
        <v>48590000000</v>
      </c>
      <c r="D89" s="515">
        <v>34884499547</v>
      </c>
      <c r="E89" s="516">
        <f t="shared" si="3"/>
        <v>0.71793577993414281</v>
      </c>
    </row>
    <row r="90" spans="1:5" s="113" customFormat="1" ht="69" customHeight="1">
      <c r="A90" s="415"/>
      <c r="B90" s="531" t="s">
        <v>588</v>
      </c>
      <c r="C90" s="513">
        <f>C91</f>
        <v>5260000000</v>
      </c>
      <c r="D90" s="513">
        <f>D91</f>
        <v>4060880000</v>
      </c>
      <c r="E90" s="511">
        <f t="shared" si="3"/>
        <v>0.77203041825095053</v>
      </c>
    </row>
    <row r="91" spans="1:5" s="113" customFormat="1" ht="59.25" customHeight="1">
      <c r="A91" s="415"/>
      <c r="B91" s="532" t="s">
        <v>589</v>
      </c>
      <c r="C91" s="515">
        <v>5260000000</v>
      </c>
      <c r="D91" s="515">
        <v>4060880000</v>
      </c>
      <c r="E91" s="516">
        <f t="shared" si="3"/>
        <v>0.77203041825095053</v>
      </c>
    </row>
    <row r="92" spans="1:5" s="113" customFormat="1" ht="22.5" hidden="1" customHeight="1">
      <c r="A92" s="415"/>
      <c r="B92" s="533" t="s">
        <v>590</v>
      </c>
      <c r="C92" s="513"/>
      <c r="D92" s="515"/>
      <c r="E92" s="511" t="e">
        <f t="shared" si="3"/>
        <v>#DIV/0!</v>
      </c>
    </row>
    <row r="93" spans="1:5" s="113" customFormat="1" ht="22.5" hidden="1" customHeight="1">
      <c r="A93" s="415"/>
      <c r="B93" s="530" t="s">
        <v>591</v>
      </c>
      <c r="C93" s="534"/>
      <c r="D93" s="515"/>
      <c r="E93" s="511" t="e">
        <f t="shared" si="3"/>
        <v>#DIV/0!</v>
      </c>
    </row>
    <row r="94" spans="1:5" s="113" customFormat="1" ht="40.5" customHeight="1">
      <c r="A94" s="415"/>
      <c r="B94" s="529" t="s">
        <v>592</v>
      </c>
      <c r="C94" s="513">
        <f>C96+C97</f>
        <v>12674000000</v>
      </c>
      <c r="D94" s="513">
        <f>D96+D97</f>
        <v>1323768000</v>
      </c>
      <c r="E94" s="511">
        <f t="shared" si="3"/>
        <v>0.10444753037715007</v>
      </c>
    </row>
    <row r="95" spans="1:5" s="113" customFormat="1" ht="31.5" hidden="1" customHeight="1">
      <c r="A95" s="415"/>
      <c r="B95" s="530" t="s">
        <v>593</v>
      </c>
      <c r="C95" s="513"/>
      <c r="D95" s="513">
        <v>0</v>
      </c>
      <c r="E95" s="511" t="e">
        <f t="shared" si="3"/>
        <v>#DIV/0!</v>
      </c>
    </row>
    <row r="96" spans="1:5" ht="73.5" customHeight="1">
      <c r="A96" s="514"/>
      <c r="B96" s="530" t="s">
        <v>830</v>
      </c>
      <c r="C96" s="515">
        <v>1631000000</v>
      </c>
      <c r="D96" s="515"/>
      <c r="E96" s="511"/>
    </row>
    <row r="97" spans="1:5" ht="78" customHeight="1">
      <c r="A97" s="514"/>
      <c r="B97" s="530" t="s">
        <v>595</v>
      </c>
      <c r="C97" s="515">
        <v>11043000000</v>
      </c>
      <c r="D97" s="515">
        <v>1323768000</v>
      </c>
      <c r="E97" s="516">
        <f t="shared" si="3"/>
        <v>0.11987394729693018</v>
      </c>
    </row>
    <row r="98" spans="1:5" s="113" customFormat="1" ht="47.25" hidden="1">
      <c r="A98" s="415"/>
      <c r="B98" s="530" t="s">
        <v>596</v>
      </c>
      <c r="C98" s="513"/>
      <c r="D98" s="513">
        <v>0</v>
      </c>
      <c r="E98" s="511" t="e">
        <f t="shared" si="3"/>
        <v>#DIV/0!</v>
      </c>
    </row>
    <row r="99" spans="1:5" s="113" customFormat="1" ht="78" customHeight="1">
      <c r="A99" s="415"/>
      <c r="B99" s="529" t="s">
        <v>597</v>
      </c>
      <c r="C99" s="513">
        <v>483000000</v>
      </c>
      <c r="D99" s="513">
        <v>685210000</v>
      </c>
      <c r="E99" s="511">
        <f t="shared" si="3"/>
        <v>1.4186542443064183</v>
      </c>
    </row>
    <row r="100" spans="1:5" s="113" customFormat="1" ht="63" hidden="1">
      <c r="A100" s="415"/>
      <c r="B100" s="529" t="s">
        <v>598</v>
      </c>
      <c r="C100" s="513"/>
      <c r="D100" s="513">
        <v>0</v>
      </c>
      <c r="E100" s="511" t="e">
        <f t="shared" si="3"/>
        <v>#DIV/0!</v>
      </c>
    </row>
    <row r="101" spans="1:5" s="113" customFormat="1" ht="47.25">
      <c r="A101" s="415"/>
      <c r="B101" s="529" t="s">
        <v>599</v>
      </c>
      <c r="C101" s="513">
        <f>C103</f>
        <v>3846000000</v>
      </c>
      <c r="D101" s="513">
        <f>D103</f>
        <v>1850393160</v>
      </c>
      <c r="E101" s="511">
        <f t="shared" si="3"/>
        <v>0.48112146645865833</v>
      </c>
    </row>
    <row r="102" spans="1:5" s="113" customFormat="1" hidden="1">
      <c r="A102" s="415"/>
      <c r="B102" s="530" t="s">
        <v>581</v>
      </c>
      <c r="C102" s="513"/>
      <c r="D102" s="513">
        <v>0</v>
      </c>
      <c r="E102" s="511" t="e">
        <f t="shared" si="3"/>
        <v>#DIV/0!</v>
      </c>
    </row>
    <row r="103" spans="1:5" ht="24.75" customHeight="1">
      <c r="A103" s="514"/>
      <c r="B103" s="530" t="s">
        <v>583</v>
      </c>
      <c r="C103" s="515">
        <v>3846000000</v>
      </c>
      <c r="D103" s="515">
        <v>1850393160</v>
      </c>
      <c r="E103" s="516">
        <f t="shared" si="3"/>
        <v>0.48112146645865833</v>
      </c>
    </row>
    <row r="104" spans="1:5" s="113" customFormat="1" ht="57" customHeight="1">
      <c r="A104" s="415"/>
      <c r="B104" s="529" t="s">
        <v>600</v>
      </c>
      <c r="C104" s="513">
        <f>C109</f>
        <v>816000000</v>
      </c>
      <c r="D104" s="513">
        <f>D109</f>
        <v>255129180</v>
      </c>
      <c r="E104" s="511">
        <f t="shared" si="3"/>
        <v>0.31265830882352941</v>
      </c>
    </row>
    <row r="105" spans="1:5" s="113" customFormat="1" ht="20.25" hidden="1" customHeight="1">
      <c r="A105" s="415"/>
      <c r="B105" s="530" t="s">
        <v>601</v>
      </c>
      <c r="C105" s="513"/>
      <c r="D105" s="513">
        <v>0</v>
      </c>
      <c r="E105" s="511" t="e">
        <f t="shared" ref="E105:E168" si="4">D105/C105</f>
        <v>#DIV/0!</v>
      </c>
    </row>
    <row r="106" spans="1:5" s="113" customFormat="1" ht="20.25" hidden="1" customHeight="1">
      <c r="A106" s="415"/>
      <c r="B106" s="530" t="s">
        <v>602</v>
      </c>
      <c r="C106" s="513"/>
      <c r="D106" s="513">
        <v>0</v>
      </c>
      <c r="E106" s="511" t="e">
        <f t="shared" si="4"/>
        <v>#DIV/0!</v>
      </c>
    </row>
    <row r="107" spans="1:5" s="113" customFormat="1" ht="20.25" hidden="1" customHeight="1">
      <c r="A107" s="415"/>
      <c r="B107" s="530" t="s">
        <v>603</v>
      </c>
      <c r="C107" s="513"/>
      <c r="D107" s="513">
        <v>0</v>
      </c>
      <c r="E107" s="511" t="e">
        <f t="shared" si="4"/>
        <v>#DIV/0!</v>
      </c>
    </row>
    <row r="108" spans="1:5" s="113" customFormat="1" ht="20.25" hidden="1" customHeight="1">
      <c r="A108" s="415"/>
      <c r="B108" s="530" t="s">
        <v>604</v>
      </c>
      <c r="C108" s="513"/>
      <c r="D108" s="513">
        <v>0</v>
      </c>
      <c r="E108" s="511" t="e">
        <f t="shared" si="4"/>
        <v>#DIV/0!</v>
      </c>
    </row>
    <row r="109" spans="1:5" ht="54.75" customHeight="1">
      <c r="A109" s="514"/>
      <c r="B109" s="530" t="s">
        <v>605</v>
      </c>
      <c r="C109" s="515">
        <f>C111</f>
        <v>816000000</v>
      </c>
      <c r="D109" s="515">
        <f>D111</f>
        <v>255129180</v>
      </c>
      <c r="E109" s="516">
        <f t="shared" si="4"/>
        <v>0.31265830882352941</v>
      </c>
    </row>
    <row r="110" spans="1:5" ht="21" hidden="1" customHeight="1">
      <c r="A110" s="514"/>
      <c r="B110" s="530" t="s">
        <v>581</v>
      </c>
      <c r="C110" s="515"/>
      <c r="D110" s="515"/>
      <c r="E110" s="516" t="e">
        <f t="shared" si="4"/>
        <v>#DIV/0!</v>
      </c>
    </row>
    <row r="111" spans="1:5" ht="20.25" customHeight="1">
      <c r="A111" s="514"/>
      <c r="B111" s="530" t="s">
        <v>583</v>
      </c>
      <c r="C111" s="515">
        <v>816000000</v>
      </c>
      <c r="D111" s="515">
        <v>255129180</v>
      </c>
      <c r="E111" s="516">
        <f t="shared" si="4"/>
        <v>0.31265830882352941</v>
      </c>
    </row>
    <row r="112" spans="1:5" s="113" customFormat="1" ht="75.75" customHeight="1">
      <c r="A112" s="415"/>
      <c r="B112" s="529" t="s">
        <v>606</v>
      </c>
      <c r="C112" s="513">
        <f>C113+C114+C115</f>
        <v>2510000000</v>
      </c>
      <c r="D112" s="513">
        <f>D113+D114+D115</f>
        <v>1783879000</v>
      </c>
      <c r="E112" s="511">
        <f t="shared" si="4"/>
        <v>0.71070876494023905</v>
      </c>
    </row>
    <row r="113" spans="1:5" ht="138" customHeight="1">
      <c r="A113" s="514"/>
      <c r="B113" s="530" t="s">
        <v>607</v>
      </c>
      <c r="C113" s="515">
        <v>1527000000</v>
      </c>
      <c r="D113" s="515">
        <v>1232922000</v>
      </c>
      <c r="E113" s="516">
        <f t="shared" si="4"/>
        <v>0.80741453831041254</v>
      </c>
    </row>
    <row r="114" spans="1:5" ht="72.75" customHeight="1">
      <c r="A114" s="514"/>
      <c r="B114" s="530" t="s">
        <v>608</v>
      </c>
      <c r="C114" s="515">
        <v>432000000</v>
      </c>
      <c r="D114" s="515">
        <v>500332000</v>
      </c>
      <c r="E114" s="516">
        <f t="shared" si="4"/>
        <v>1.1581759259259259</v>
      </c>
    </row>
    <row r="115" spans="1:5" ht="62.25" customHeight="1">
      <c r="A115" s="514"/>
      <c r="B115" s="530" t="s">
        <v>609</v>
      </c>
      <c r="C115" s="515">
        <v>551000000</v>
      </c>
      <c r="D115" s="515">
        <v>50625000</v>
      </c>
      <c r="E115" s="516">
        <f t="shared" si="4"/>
        <v>9.1878402903811246E-2</v>
      </c>
    </row>
    <row r="116" spans="1:5" s="113" customFormat="1" ht="22.5" customHeight="1">
      <c r="A116" s="415" t="s">
        <v>263</v>
      </c>
      <c r="B116" s="535" t="s">
        <v>665</v>
      </c>
      <c r="C116" s="513">
        <f>C117+C118</f>
        <v>48468000000</v>
      </c>
      <c r="D116" s="513">
        <f>D117+D118</f>
        <v>27062100776</v>
      </c>
      <c r="E116" s="511">
        <f t="shared" si="4"/>
        <v>0.55834985507964019</v>
      </c>
    </row>
    <row r="117" spans="1:5" s="113" customFormat="1" ht="22.5" customHeight="1">
      <c r="A117" s="415" t="s">
        <v>364</v>
      </c>
      <c r="B117" s="529" t="s">
        <v>308</v>
      </c>
      <c r="C117" s="513"/>
      <c r="D117" s="513"/>
      <c r="E117" s="511"/>
    </row>
    <row r="118" spans="1:5" s="113" customFormat="1" ht="22.5" customHeight="1">
      <c r="A118" s="415" t="s">
        <v>364</v>
      </c>
      <c r="B118" s="529" t="s">
        <v>309</v>
      </c>
      <c r="C118" s="513">
        <f>C119+C122+C123+C126+C132+C133+C136</f>
        <v>48468000000</v>
      </c>
      <c r="D118" s="513">
        <f>D119+D122+D123+D126+D132+D133+D136</f>
        <v>27062100776</v>
      </c>
      <c r="E118" s="511">
        <f t="shared" si="4"/>
        <v>0.55834985507964019</v>
      </c>
    </row>
    <row r="119" spans="1:5" s="113" customFormat="1" ht="39" customHeight="1">
      <c r="A119" s="415"/>
      <c r="B119" s="529" t="s">
        <v>610</v>
      </c>
      <c r="C119" s="513">
        <f>C120+C121</f>
        <v>10714000000</v>
      </c>
      <c r="D119" s="513">
        <f>D120+D121</f>
        <v>9300129000</v>
      </c>
      <c r="E119" s="511">
        <f t="shared" si="4"/>
        <v>0.86803518760500276</v>
      </c>
    </row>
    <row r="120" spans="1:5" s="113" customFormat="1" ht="47.25">
      <c r="A120" s="415"/>
      <c r="B120" s="532" t="s">
        <v>611</v>
      </c>
      <c r="C120" s="515">
        <v>4304000000</v>
      </c>
      <c r="D120" s="515">
        <v>2890129000</v>
      </c>
      <c r="E120" s="516">
        <f t="shared" si="4"/>
        <v>0.671498373605948</v>
      </c>
    </row>
    <row r="121" spans="1:5" s="113" customFormat="1" ht="54.75" customHeight="1">
      <c r="A121" s="415"/>
      <c r="B121" s="530" t="s">
        <v>612</v>
      </c>
      <c r="C121" s="515">
        <v>6410000000</v>
      </c>
      <c r="D121" s="515">
        <v>6410000000</v>
      </c>
      <c r="E121" s="516">
        <f t="shared" si="4"/>
        <v>1</v>
      </c>
    </row>
    <row r="122" spans="1:5" s="113" customFormat="1" ht="42" customHeight="1">
      <c r="A122" s="415"/>
      <c r="B122" s="529" t="s">
        <v>613</v>
      </c>
      <c r="C122" s="513">
        <v>11123000000</v>
      </c>
      <c r="D122" s="513">
        <v>0</v>
      </c>
      <c r="E122" s="511">
        <f t="shared" si="4"/>
        <v>0</v>
      </c>
    </row>
    <row r="123" spans="1:5" s="113" customFormat="1" ht="43.5" customHeight="1">
      <c r="A123" s="415"/>
      <c r="B123" s="529" t="s">
        <v>614</v>
      </c>
      <c r="C123" s="513">
        <f>C124+C125</f>
        <v>6623000000</v>
      </c>
      <c r="D123" s="513">
        <f>D124+D125</f>
        <v>1796150000</v>
      </c>
      <c r="E123" s="511">
        <f t="shared" si="4"/>
        <v>0.27119885248376868</v>
      </c>
    </row>
    <row r="124" spans="1:5" s="113" customFormat="1" ht="40.5" customHeight="1">
      <c r="A124" s="415"/>
      <c r="B124" s="530" t="s">
        <v>615</v>
      </c>
      <c r="C124" s="515">
        <v>4808000000</v>
      </c>
      <c r="D124" s="515">
        <v>0</v>
      </c>
      <c r="E124" s="516">
        <f t="shared" si="4"/>
        <v>0</v>
      </c>
    </row>
    <row r="125" spans="1:5" s="113" customFormat="1" ht="40.5" customHeight="1">
      <c r="A125" s="415"/>
      <c r="B125" s="530" t="s">
        <v>616</v>
      </c>
      <c r="C125" s="515">
        <v>1815000000</v>
      </c>
      <c r="D125" s="515">
        <v>1796150000</v>
      </c>
      <c r="E125" s="516">
        <f t="shared" si="4"/>
        <v>0.98961432506887048</v>
      </c>
    </row>
    <row r="126" spans="1:5" s="113" customFormat="1" ht="42" customHeight="1">
      <c r="A126" s="415"/>
      <c r="B126" s="529" t="s">
        <v>617</v>
      </c>
      <c r="C126" s="513">
        <f>C127+C130+C131</f>
        <v>5566000000</v>
      </c>
      <c r="D126" s="513">
        <f>D127+D130+D131</f>
        <v>1785544700</v>
      </c>
      <c r="E126" s="511">
        <f t="shared" si="4"/>
        <v>0.32079495149119652</v>
      </c>
    </row>
    <row r="127" spans="1:5" s="113" customFormat="1" ht="40.5" customHeight="1">
      <c r="A127" s="415"/>
      <c r="B127" s="530" t="s">
        <v>618</v>
      </c>
      <c r="C127" s="515">
        <f>C128+C129</f>
        <v>3450000000</v>
      </c>
      <c r="D127" s="515">
        <f>D128+D129</f>
        <v>1387780900</v>
      </c>
      <c r="E127" s="516">
        <f t="shared" si="4"/>
        <v>0.40225533333333335</v>
      </c>
    </row>
    <row r="128" spans="1:5" s="113" customFormat="1" ht="40.5" customHeight="1">
      <c r="A128" s="415"/>
      <c r="B128" s="530" t="s">
        <v>619</v>
      </c>
      <c r="C128" s="515">
        <v>1816000000</v>
      </c>
      <c r="D128" s="515">
        <v>0</v>
      </c>
      <c r="E128" s="516">
        <f t="shared" si="4"/>
        <v>0</v>
      </c>
    </row>
    <row r="129" spans="1:5" s="113" customFormat="1" ht="40.5" customHeight="1">
      <c r="A129" s="415"/>
      <c r="B129" s="530" t="s">
        <v>620</v>
      </c>
      <c r="C129" s="515">
        <v>1634000000</v>
      </c>
      <c r="D129" s="515">
        <v>1387780900</v>
      </c>
      <c r="E129" s="516">
        <f t="shared" si="4"/>
        <v>0.84931511627906975</v>
      </c>
    </row>
    <row r="130" spans="1:5" s="113" customFormat="1" ht="41.25" customHeight="1">
      <c r="A130" s="415"/>
      <c r="B130" s="530" t="s">
        <v>621</v>
      </c>
      <c r="C130" s="515">
        <v>979000000</v>
      </c>
      <c r="D130" s="515">
        <v>14100000</v>
      </c>
      <c r="E130" s="516">
        <f t="shared" si="4"/>
        <v>1.4402451481103166E-2</v>
      </c>
    </row>
    <row r="131" spans="1:5" s="113" customFormat="1" ht="41.25" customHeight="1">
      <c r="A131" s="415"/>
      <c r="B131" s="530" t="s">
        <v>622</v>
      </c>
      <c r="C131" s="515">
        <v>1137000000</v>
      </c>
      <c r="D131" s="515">
        <v>383663800</v>
      </c>
      <c r="E131" s="516">
        <f t="shared" si="4"/>
        <v>0.33743518029903252</v>
      </c>
    </row>
    <row r="132" spans="1:5" s="113" customFormat="1" ht="61.5" customHeight="1">
      <c r="A132" s="415"/>
      <c r="B132" s="529" t="s">
        <v>623</v>
      </c>
      <c r="C132" s="513">
        <v>10660000000</v>
      </c>
      <c r="D132" s="513">
        <v>10600000000</v>
      </c>
      <c r="E132" s="511">
        <f t="shared" si="4"/>
        <v>0.99437148217636018</v>
      </c>
    </row>
    <row r="133" spans="1:5" s="113" customFormat="1" ht="51.75" customHeight="1">
      <c r="A133" s="415"/>
      <c r="B133" s="529" t="s">
        <v>624</v>
      </c>
      <c r="C133" s="513">
        <f>C134+C135</f>
        <v>2207000000</v>
      </c>
      <c r="D133" s="513">
        <f>D134+D135</f>
        <v>2066149600</v>
      </c>
      <c r="E133" s="511">
        <f t="shared" si="4"/>
        <v>0.93618015405527866</v>
      </c>
    </row>
    <row r="134" spans="1:5" s="113" customFormat="1" ht="38.25" customHeight="1">
      <c r="A134" s="415"/>
      <c r="B134" s="530" t="s">
        <v>625</v>
      </c>
      <c r="C134" s="515">
        <v>1730000000</v>
      </c>
      <c r="D134" s="515">
        <v>1597859600</v>
      </c>
      <c r="E134" s="516">
        <f t="shared" si="4"/>
        <v>0.92361826589595375</v>
      </c>
    </row>
    <row r="135" spans="1:5" s="113" customFormat="1" ht="38.25" customHeight="1">
      <c r="A135" s="415"/>
      <c r="B135" s="530" t="s">
        <v>626</v>
      </c>
      <c r="C135" s="515">
        <v>477000000</v>
      </c>
      <c r="D135" s="515">
        <v>468290000</v>
      </c>
      <c r="E135" s="516">
        <f t="shared" si="4"/>
        <v>0.98174004192872122</v>
      </c>
    </row>
    <row r="136" spans="1:5" s="113" customFormat="1" ht="38.25" customHeight="1">
      <c r="A136" s="415"/>
      <c r="B136" s="529" t="s">
        <v>627</v>
      </c>
      <c r="C136" s="513">
        <f>C137+C138</f>
        <v>1575000000</v>
      </c>
      <c r="D136" s="513">
        <f>D137+D138</f>
        <v>1514127476</v>
      </c>
      <c r="E136" s="511">
        <f t="shared" si="4"/>
        <v>0.96135077841269845</v>
      </c>
    </row>
    <row r="137" spans="1:5" s="113" customFormat="1" ht="56.25" customHeight="1">
      <c r="A137" s="415"/>
      <c r="B137" s="530" t="s">
        <v>628</v>
      </c>
      <c r="C137" s="515">
        <v>1061000000</v>
      </c>
      <c r="D137" s="515">
        <v>1054104000</v>
      </c>
      <c r="E137" s="516">
        <f t="shared" si="4"/>
        <v>0.99350047125353436</v>
      </c>
    </row>
    <row r="138" spans="1:5" s="113" customFormat="1" ht="42.75" customHeight="1">
      <c r="A138" s="415"/>
      <c r="B138" s="530" t="s">
        <v>629</v>
      </c>
      <c r="C138" s="515">
        <v>514000000</v>
      </c>
      <c r="D138" s="515">
        <v>460023476</v>
      </c>
      <c r="E138" s="516">
        <f t="shared" si="4"/>
        <v>0.89498730739299615</v>
      </c>
    </row>
    <row r="139" spans="1:5" s="113" customFormat="1" ht="22.5" customHeight="1">
      <c r="A139" s="415" t="s">
        <v>508</v>
      </c>
      <c r="B139" s="535" t="s">
        <v>666</v>
      </c>
      <c r="C139" s="513">
        <f>C140+C141</f>
        <v>410000000</v>
      </c>
      <c r="D139" s="513">
        <f>D140+D141</f>
        <v>8440290900</v>
      </c>
      <c r="E139" s="511">
        <f t="shared" si="4"/>
        <v>20.586075365853659</v>
      </c>
    </row>
    <row r="140" spans="1:5" s="113" customFormat="1" ht="22.5" customHeight="1">
      <c r="A140" s="415" t="s">
        <v>364</v>
      </c>
      <c r="B140" s="529" t="s">
        <v>308</v>
      </c>
      <c r="C140" s="513"/>
      <c r="D140" s="513">
        <v>7967098000</v>
      </c>
      <c r="E140" s="511"/>
    </row>
    <row r="141" spans="1:5" s="113" customFormat="1" ht="22.5" customHeight="1">
      <c r="A141" s="415" t="s">
        <v>364</v>
      </c>
      <c r="B141" s="529" t="s">
        <v>309</v>
      </c>
      <c r="C141" s="513">
        <f>C143+C168</f>
        <v>410000000</v>
      </c>
      <c r="D141" s="513">
        <f>D143+D168</f>
        <v>473192900</v>
      </c>
      <c r="E141" s="511">
        <f t="shared" si="4"/>
        <v>1.154129024390244</v>
      </c>
    </row>
    <row r="142" spans="1:5" s="113" customFormat="1" ht="22.5" hidden="1" customHeight="1">
      <c r="A142" s="415"/>
      <c r="B142" s="536" t="s">
        <v>630</v>
      </c>
      <c r="C142" s="513"/>
      <c r="D142" s="513"/>
      <c r="E142" s="511"/>
    </row>
    <row r="143" spans="1:5" s="113" customFormat="1" ht="22.5" customHeight="1">
      <c r="A143" s="415"/>
      <c r="B143" s="529" t="s">
        <v>631</v>
      </c>
      <c r="C143" s="513">
        <f>C145</f>
        <v>200000000</v>
      </c>
      <c r="D143" s="513">
        <v>200000000</v>
      </c>
      <c r="E143" s="511">
        <f t="shared" si="4"/>
        <v>1</v>
      </c>
    </row>
    <row r="144" spans="1:5" s="113" customFormat="1" ht="20.25" hidden="1" customHeight="1">
      <c r="A144" s="415"/>
      <c r="B144" s="530" t="s">
        <v>632</v>
      </c>
      <c r="C144" s="513"/>
      <c r="D144" s="513">
        <v>0</v>
      </c>
      <c r="E144" s="511" t="e">
        <f t="shared" si="4"/>
        <v>#DIV/0!</v>
      </c>
    </row>
    <row r="145" spans="1:5" s="113" customFormat="1" ht="90.75" customHeight="1">
      <c r="A145" s="415"/>
      <c r="B145" s="530" t="s">
        <v>633</v>
      </c>
      <c r="C145" s="515">
        <v>200000000</v>
      </c>
      <c r="D145" s="515">
        <v>200000000</v>
      </c>
      <c r="E145" s="516">
        <f t="shared" si="4"/>
        <v>1</v>
      </c>
    </row>
    <row r="146" spans="1:5" ht="20.25" hidden="1" customHeight="1">
      <c r="A146" s="514"/>
      <c r="B146" s="530" t="s">
        <v>634</v>
      </c>
      <c r="C146" s="515"/>
      <c r="D146" s="515">
        <v>0</v>
      </c>
      <c r="E146" s="511" t="e">
        <f t="shared" si="4"/>
        <v>#DIV/0!</v>
      </c>
    </row>
    <row r="147" spans="1:5" ht="20.25" hidden="1" customHeight="1">
      <c r="A147" s="514"/>
      <c r="B147" s="530" t="s">
        <v>635</v>
      </c>
      <c r="C147" s="515"/>
      <c r="D147" s="515">
        <v>0</v>
      </c>
      <c r="E147" s="511" t="e">
        <f t="shared" si="4"/>
        <v>#DIV/0!</v>
      </c>
    </row>
    <row r="148" spans="1:5" ht="36" hidden="1" customHeight="1">
      <c r="A148" s="514"/>
      <c r="B148" s="530" t="s">
        <v>636</v>
      </c>
      <c r="C148" s="515"/>
      <c r="D148" s="515">
        <v>0</v>
      </c>
      <c r="E148" s="511" t="e">
        <f t="shared" si="4"/>
        <v>#DIV/0!</v>
      </c>
    </row>
    <row r="149" spans="1:5" ht="21" hidden="1" customHeight="1">
      <c r="A149" s="514"/>
      <c r="B149" s="529" t="s">
        <v>637</v>
      </c>
      <c r="C149" s="537"/>
      <c r="D149" s="537">
        <v>0</v>
      </c>
      <c r="E149" s="511" t="e">
        <f t="shared" si="4"/>
        <v>#DIV/0!</v>
      </c>
    </row>
    <row r="150" spans="1:5" ht="21" hidden="1" customHeight="1">
      <c r="A150" s="514"/>
      <c r="B150" s="530" t="s">
        <v>638</v>
      </c>
      <c r="C150" s="537"/>
      <c r="D150" s="537">
        <v>0</v>
      </c>
      <c r="E150" s="511" t="e">
        <f t="shared" si="4"/>
        <v>#DIV/0!</v>
      </c>
    </row>
    <row r="151" spans="1:5" ht="38.25" hidden="1" customHeight="1">
      <c r="A151" s="514"/>
      <c r="B151" s="529" t="s">
        <v>639</v>
      </c>
      <c r="C151" s="537"/>
      <c r="D151" s="537">
        <v>0</v>
      </c>
      <c r="E151" s="511" t="e">
        <f t="shared" si="4"/>
        <v>#DIV/0!</v>
      </c>
    </row>
    <row r="152" spans="1:5" ht="51.75" hidden="1" customHeight="1">
      <c r="A152" s="514"/>
      <c r="B152" s="530" t="s">
        <v>640</v>
      </c>
      <c r="C152" s="537"/>
      <c r="D152" s="537">
        <v>0</v>
      </c>
      <c r="E152" s="511" t="e">
        <f t="shared" si="4"/>
        <v>#DIV/0!</v>
      </c>
    </row>
    <row r="153" spans="1:5" ht="22.5" hidden="1" customHeight="1">
      <c r="A153" s="514"/>
      <c r="B153" s="529" t="s">
        <v>641</v>
      </c>
      <c r="C153" s="515"/>
      <c r="D153" s="515">
        <v>0</v>
      </c>
      <c r="E153" s="511" t="e">
        <f t="shared" si="4"/>
        <v>#DIV/0!</v>
      </c>
    </row>
    <row r="154" spans="1:5" ht="37.5" hidden="1" customHeight="1">
      <c r="A154" s="514"/>
      <c r="B154" s="530" t="s">
        <v>642</v>
      </c>
      <c r="C154" s="515"/>
      <c r="D154" s="515">
        <v>0</v>
      </c>
      <c r="E154" s="511" t="e">
        <f t="shared" si="4"/>
        <v>#DIV/0!</v>
      </c>
    </row>
    <row r="155" spans="1:5" ht="22.5" hidden="1" customHeight="1">
      <c r="A155" s="514"/>
      <c r="B155" s="529" t="s">
        <v>657</v>
      </c>
      <c r="C155" s="515"/>
      <c r="D155" s="515">
        <v>0</v>
      </c>
      <c r="E155" s="511" t="e">
        <f t="shared" si="4"/>
        <v>#DIV/0!</v>
      </c>
    </row>
    <row r="156" spans="1:5" ht="22.5" hidden="1" customHeight="1">
      <c r="A156" s="514"/>
      <c r="B156" s="530" t="s">
        <v>643</v>
      </c>
      <c r="C156" s="515"/>
      <c r="D156" s="515">
        <v>0</v>
      </c>
      <c r="E156" s="511" t="e">
        <f t="shared" si="4"/>
        <v>#DIV/0!</v>
      </c>
    </row>
    <row r="157" spans="1:5" ht="54" hidden="1" customHeight="1">
      <c r="A157" s="514"/>
      <c r="B157" s="530" t="s">
        <v>644</v>
      </c>
      <c r="C157" s="515"/>
      <c r="D157" s="515">
        <v>0</v>
      </c>
      <c r="E157" s="511" t="e">
        <f t="shared" si="4"/>
        <v>#DIV/0!</v>
      </c>
    </row>
    <row r="158" spans="1:5" ht="21" hidden="1" customHeight="1">
      <c r="A158" s="514"/>
      <c r="B158" s="530" t="s">
        <v>645</v>
      </c>
      <c r="C158" s="515"/>
      <c r="D158" s="515">
        <v>0</v>
      </c>
      <c r="E158" s="511" t="e">
        <f t="shared" si="4"/>
        <v>#DIV/0!</v>
      </c>
    </row>
    <row r="159" spans="1:5" ht="36.75" hidden="1" customHeight="1">
      <c r="A159" s="514"/>
      <c r="B159" s="530" t="s">
        <v>646</v>
      </c>
      <c r="C159" s="515"/>
      <c r="D159" s="515">
        <v>0</v>
      </c>
      <c r="E159" s="511" t="e">
        <f t="shared" si="4"/>
        <v>#DIV/0!</v>
      </c>
    </row>
    <row r="160" spans="1:5" ht="21" hidden="1" customHeight="1">
      <c r="A160" s="514"/>
      <c r="B160" s="529" t="s">
        <v>647</v>
      </c>
      <c r="C160" s="515"/>
      <c r="D160" s="515">
        <v>0</v>
      </c>
      <c r="E160" s="511" t="e">
        <f t="shared" si="4"/>
        <v>#DIV/0!</v>
      </c>
    </row>
    <row r="161" spans="1:5" ht="21" hidden="1" customHeight="1">
      <c r="A161" s="518"/>
      <c r="B161" s="530" t="s">
        <v>648</v>
      </c>
      <c r="C161" s="515"/>
      <c r="D161" s="515">
        <v>0</v>
      </c>
      <c r="E161" s="511" t="e">
        <f t="shared" si="4"/>
        <v>#DIV/0!</v>
      </c>
    </row>
    <row r="162" spans="1:5" ht="21" hidden="1" customHeight="1">
      <c r="A162" s="518"/>
      <c r="B162" s="530" t="s">
        <v>649</v>
      </c>
      <c r="C162" s="515"/>
      <c r="D162" s="515">
        <v>0</v>
      </c>
      <c r="E162" s="511" t="e">
        <f t="shared" si="4"/>
        <v>#DIV/0!</v>
      </c>
    </row>
    <row r="163" spans="1:5" ht="21" hidden="1" customHeight="1">
      <c r="A163" s="518"/>
      <c r="B163" s="530" t="s">
        <v>650</v>
      </c>
      <c r="C163" s="515"/>
      <c r="D163" s="515">
        <v>0</v>
      </c>
      <c r="E163" s="511" t="e">
        <f t="shared" si="4"/>
        <v>#DIV/0!</v>
      </c>
    </row>
    <row r="164" spans="1:5" ht="21" hidden="1" customHeight="1">
      <c r="A164" s="518"/>
      <c r="B164" s="530" t="s">
        <v>651</v>
      </c>
      <c r="C164" s="515"/>
      <c r="D164" s="515">
        <v>0</v>
      </c>
      <c r="E164" s="511" t="e">
        <f t="shared" si="4"/>
        <v>#DIV/0!</v>
      </c>
    </row>
    <row r="165" spans="1:5" ht="21" hidden="1" customHeight="1">
      <c r="A165" s="518"/>
      <c r="B165" s="530" t="s">
        <v>652</v>
      </c>
      <c r="C165" s="515"/>
      <c r="D165" s="515">
        <v>0</v>
      </c>
      <c r="E165" s="511" t="e">
        <f t="shared" si="4"/>
        <v>#DIV/0!</v>
      </c>
    </row>
    <row r="166" spans="1:5" ht="21" hidden="1" customHeight="1">
      <c r="A166" s="518"/>
      <c r="B166" s="529" t="s">
        <v>653</v>
      </c>
      <c r="C166" s="515"/>
      <c r="D166" s="515">
        <v>0</v>
      </c>
      <c r="E166" s="511" t="e">
        <f t="shared" si="4"/>
        <v>#DIV/0!</v>
      </c>
    </row>
    <row r="167" spans="1:5" ht="21" hidden="1" customHeight="1">
      <c r="A167" s="518"/>
      <c r="B167" s="530" t="s">
        <v>654</v>
      </c>
      <c r="C167" s="515"/>
      <c r="D167" s="515">
        <v>0</v>
      </c>
      <c r="E167" s="511" t="e">
        <f t="shared" si="4"/>
        <v>#DIV/0!</v>
      </c>
    </row>
    <row r="168" spans="1:5" s="113" customFormat="1" ht="22.5" customHeight="1">
      <c r="A168" s="415"/>
      <c r="B168" s="529" t="s">
        <v>655</v>
      </c>
      <c r="C168" s="513">
        <f>C169</f>
        <v>210000000</v>
      </c>
      <c r="D168" s="513">
        <f>D169</f>
        <v>273192900</v>
      </c>
      <c r="E168" s="511">
        <f t="shared" si="4"/>
        <v>1.3009185714285714</v>
      </c>
    </row>
    <row r="169" spans="1:5" ht="57.75" customHeight="1">
      <c r="A169" s="518"/>
      <c r="B169" s="530" t="s">
        <v>656</v>
      </c>
      <c r="C169" s="515">
        <v>210000000</v>
      </c>
      <c r="D169" s="515">
        <v>273192900</v>
      </c>
      <c r="E169" s="516">
        <f t="shared" ref="E169:E180" si="5">D169/C169</f>
        <v>1.3009185714285714</v>
      </c>
    </row>
    <row r="170" spans="1:5" s="113" customFormat="1" ht="33.75" customHeight="1">
      <c r="A170" s="415" t="s">
        <v>12</v>
      </c>
      <c r="B170" s="529" t="s">
        <v>480</v>
      </c>
      <c r="C170" s="513">
        <f>C171+C174</f>
        <v>3233000000</v>
      </c>
      <c r="D170" s="513">
        <f>D171+D174</f>
        <v>3286662400</v>
      </c>
      <c r="E170" s="511">
        <f t="shared" si="5"/>
        <v>1.0165983297247139</v>
      </c>
    </row>
    <row r="171" spans="1:5" s="113" customFormat="1" ht="22.5" customHeight="1">
      <c r="A171" s="415">
        <v>1</v>
      </c>
      <c r="B171" s="529" t="s">
        <v>308</v>
      </c>
      <c r="C171" s="513">
        <f>SUM(C172:C173)</f>
        <v>0</v>
      </c>
      <c r="D171" s="513">
        <f>SUM(D172:D173)</f>
        <v>0</v>
      </c>
      <c r="E171" s="511"/>
    </row>
    <row r="172" spans="1:5" ht="49.5" hidden="1" customHeight="1">
      <c r="A172" s="514" t="s">
        <v>9</v>
      </c>
      <c r="B172" s="521" t="s">
        <v>318</v>
      </c>
      <c r="C172" s="515"/>
      <c r="D172" s="515"/>
      <c r="E172" s="511" t="e">
        <f t="shared" si="5"/>
        <v>#DIV/0!</v>
      </c>
    </row>
    <row r="173" spans="1:5" ht="38.25" hidden="1" customHeight="1">
      <c r="A173" s="514" t="s">
        <v>9</v>
      </c>
      <c r="B173" s="521" t="s">
        <v>432</v>
      </c>
      <c r="C173" s="515"/>
      <c r="D173" s="515"/>
      <c r="E173" s="511"/>
    </row>
    <row r="174" spans="1:5" s="113" customFormat="1" ht="22.5" customHeight="1">
      <c r="A174" s="415">
        <v>2</v>
      </c>
      <c r="B174" s="512" t="s">
        <v>309</v>
      </c>
      <c r="C174" s="513">
        <f>SUM(C175:C180)</f>
        <v>3233000000</v>
      </c>
      <c r="D174" s="513">
        <f>SUM(D175:D180)</f>
        <v>3286662400</v>
      </c>
      <c r="E174" s="511">
        <f t="shared" si="5"/>
        <v>1.0165983297247139</v>
      </c>
    </row>
    <row r="175" spans="1:5" ht="22.5" customHeight="1">
      <c r="A175" s="514" t="s">
        <v>9</v>
      </c>
      <c r="B175" s="517" t="s">
        <v>312</v>
      </c>
      <c r="C175" s="515">
        <v>28000000</v>
      </c>
      <c r="D175" s="515">
        <v>95000000</v>
      </c>
      <c r="E175" s="516">
        <f t="shared" si="5"/>
        <v>3.3928571428571428</v>
      </c>
    </row>
    <row r="176" spans="1:5" ht="22.5" customHeight="1">
      <c r="A176" s="514" t="s">
        <v>9</v>
      </c>
      <c r="B176" s="517" t="s">
        <v>320</v>
      </c>
      <c r="C176" s="515">
        <v>3205000000</v>
      </c>
      <c r="D176" s="538">
        <v>3191662400</v>
      </c>
      <c r="E176" s="516">
        <f t="shared" si="5"/>
        <v>0.99583850234009363</v>
      </c>
    </row>
    <row r="177" spans="1:5" ht="40.5" hidden="1" customHeight="1">
      <c r="A177" s="514" t="s">
        <v>9</v>
      </c>
      <c r="B177" s="521" t="s">
        <v>319</v>
      </c>
      <c r="C177" s="515"/>
      <c r="D177" s="515"/>
      <c r="E177" s="511" t="e">
        <f t="shared" si="5"/>
        <v>#DIV/0!</v>
      </c>
    </row>
    <row r="178" spans="1:5" ht="51.75" hidden="1" customHeight="1">
      <c r="A178" s="514" t="s">
        <v>9</v>
      </c>
      <c r="B178" s="521" t="s">
        <v>318</v>
      </c>
      <c r="C178" s="515"/>
      <c r="D178" s="515"/>
      <c r="E178" s="511" t="e">
        <f t="shared" si="5"/>
        <v>#DIV/0!</v>
      </c>
    </row>
    <row r="179" spans="1:5" ht="22.5" hidden="1" customHeight="1">
      <c r="A179" s="514" t="s">
        <v>9</v>
      </c>
      <c r="B179" s="517" t="s">
        <v>347</v>
      </c>
      <c r="C179" s="515"/>
      <c r="D179" s="538"/>
      <c r="E179" s="511" t="e">
        <f t="shared" si="5"/>
        <v>#DIV/0!</v>
      </c>
    </row>
    <row r="180" spans="1:5" ht="37.5" hidden="1" customHeight="1">
      <c r="A180" s="514" t="s">
        <v>9</v>
      </c>
      <c r="B180" s="521" t="s">
        <v>348</v>
      </c>
      <c r="C180" s="515"/>
      <c r="D180" s="515"/>
      <c r="E180" s="511" t="e">
        <f t="shared" si="5"/>
        <v>#DIV/0!</v>
      </c>
    </row>
    <row r="181" spans="1:5" s="113" customFormat="1" ht="22.5" customHeight="1">
      <c r="A181" s="415" t="s">
        <v>16</v>
      </c>
      <c r="B181" s="512" t="s">
        <v>272</v>
      </c>
      <c r="C181" s="513"/>
      <c r="D181" s="513">
        <v>9504193948</v>
      </c>
      <c r="E181" s="511"/>
    </row>
    <row r="182" spans="1:5" s="113" customFormat="1" ht="22.5" customHeight="1">
      <c r="A182" s="539" t="s">
        <v>267</v>
      </c>
      <c r="B182" s="540" t="s">
        <v>77</v>
      </c>
      <c r="C182" s="541"/>
      <c r="D182" s="541">
        <v>144366784604</v>
      </c>
      <c r="E182" s="542"/>
    </row>
  </sheetData>
  <mergeCells count="8">
    <mergeCell ref="A2:E2"/>
    <mergeCell ref="A3:E3"/>
    <mergeCell ref="D4:E4"/>
    <mergeCell ref="A5:A7"/>
    <mergeCell ref="B5:B7"/>
    <mergeCell ref="C5:C7"/>
    <mergeCell ref="D5:D7"/>
    <mergeCell ref="E5:E7"/>
  </mergeCells>
  <phoneticPr fontId="16" type="noConversion"/>
  <pageMargins left="0.79" right="0.25" top="0.47" bottom="0.35" header="0.25" footer="0.25"/>
  <pageSetup paperSize="9" scale="9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FF00"/>
    <pageSetUpPr fitToPage="1"/>
  </sheetPr>
  <dimension ref="A1:O40"/>
  <sheetViews>
    <sheetView view="pageBreakPreview" zoomScale="130" zoomScaleNormal="110" zoomScaleSheetLayoutView="130" workbookViewId="0">
      <pane xSplit="2" ySplit="9" topLeftCell="C29" activePane="bottomRight" state="frozen"/>
      <selection pane="topRight" activeCell="C1" sqref="C1"/>
      <selection pane="bottomLeft" activeCell="A10" sqref="A10"/>
      <selection pane="bottomRight" activeCell="H9" sqref="H9"/>
    </sheetView>
  </sheetViews>
  <sheetFormatPr defaultColWidth="9" defaultRowHeight="15.75"/>
  <cols>
    <col min="1" max="1" width="4" style="48" customWidth="1"/>
    <col min="2" max="2" width="36.375" style="48" customWidth="1"/>
    <col min="3" max="3" width="14.375" style="48" customWidth="1"/>
    <col min="4" max="4" width="15.375" style="48" customWidth="1"/>
    <col min="5" max="5" width="14.75" style="83" customWidth="1"/>
    <col min="6" max="6" width="8.625" style="83" customWidth="1"/>
    <col min="7" max="7" width="5.5" style="48" customWidth="1"/>
    <col min="8" max="14" width="13.75" style="66" customWidth="1"/>
    <col min="15" max="15" width="9" style="47"/>
    <col min="16" max="16384" width="9" style="48"/>
  </cols>
  <sheetData>
    <row r="1" spans="1:14" ht="19.5" customHeight="1">
      <c r="A1" s="428"/>
      <c r="B1" s="428"/>
      <c r="C1" s="429"/>
      <c r="D1" s="430"/>
      <c r="E1" s="543"/>
      <c r="F1" s="544" t="s">
        <v>108</v>
      </c>
    </row>
    <row r="2" spans="1:14" ht="23.25" customHeight="1">
      <c r="A2" s="869" t="s">
        <v>832</v>
      </c>
      <c r="B2" s="869"/>
      <c r="C2" s="869"/>
      <c r="D2" s="869"/>
      <c r="E2" s="869"/>
      <c r="F2" s="869"/>
    </row>
    <row r="3" spans="1:14" ht="21" customHeight="1">
      <c r="A3" s="898" t="str">
        <f>'B48'!A3:F3</f>
        <v>(Kèm theo Báo cáo số  289/BC-UBND ngày  17 /6 /2024 của UBND huyện Tuần Giáo)</v>
      </c>
      <c r="B3" s="898"/>
      <c r="C3" s="898"/>
      <c r="D3" s="898"/>
      <c r="E3" s="898"/>
      <c r="F3" s="898"/>
    </row>
    <row r="4" spans="1:14" ht="21.75" customHeight="1">
      <c r="A4" s="433"/>
      <c r="B4" s="433"/>
      <c r="C4" s="545"/>
      <c r="D4" s="899" t="s">
        <v>201</v>
      </c>
      <c r="E4" s="899"/>
      <c r="F4" s="899"/>
    </row>
    <row r="5" spans="1:14" s="72" customFormat="1" ht="16.5" customHeight="1">
      <c r="A5" s="900" t="s">
        <v>51</v>
      </c>
      <c r="B5" s="900" t="s">
        <v>120</v>
      </c>
      <c r="C5" s="900" t="s">
        <v>2</v>
      </c>
      <c r="D5" s="876" t="s">
        <v>50</v>
      </c>
      <c r="E5" s="903" t="s">
        <v>52</v>
      </c>
      <c r="F5" s="903"/>
      <c r="H5" s="73"/>
      <c r="I5" s="73"/>
      <c r="J5" s="73"/>
      <c r="K5" s="73"/>
      <c r="L5" s="73"/>
      <c r="M5" s="73"/>
      <c r="N5" s="73"/>
    </row>
    <row r="6" spans="1:14" s="72" customFormat="1" ht="15" customHeight="1">
      <c r="A6" s="901"/>
      <c r="B6" s="901" t="s">
        <v>120</v>
      </c>
      <c r="C6" s="901"/>
      <c r="D6" s="878"/>
      <c r="E6" s="871" t="s">
        <v>72</v>
      </c>
      <c r="F6" s="876" t="s">
        <v>145</v>
      </c>
      <c r="H6" s="73"/>
      <c r="I6" s="73"/>
      <c r="J6" s="73"/>
      <c r="K6" s="73"/>
      <c r="L6" s="73"/>
      <c r="M6" s="73"/>
      <c r="N6" s="73"/>
    </row>
    <row r="7" spans="1:14" s="72" customFormat="1" ht="21" customHeight="1">
      <c r="A7" s="902"/>
      <c r="B7" s="902"/>
      <c r="C7" s="902"/>
      <c r="D7" s="877"/>
      <c r="E7" s="873"/>
      <c r="F7" s="877"/>
      <c r="H7" s="73"/>
      <c r="I7" s="73"/>
      <c r="J7" s="73"/>
      <c r="K7" s="73"/>
      <c r="L7" s="73"/>
      <c r="M7" s="73"/>
      <c r="N7" s="73"/>
    </row>
    <row r="8" spans="1:14" s="124" customFormat="1" ht="15" customHeight="1">
      <c r="A8" s="80" t="s">
        <v>3</v>
      </c>
      <c r="B8" s="80" t="s">
        <v>4</v>
      </c>
      <c r="C8" s="80">
        <v>1</v>
      </c>
      <c r="D8" s="80">
        <f>C8+1</f>
        <v>2</v>
      </c>
      <c r="E8" s="80" t="s">
        <v>73</v>
      </c>
      <c r="F8" s="80" t="s">
        <v>74</v>
      </c>
      <c r="H8" s="158"/>
      <c r="I8" s="158"/>
      <c r="J8" s="158"/>
      <c r="K8" s="158"/>
      <c r="L8" s="158"/>
      <c r="M8" s="158"/>
      <c r="N8" s="158"/>
    </row>
    <row r="9" spans="1:14" s="72" customFormat="1" ht="20.25" customHeight="1">
      <c r="A9" s="416"/>
      <c r="B9" s="546" t="s">
        <v>146</v>
      </c>
      <c r="C9" s="436">
        <f>C10+C13+C38+C39</f>
        <v>944834000000</v>
      </c>
      <c r="D9" s="436">
        <f>D10+D13+D38+D39</f>
        <v>1090384444359</v>
      </c>
      <c r="E9" s="547">
        <f>D9-C9</f>
        <v>145550444359</v>
      </c>
      <c r="F9" s="548">
        <f t="shared" ref="F9:F17" si="0">D9/C9</f>
        <v>1.1540486946479487</v>
      </c>
      <c r="G9" s="73"/>
      <c r="H9" s="73"/>
      <c r="I9" s="73"/>
      <c r="J9" s="73"/>
      <c r="K9" s="73"/>
      <c r="L9" s="73"/>
      <c r="M9" s="73"/>
      <c r="N9" s="73"/>
    </row>
    <row r="10" spans="1:14" s="72" customFormat="1" ht="20.25" customHeight="1">
      <c r="A10" s="417" t="s">
        <v>3</v>
      </c>
      <c r="B10" s="438" t="s">
        <v>147</v>
      </c>
      <c r="C10" s="439">
        <f>C11+C12</f>
        <v>143741000000</v>
      </c>
      <c r="D10" s="439">
        <f>D11+D12</f>
        <v>125611939829</v>
      </c>
      <c r="E10" s="547">
        <f>D10-C10</f>
        <v>-18129060171</v>
      </c>
      <c r="F10" s="548">
        <f t="shared" si="0"/>
        <v>0.87387690240780291</v>
      </c>
      <c r="G10" s="73"/>
      <c r="H10" s="73"/>
      <c r="I10" s="73"/>
      <c r="J10" s="73"/>
      <c r="K10" s="73"/>
      <c r="L10" s="73"/>
      <c r="M10" s="73"/>
      <c r="N10" s="73"/>
    </row>
    <row r="11" spans="1:14" s="72" customFormat="1" ht="20.25" customHeight="1">
      <c r="A11" s="441" t="s">
        <v>9</v>
      </c>
      <c r="B11" s="442" t="s">
        <v>149</v>
      </c>
      <c r="C11" s="443">
        <v>88891000000</v>
      </c>
      <c r="D11" s="443">
        <v>85389175358</v>
      </c>
      <c r="E11" s="549">
        <f>D11-C11</f>
        <v>-3501824642</v>
      </c>
      <c r="F11" s="550">
        <f>D11/C11</f>
        <v>0.96060540839905051</v>
      </c>
      <c r="H11" s="73"/>
      <c r="I11" s="73"/>
      <c r="J11" s="73"/>
      <c r="K11" s="73"/>
      <c r="L11" s="73"/>
      <c r="M11" s="73"/>
      <c r="N11" s="73"/>
    </row>
    <row r="12" spans="1:14" s="72" customFormat="1" ht="20.25" customHeight="1">
      <c r="A12" s="441" t="s">
        <v>148</v>
      </c>
      <c r="B12" s="442" t="s">
        <v>76</v>
      </c>
      <c r="C12" s="443">
        <v>54850000000</v>
      </c>
      <c r="D12" s="443">
        <v>40222764471</v>
      </c>
      <c r="E12" s="549">
        <f t="shared" ref="E12:E39" si="1">D12-C12</f>
        <v>-14627235529</v>
      </c>
      <c r="F12" s="550">
        <f>D12/C12</f>
        <v>0.73332296209662717</v>
      </c>
      <c r="H12" s="73"/>
      <c r="I12" s="73"/>
      <c r="J12" s="73"/>
      <c r="K12" s="73"/>
      <c r="L12" s="73"/>
      <c r="M12" s="73"/>
      <c r="N12" s="73"/>
    </row>
    <row r="13" spans="1:14" s="72" customFormat="1" ht="20.25" customHeight="1">
      <c r="A13" s="417" t="s">
        <v>4</v>
      </c>
      <c r="B13" s="438" t="s">
        <v>333</v>
      </c>
      <c r="C13" s="439">
        <f>C14+C22+C36</f>
        <v>801093000000</v>
      </c>
      <c r="D13" s="439">
        <f>D14+D22+D36</f>
        <v>828856333298</v>
      </c>
      <c r="E13" s="547">
        <f>D13-C13</f>
        <v>27763333298</v>
      </c>
      <c r="F13" s="548">
        <f t="shared" si="0"/>
        <v>1.0346568167466199</v>
      </c>
      <c r="G13" s="73"/>
      <c r="H13" s="74"/>
      <c r="I13" s="74"/>
      <c r="J13" s="74"/>
      <c r="K13" s="74"/>
      <c r="L13" s="74"/>
      <c r="M13" s="73"/>
      <c r="N13" s="73"/>
    </row>
    <row r="14" spans="1:14" s="72" customFormat="1" ht="20.25" customHeight="1">
      <c r="A14" s="417" t="s">
        <v>11</v>
      </c>
      <c r="B14" s="438" t="s">
        <v>17</v>
      </c>
      <c r="C14" s="439">
        <f>C15</f>
        <v>117668000000</v>
      </c>
      <c r="D14" s="439">
        <f>D15</f>
        <v>129219876409</v>
      </c>
      <c r="E14" s="439">
        <f>E15</f>
        <v>9357502409</v>
      </c>
      <c r="F14" s="548">
        <f t="shared" si="0"/>
        <v>1.0981734745980216</v>
      </c>
      <c r="H14" s="73"/>
      <c r="I14" s="73"/>
      <c r="J14" s="73"/>
      <c r="K14" s="73"/>
      <c r="L14" s="73"/>
      <c r="M14" s="73"/>
      <c r="N14" s="73"/>
    </row>
    <row r="15" spans="1:14" s="125" customFormat="1" ht="20.25" customHeight="1">
      <c r="A15" s="417">
        <v>1</v>
      </c>
      <c r="B15" s="438" t="s">
        <v>58</v>
      </c>
      <c r="C15" s="443">
        <f>SUM(C16:C20)</f>
        <v>117668000000</v>
      </c>
      <c r="D15" s="443">
        <f>SUM(D16:D20)</f>
        <v>129219876409</v>
      </c>
      <c r="E15" s="443">
        <f>SUM(E16:E18)</f>
        <v>9357502409</v>
      </c>
      <c r="F15" s="548">
        <f t="shared" si="0"/>
        <v>1.0981734745980216</v>
      </c>
      <c r="G15" s="159"/>
      <c r="H15" s="159"/>
      <c r="I15" s="159"/>
      <c r="J15" s="159"/>
      <c r="K15" s="159"/>
      <c r="L15" s="159"/>
      <c r="M15" s="159"/>
      <c r="N15" s="159"/>
    </row>
    <row r="16" spans="1:14" s="163" customFormat="1" ht="20.25" customHeight="1">
      <c r="A16" s="441" t="s">
        <v>9</v>
      </c>
      <c r="B16" s="442" t="s">
        <v>116</v>
      </c>
      <c r="C16" s="478">
        <f>6000000000+33000000000</f>
        <v>39000000000</v>
      </c>
      <c r="D16" s="443">
        <f>[2]B55!E11</f>
        <v>43159958000</v>
      </c>
      <c r="E16" s="549">
        <f t="shared" si="1"/>
        <v>4159958000</v>
      </c>
      <c r="F16" s="550">
        <f t="shared" si="0"/>
        <v>1.1066655897435898</v>
      </c>
      <c r="H16" s="73"/>
      <c r="I16" s="73"/>
      <c r="J16" s="73"/>
      <c r="K16" s="73"/>
      <c r="L16" s="73"/>
      <c r="M16" s="73"/>
      <c r="N16" s="73"/>
    </row>
    <row r="17" spans="1:14" s="72" customFormat="1" ht="20.25" customHeight="1">
      <c r="A17" s="441" t="s">
        <v>9</v>
      </c>
      <c r="B17" s="442" t="s">
        <v>102</v>
      </c>
      <c r="C17" s="478">
        <f>28168000000+83500000000-33000000000</f>
        <v>78668000000</v>
      </c>
      <c r="D17" s="478">
        <f>[2]B55!H11</f>
        <v>77671463409</v>
      </c>
      <c r="E17" s="549">
        <f>D17-C17</f>
        <v>-996536591</v>
      </c>
      <c r="F17" s="550">
        <f t="shared" si="0"/>
        <v>0.98733237668429352</v>
      </c>
      <c r="H17" s="73"/>
      <c r="I17" s="73"/>
      <c r="J17" s="73"/>
      <c r="K17" s="73"/>
      <c r="L17" s="73"/>
      <c r="M17" s="73"/>
      <c r="N17" s="73"/>
    </row>
    <row r="18" spans="1:14" s="163" customFormat="1" ht="20.25" customHeight="1">
      <c r="A18" s="441" t="s">
        <v>9</v>
      </c>
      <c r="B18" s="442" t="s">
        <v>435</v>
      </c>
      <c r="C18" s="478"/>
      <c r="D18" s="443">
        <f>[2]B55!L11</f>
        <v>6194081000</v>
      </c>
      <c r="E18" s="549">
        <f t="shared" si="1"/>
        <v>6194081000</v>
      </c>
      <c r="F18" s="550"/>
      <c r="H18" s="73"/>
      <c r="I18" s="73"/>
      <c r="J18" s="73"/>
      <c r="K18" s="73"/>
      <c r="L18" s="73"/>
      <c r="M18" s="73"/>
      <c r="N18" s="73"/>
    </row>
    <row r="19" spans="1:14" s="163" customFormat="1" ht="20.25" customHeight="1">
      <c r="A19" s="441" t="s">
        <v>9</v>
      </c>
      <c r="B19" s="442" t="s">
        <v>101</v>
      </c>
      <c r="C19" s="478"/>
      <c r="D19" s="443">
        <f>[2]B55!G11</f>
        <v>1724571000</v>
      </c>
      <c r="E19" s="549">
        <f>D19-C19</f>
        <v>1724571000</v>
      </c>
      <c r="F19" s="550"/>
      <c r="H19" s="73"/>
      <c r="I19" s="73"/>
      <c r="J19" s="73"/>
      <c r="K19" s="73"/>
      <c r="L19" s="73"/>
      <c r="M19" s="73"/>
      <c r="N19" s="73"/>
    </row>
    <row r="20" spans="1:14" s="163" customFormat="1" ht="20.25" customHeight="1">
      <c r="A20" s="441" t="s">
        <v>9</v>
      </c>
      <c r="B20" s="551" t="s">
        <v>98</v>
      </c>
      <c r="C20" s="478"/>
      <c r="D20" s="443">
        <f>[2]B55!F11</f>
        <v>469803000</v>
      </c>
      <c r="E20" s="549">
        <f>D20-C20</f>
        <v>469803000</v>
      </c>
      <c r="F20" s="550"/>
      <c r="H20" s="73"/>
      <c r="I20" s="73"/>
      <c r="J20" s="73"/>
      <c r="K20" s="73"/>
      <c r="L20" s="73"/>
      <c r="M20" s="73"/>
      <c r="N20" s="73"/>
    </row>
    <row r="21" spans="1:14" s="72" customFormat="1" ht="20.25" customHeight="1">
      <c r="A21" s="417">
        <v>2</v>
      </c>
      <c r="B21" s="438" t="s">
        <v>407</v>
      </c>
      <c r="C21" s="443"/>
      <c r="D21" s="443"/>
      <c r="E21" s="549"/>
      <c r="F21" s="550"/>
      <c r="H21" s="73"/>
      <c r="I21" s="73"/>
      <c r="J21" s="73"/>
      <c r="K21" s="73"/>
      <c r="L21" s="73"/>
      <c r="M21" s="73"/>
      <c r="N21" s="73"/>
    </row>
    <row r="22" spans="1:14" s="72" customFormat="1" ht="20.25" customHeight="1">
      <c r="A22" s="417" t="s">
        <v>12</v>
      </c>
      <c r="B22" s="438" t="s">
        <v>19</v>
      </c>
      <c r="C22" s="439">
        <f>SUM(C23:C35)</f>
        <v>670590000000</v>
      </c>
      <c r="D22" s="439">
        <f>SUM(D23:D35)</f>
        <v>699636456889</v>
      </c>
      <c r="E22" s="439">
        <f t="shared" si="1"/>
        <v>29046456889</v>
      </c>
      <c r="F22" s="548">
        <f t="shared" ref="F22:F35" si="2">D22/C22</f>
        <v>1.0433147778657601</v>
      </c>
      <c r="H22" s="73"/>
      <c r="I22" s="73"/>
      <c r="J22" s="73"/>
      <c r="K22" s="73"/>
      <c r="L22" s="73"/>
      <c r="M22" s="73"/>
      <c r="N22" s="73"/>
    </row>
    <row r="23" spans="1:14" s="163" customFormat="1" ht="20.25" customHeight="1">
      <c r="A23" s="441">
        <v>1</v>
      </c>
      <c r="B23" s="446" t="s">
        <v>116</v>
      </c>
      <c r="C23" s="443">
        <f>424458000000+12674000000+3450000000+1575000000</f>
        <v>442157000000</v>
      </c>
      <c r="D23" s="443">
        <f>[2]B56!E10</f>
        <v>463905913003</v>
      </c>
      <c r="E23" s="549">
        <f t="shared" si="1"/>
        <v>21748913003</v>
      </c>
      <c r="F23" s="550">
        <f>D23/C23</f>
        <v>1.0491882136955877</v>
      </c>
      <c r="H23" s="73"/>
      <c r="I23" s="73"/>
      <c r="J23" s="73"/>
      <c r="K23" s="73"/>
      <c r="L23" s="73"/>
      <c r="M23" s="73"/>
      <c r="N23" s="73"/>
    </row>
    <row r="24" spans="1:14" s="163" customFormat="1" ht="20.25" customHeight="1">
      <c r="A24" s="441">
        <v>2</v>
      </c>
      <c r="B24" s="446" t="s">
        <v>68</v>
      </c>
      <c r="C24" s="443">
        <v>600000000</v>
      </c>
      <c r="D24" s="443">
        <f>[2]B56!F10</f>
        <v>315080670</v>
      </c>
      <c r="E24" s="549">
        <f t="shared" si="1"/>
        <v>-284919330</v>
      </c>
      <c r="F24" s="550">
        <f t="shared" si="2"/>
        <v>0.52513445000000003</v>
      </c>
      <c r="H24" s="73"/>
      <c r="I24" s="73"/>
      <c r="J24" s="73"/>
      <c r="K24" s="73"/>
      <c r="L24" s="73"/>
      <c r="M24" s="73"/>
      <c r="N24" s="73"/>
    </row>
    <row r="25" spans="1:14" s="163" customFormat="1" ht="20.25" customHeight="1">
      <c r="A25" s="441">
        <v>3</v>
      </c>
      <c r="B25" s="446" t="s">
        <v>433</v>
      </c>
      <c r="C25" s="443">
        <v>4854000000</v>
      </c>
      <c r="D25" s="443">
        <f>[2]B56!G10</f>
        <v>6991600000</v>
      </c>
      <c r="E25" s="549">
        <f t="shared" si="1"/>
        <v>2137600000</v>
      </c>
      <c r="F25" s="550">
        <f t="shared" si="2"/>
        <v>1.4403790688092295</v>
      </c>
      <c r="H25" s="73"/>
      <c r="I25" s="73"/>
      <c r="J25" s="73"/>
      <c r="K25" s="73"/>
      <c r="L25" s="73"/>
      <c r="M25" s="73"/>
      <c r="N25" s="73"/>
    </row>
    <row r="26" spans="1:14" s="163" customFormat="1" ht="20.25" customHeight="1">
      <c r="A26" s="441">
        <v>4</v>
      </c>
      <c r="B26" s="446" t="s">
        <v>96</v>
      </c>
      <c r="C26" s="443">
        <v>1432000000</v>
      </c>
      <c r="D26" s="443">
        <f>[2]B56!H10</f>
        <v>3344020000</v>
      </c>
      <c r="E26" s="549">
        <f t="shared" si="1"/>
        <v>1912020000</v>
      </c>
      <c r="F26" s="550">
        <f t="shared" si="2"/>
        <v>2.3352094972067041</v>
      </c>
      <c r="H26" s="73"/>
      <c r="I26" s="73"/>
      <c r="J26" s="73"/>
      <c r="K26" s="73"/>
      <c r="L26" s="73"/>
      <c r="M26" s="73"/>
      <c r="N26" s="73"/>
    </row>
    <row r="27" spans="1:14" s="163" customFormat="1" ht="20.25" customHeight="1">
      <c r="A27" s="441">
        <v>5</v>
      </c>
      <c r="B27" s="446" t="s">
        <v>97</v>
      </c>
      <c r="C27" s="443">
        <f>200000000+1815000000</f>
        <v>2015000000</v>
      </c>
      <c r="D27" s="443">
        <f>[2]B56!I10</f>
        <v>1980721400</v>
      </c>
      <c r="E27" s="549">
        <f t="shared" si="1"/>
        <v>-34278600</v>
      </c>
      <c r="F27" s="550">
        <f t="shared" si="2"/>
        <v>0.98298828784119108</v>
      </c>
      <c r="H27" s="73"/>
      <c r="I27" s="73"/>
      <c r="J27" s="73"/>
      <c r="K27" s="73"/>
      <c r="L27" s="73"/>
      <c r="M27" s="73"/>
      <c r="N27" s="73"/>
    </row>
    <row r="28" spans="1:14" s="163" customFormat="1" ht="20.25" customHeight="1">
      <c r="A28" s="441">
        <v>6</v>
      </c>
      <c r="B28" s="446" t="s">
        <v>98</v>
      </c>
      <c r="C28" s="443">
        <f>1786000000+483000000+1527000000+432000000+2207000000</f>
        <v>6435000000</v>
      </c>
      <c r="D28" s="443">
        <f>[2]B56!J10</f>
        <v>6136964020</v>
      </c>
      <c r="E28" s="549">
        <f t="shared" si="1"/>
        <v>-298035980</v>
      </c>
      <c r="F28" s="550">
        <f t="shared" si="2"/>
        <v>0.95368516239316237</v>
      </c>
      <c r="H28" s="73"/>
      <c r="I28" s="73"/>
      <c r="J28" s="73"/>
      <c r="K28" s="73"/>
      <c r="L28" s="73"/>
      <c r="M28" s="73"/>
      <c r="N28" s="73"/>
    </row>
    <row r="29" spans="1:14" s="163" customFormat="1" ht="20.25" customHeight="1">
      <c r="A29" s="441">
        <v>7</v>
      </c>
      <c r="B29" s="446" t="s">
        <v>434</v>
      </c>
      <c r="C29" s="443">
        <v>2604000000</v>
      </c>
      <c r="D29" s="443">
        <f>[2]B56!K10</f>
        <v>3658549728</v>
      </c>
      <c r="E29" s="549">
        <f t="shared" si="1"/>
        <v>1054549728</v>
      </c>
      <c r="F29" s="550">
        <f t="shared" si="2"/>
        <v>1.4049730138248848</v>
      </c>
      <c r="H29" s="73"/>
      <c r="I29" s="73"/>
      <c r="J29" s="73"/>
      <c r="K29" s="73"/>
      <c r="L29" s="73"/>
      <c r="M29" s="73"/>
      <c r="N29" s="73"/>
    </row>
    <row r="30" spans="1:14" s="163" customFormat="1" ht="20.25" customHeight="1">
      <c r="A30" s="441">
        <v>8</v>
      </c>
      <c r="B30" s="446" t="s">
        <v>100</v>
      </c>
      <c r="C30" s="443">
        <v>616000000</v>
      </c>
      <c r="D30" s="443">
        <f>[2]B56!L10</f>
        <v>616506600</v>
      </c>
      <c r="E30" s="549">
        <f t="shared" si="1"/>
        <v>506600</v>
      </c>
      <c r="F30" s="550">
        <f t="shared" si="2"/>
        <v>1.0008224025974026</v>
      </c>
      <c r="H30" s="73"/>
      <c r="I30" s="73"/>
      <c r="J30" s="73"/>
      <c r="K30" s="73"/>
      <c r="L30" s="73"/>
      <c r="M30" s="73"/>
      <c r="N30" s="73"/>
    </row>
    <row r="31" spans="1:14" s="163" customFormat="1" ht="20.25" customHeight="1">
      <c r="A31" s="441">
        <v>9</v>
      </c>
      <c r="B31" s="446" t="s">
        <v>101</v>
      </c>
      <c r="C31" s="443">
        <v>4232000000</v>
      </c>
      <c r="D31" s="443">
        <f>[2]B56!M10</f>
        <v>4420850000</v>
      </c>
      <c r="E31" s="549">
        <f t="shared" si="1"/>
        <v>188850000</v>
      </c>
      <c r="F31" s="550">
        <f t="shared" si="2"/>
        <v>1.0446242911153119</v>
      </c>
      <c r="H31" s="73"/>
      <c r="I31" s="73"/>
      <c r="J31" s="73"/>
      <c r="K31" s="73"/>
      <c r="L31" s="73"/>
      <c r="M31" s="73"/>
      <c r="N31" s="73"/>
    </row>
    <row r="32" spans="1:14" s="163" customFormat="1" ht="20.25" customHeight="1">
      <c r="A32" s="441">
        <v>10</v>
      </c>
      <c r="B32" s="446" t="s">
        <v>102</v>
      </c>
      <c r="C32" s="443">
        <f>54893000000+4318000000+18316000000+551000000+10714000000+979000000+1137000000+10660000000+200000000+30000000+28000000</f>
        <v>101826000000</v>
      </c>
      <c r="D32" s="443">
        <f>[2]B56!N10</f>
        <v>108000102423</v>
      </c>
      <c r="E32" s="549">
        <f t="shared" si="1"/>
        <v>6174102423</v>
      </c>
      <c r="F32" s="550">
        <f t="shared" si="2"/>
        <v>1.0606338501266868</v>
      </c>
      <c r="H32" s="73"/>
      <c r="I32" s="73"/>
      <c r="J32" s="73"/>
      <c r="K32" s="73"/>
      <c r="L32" s="73"/>
      <c r="M32" s="73"/>
      <c r="N32" s="73"/>
    </row>
    <row r="33" spans="1:14" s="163" customFormat="1" ht="20.25" customHeight="1">
      <c r="A33" s="441">
        <v>11</v>
      </c>
      <c r="B33" s="446" t="s">
        <v>435</v>
      </c>
      <c r="C33" s="443">
        <v>39040000000</v>
      </c>
      <c r="D33" s="443">
        <f>[2]B56!R10</f>
        <v>44460431779</v>
      </c>
      <c r="E33" s="549">
        <f t="shared" si="1"/>
        <v>5420431779</v>
      </c>
      <c r="F33" s="550">
        <f t="shared" si="2"/>
        <v>1.1388430271260246</v>
      </c>
      <c r="H33" s="73"/>
      <c r="I33" s="73"/>
      <c r="J33" s="73"/>
      <c r="K33" s="73"/>
      <c r="L33" s="73"/>
      <c r="M33" s="73"/>
      <c r="N33" s="73"/>
    </row>
    <row r="34" spans="1:14" s="163" customFormat="1" ht="20.25" customHeight="1">
      <c r="A34" s="441">
        <v>12</v>
      </c>
      <c r="B34" s="446" t="s">
        <v>321</v>
      </c>
      <c r="C34" s="443">
        <f>45545000000+3846000000+816000000</f>
        <v>50207000000</v>
      </c>
      <c r="D34" s="443">
        <f>[2]B56!S10</f>
        <v>55635717266</v>
      </c>
      <c r="E34" s="549">
        <f t="shared" si="1"/>
        <v>5428717266</v>
      </c>
      <c r="F34" s="550">
        <f t="shared" si="2"/>
        <v>1.1081267007787758</v>
      </c>
      <c r="H34" s="73"/>
      <c r="I34" s="73"/>
      <c r="J34" s="73"/>
      <c r="K34" s="73"/>
      <c r="L34" s="73"/>
      <c r="M34" s="73"/>
      <c r="N34" s="73"/>
    </row>
    <row r="35" spans="1:14" s="163" customFormat="1" ht="20.25" customHeight="1">
      <c r="A35" s="441">
        <v>13</v>
      </c>
      <c r="B35" s="446" t="s">
        <v>322</v>
      </c>
      <c r="C35" s="443">
        <v>14572000000</v>
      </c>
      <c r="D35" s="443">
        <f>[2]B56!T10</f>
        <v>170000000</v>
      </c>
      <c r="E35" s="549">
        <f t="shared" si="1"/>
        <v>-14402000000</v>
      </c>
      <c r="F35" s="550">
        <f t="shared" si="2"/>
        <v>1.166620916826791E-2</v>
      </c>
      <c r="H35" s="73"/>
      <c r="I35" s="73"/>
      <c r="J35" s="73"/>
      <c r="K35" s="73"/>
      <c r="L35" s="73"/>
      <c r="M35" s="73"/>
      <c r="N35" s="73"/>
    </row>
    <row r="36" spans="1:14" s="125" customFormat="1" ht="20.25" customHeight="1">
      <c r="A36" s="417" t="s">
        <v>13</v>
      </c>
      <c r="B36" s="438" t="s">
        <v>20</v>
      </c>
      <c r="C36" s="439">
        <v>12835000000</v>
      </c>
      <c r="D36" s="448"/>
      <c r="E36" s="547">
        <f t="shared" si="1"/>
        <v>-12835000000</v>
      </c>
      <c r="F36" s="550"/>
      <c r="G36" s="162"/>
      <c r="H36" s="159"/>
      <c r="I36" s="159"/>
      <c r="J36" s="159"/>
      <c r="K36" s="159"/>
      <c r="L36" s="159"/>
      <c r="M36" s="159"/>
      <c r="N36" s="159"/>
    </row>
    <row r="37" spans="1:14" s="72" customFormat="1" ht="20.25" hidden="1" customHeight="1">
      <c r="A37" s="417" t="s">
        <v>14</v>
      </c>
      <c r="B37" s="438" t="s">
        <v>59</v>
      </c>
      <c r="C37" s="552"/>
      <c r="D37" s="552"/>
      <c r="E37" s="547">
        <f t="shared" si="1"/>
        <v>0</v>
      </c>
      <c r="F37" s="550" t="e">
        <f>D37/C37</f>
        <v>#DIV/0!</v>
      </c>
      <c r="G37" s="107"/>
      <c r="H37" s="73"/>
      <c r="I37" s="73"/>
      <c r="J37" s="73"/>
      <c r="K37" s="73"/>
      <c r="L37" s="73"/>
      <c r="M37" s="73"/>
      <c r="N37" s="73"/>
    </row>
    <row r="38" spans="1:14" s="72" customFormat="1" ht="20.25" customHeight="1">
      <c r="A38" s="417" t="s">
        <v>16</v>
      </c>
      <c r="B38" s="438" t="s">
        <v>269</v>
      </c>
      <c r="C38" s="552"/>
      <c r="D38" s="439">
        <f>[2]B55!M11+[2]B56!U10</f>
        <v>2800486306</v>
      </c>
      <c r="E38" s="547">
        <f t="shared" si="1"/>
        <v>2800486306</v>
      </c>
      <c r="F38" s="550"/>
      <c r="G38" s="107"/>
      <c r="H38" s="73"/>
      <c r="I38" s="73"/>
      <c r="J38" s="73"/>
      <c r="K38" s="73"/>
      <c r="L38" s="73"/>
      <c r="M38" s="73"/>
      <c r="N38" s="73"/>
    </row>
    <row r="39" spans="1:14" s="72" customFormat="1" ht="20.25" customHeight="1">
      <c r="A39" s="452" t="s">
        <v>267</v>
      </c>
      <c r="B39" s="453" t="s">
        <v>77</v>
      </c>
      <c r="C39" s="553"/>
      <c r="D39" s="454">
        <v>133115684926</v>
      </c>
      <c r="E39" s="554">
        <f t="shared" si="1"/>
        <v>133115684926</v>
      </c>
      <c r="F39" s="555"/>
      <c r="G39" s="107"/>
      <c r="H39" s="73"/>
      <c r="I39" s="73"/>
      <c r="J39" s="73"/>
      <c r="K39" s="73"/>
      <c r="L39" s="73"/>
      <c r="M39" s="73"/>
      <c r="N39" s="73"/>
    </row>
    <row r="40" spans="1:14" ht="18.75">
      <c r="A40" s="5"/>
      <c r="B40" s="5"/>
      <c r="C40" s="5"/>
      <c r="D40" s="5"/>
    </row>
  </sheetData>
  <mergeCells count="10">
    <mergeCell ref="F6:F7"/>
    <mergeCell ref="A2:F2"/>
    <mergeCell ref="A3:F3"/>
    <mergeCell ref="D4:F4"/>
    <mergeCell ref="C5:C7"/>
    <mergeCell ref="D5:D7"/>
    <mergeCell ref="E5:F5"/>
    <mergeCell ref="A5:A7"/>
    <mergeCell ref="B5:B7"/>
    <mergeCell ref="E6:E7"/>
  </mergeCells>
  <phoneticPr fontId="16" type="noConversion"/>
  <pageMargins left="0.56999999999999995" right="0.25" top="0.53" bottom="0.25" header="0.32" footer="0.511811023622047"/>
  <pageSetup paperSize="9" scale="95" fitToHeight="0" orientation="portrait"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00"/>
    <pageSetUpPr fitToPage="1"/>
  </sheetPr>
  <dimension ref="A1:M165"/>
  <sheetViews>
    <sheetView showZeros="0" view="pageBreakPreview" zoomScaleNormal="100" zoomScaleSheetLayoutView="100" workbookViewId="0">
      <pane xSplit="2" ySplit="9" topLeftCell="C158" activePane="bottomRight" state="frozen"/>
      <selection pane="topRight" activeCell="C1" sqref="C1"/>
      <selection pane="bottomLeft" activeCell="A10" sqref="A10"/>
      <selection pane="bottomRight" activeCell="G165" sqref="G165"/>
    </sheetView>
  </sheetViews>
  <sheetFormatPr defaultColWidth="9" defaultRowHeight="15.75"/>
  <cols>
    <col min="1" max="1" width="4.5" style="48" customWidth="1"/>
    <col min="2" max="2" width="37" style="48" customWidth="1"/>
    <col min="3" max="3" width="16.375" style="48" customWidth="1"/>
    <col min="4" max="4" width="15.875" style="48" customWidth="1"/>
    <col min="5" max="5" width="15.25" style="48" customWidth="1"/>
    <col min="6" max="6" width="16.625" style="48" customWidth="1"/>
    <col min="7" max="8" width="15.25" style="48" customWidth="1"/>
    <col min="9" max="10" width="8.375" style="48" customWidth="1"/>
    <col min="11" max="11" width="7.125" style="48" customWidth="1"/>
    <col min="12" max="12" width="5.375" style="48" customWidth="1"/>
    <col min="13" max="13" width="17.875" style="350" bestFit="1" customWidth="1"/>
    <col min="14" max="16384" width="9" style="48"/>
  </cols>
  <sheetData>
    <row r="1" spans="1:13" ht="16.5" customHeight="1">
      <c r="A1" s="428"/>
      <c r="B1" s="428"/>
      <c r="C1" s="429"/>
      <c r="D1" s="430"/>
      <c r="E1" s="429"/>
      <c r="F1" s="430"/>
      <c r="G1" s="430"/>
      <c r="H1" s="429"/>
      <c r="I1" s="906" t="s">
        <v>109</v>
      </c>
      <c r="J1" s="906"/>
      <c r="K1" s="906"/>
      <c r="L1" s="97"/>
    </row>
    <row r="2" spans="1:13" ht="21.75" customHeight="1">
      <c r="A2" s="869" t="s">
        <v>826</v>
      </c>
      <c r="B2" s="869"/>
      <c r="C2" s="869"/>
      <c r="D2" s="869"/>
      <c r="E2" s="869"/>
      <c r="F2" s="869"/>
      <c r="G2" s="869"/>
      <c r="H2" s="869"/>
      <c r="I2" s="869"/>
      <c r="J2" s="869"/>
      <c r="K2" s="869"/>
      <c r="L2" s="161"/>
    </row>
    <row r="3" spans="1:13" ht="22.5" customHeight="1">
      <c r="A3" s="556" t="str">
        <f>'B48'!A3</f>
        <v>(Kèm theo Báo cáo số  289/BC-UBND ngày  17 /6 /2024 của UBND huyện Tuần Giáo)</v>
      </c>
      <c r="B3" s="557"/>
      <c r="C3" s="429"/>
      <c r="D3" s="429"/>
      <c r="E3" s="429"/>
      <c r="F3" s="429"/>
      <c r="G3" s="429"/>
      <c r="H3" s="429"/>
      <c r="I3" s="429"/>
      <c r="J3" s="429"/>
      <c r="K3" s="429"/>
      <c r="L3" s="50"/>
    </row>
    <row r="4" spans="1:13" ht="15" customHeight="1">
      <c r="A4" s="433"/>
      <c r="B4" s="433"/>
      <c r="C4" s="545"/>
      <c r="D4" s="324"/>
      <c r="E4" s="324"/>
      <c r="F4" s="359"/>
      <c r="G4" s="558"/>
      <c r="H4" s="558"/>
      <c r="I4" s="909" t="s">
        <v>201</v>
      </c>
      <c r="J4" s="909"/>
      <c r="K4" s="909"/>
      <c r="L4" s="85"/>
    </row>
    <row r="5" spans="1:13" s="72" customFormat="1" ht="17.25" customHeight="1">
      <c r="A5" s="871" t="s">
        <v>51</v>
      </c>
      <c r="B5" s="871" t="s">
        <v>120</v>
      </c>
      <c r="C5" s="907" t="s">
        <v>45</v>
      </c>
      <c r="D5" s="903" t="s">
        <v>29</v>
      </c>
      <c r="E5" s="903"/>
      <c r="F5" s="907" t="s">
        <v>50</v>
      </c>
      <c r="G5" s="903" t="s">
        <v>29</v>
      </c>
      <c r="H5" s="903"/>
      <c r="I5" s="903" t="s">
        <v>75</v>
      </c>
      <c r="J5" s="903"/>
      <c r="K5" s="903"/>
      <c r="L5" s="171"/>
      <c r="M5" s="107"/>
    </row>
    <row r="6" spans="1:13" s="72" customFormat="1" ht="17.25" customHeight="1">
      <c r="A6" s="872"/>
      <c r="B6" s="872"/>
      <c r="C6" s="908"/>
      <c r="D6" s="904" t="s">
        <v>121</v>
      </c>
      <c r="E6" s="904" t="s">
        <v>122</v>
      </c>
      <c r="F6" s="908"/>
      <c r="G6" s="904" t="s">
        <v>121</v>
      </c>
      <c r="H6" s="904" t="s">
        <v>122</v>
      </c>
      <c r="I6" s="904" t="s">
        <v>425</v>
      </c>
      <c r="J6" s="904" t="s">
        <v>426</v>
      </c>
      <c r="K6" s="904" t="s">
        <v>122</v>
      </c>
      <c r="L6" s="172"/>
      <c r="M6" s="107"/>
    </row>
    <row r="7" spans="1:13" s="72" customFormat="1" ht="17.25" customHeight="1">
      <c r="A7" s="873"/>
      <c r="B7" s="873"/>
      <c r="C7" s="905"/>
      <c r="D7" s="905"/>
      <c r="E7" s="905"/>
      <c r="F7" s="905"/>
      <c r="G7" s="905"/>
      <c r="H7" s="905"/>
      <c r="I7" s="905" t="s">
        <v>35</v>
      </c>
      <c r="J7" s="905"/>
      <c r="K7" s="905"/>
      <c r="L7" s="172"/>
      <c r="M7" s="107"/>
    </row>
    <row r="8" spans="1:13" s="124" customFormat="1" ht="14.25" customHeight="1">
      <c r="A8" s="80" t="s">
        <v>3</v>
      </c>
      <c r="B8" s="80" t="s">
        <v>4</v>
      </c>
      <c r="C8" s="80" t="s">
        <v>31</v>
      </c>
      <c r="D8" s="80">
        <v>2</v>
      </c>
      <c r="E8" s="80">
        <f>D8+1</f>
        <v>3</v>
      </c>
      <c r="F8" s="80" t="s">
        <v>32</v>
      </c>
      <c r="G8" s="80">
        <v>5</v>
      </c>
      <c r="H8" s="80">
        <f>G8+1</f>
        <v>6</v>
      </c>
      <c r="I8" s="80" t="s">
        <v>36</v>
      </c>
      <c r="J8" s="80" t="s">
        <v>37</v>
      </c>
      <c r="K8" s="80" t="s">
        <v>38</v>
      </c>
      <c r="L8" s="173"/>
      <c r="M8" s="351"/>
    </row>
    <row r="9" spans="1:13" s="72" customFormat="1" ht="21" customHeight="1">
      <c r="A9" s="559"/>
      <c r="B9" s="560" t="s">
        <v>353</v>
      </c>
      <c r="C9" s="561">
        <f>C10+C40+C164+C165</f>
        <v>948814000000</v>
      </c>
      <c r="D9" s="561">
        <f t="shared" ref="D9:H9" si="0">D10+D40+D164+D165</f>
        <v>806364000000</v>
      </c>
      <c r="E9" s="561">
        <f t="shared" si="0"/>
        <v>142450000000</v>
      </c>
      <c r="F9" s="561">
        <f>F10+F40+F164+F165</f>
        <v>1109095326557</v>
      </c>
      <c r="G9" s="561">
        <f t="shared" si="0"/>
        <v>968526458939</v>
      </c>
      <c r="H9" s="561">
        <f t="shared" si="0"/>
        <v>140568867618</v>
      </c>
      <c r="I9" s="437">
        <f>F9/C9</f>
        <v>1.1689280792199526</v>
      </c>
      <c r="J9" s="437">
        <f t="shared" ref="I9:K11" si="1">G9/D9</f>
        <v>1.2011032969465403</v>
      </c>
      <c r="K9" s="437">
        <f t="shared" si="1"/>
        <v>0.98679443747279749</v>
      </c>
      <c r="L9" s="174"/>
      <c r="M9" s="107"/>
    </row>
    <row r="10" spans="1:13" s="72" customFormat="1" ht="17.25" customHeight="1">
      <c r="A10" s="417" t="s">
        <v>3</v>
      </c>
      <c r="B10" s="438" t="s">
        <v>93</v>
      </c>
      <c r="C10" s="439">
        <f t="shared" ref="C10:E10" si="2">C11+C25+C39</f>
        <v>734706000000</v>
      </c>
      <c r="D10" s="439">
        <f t="shared" si="2"/>
        <v>641835000000</v>
      </c>
      <c r="E10" s="439">
        <f t="shared" si="2"/>
        <v>92871000000</v>
      </c>
      <c r="F10" s="439">
        <f>F11+F25+F39</f>
        <v>792946685042</v>
      </c>
      <c r="G10" s="439">
        <f t="shared" ref="G10:H10" si="3">G11+G25+G39</f>
        <v>690341546694</v>
      </c>
      <c r="H10" s="439">
        <f t="shared" si="3"/>
        <v>102605138348</v>
      </c>
      <c r="I10" s="445">
        <f t="shared" si="1"/>
        <v>1.0792707355622522</v>
      </c>
      <c r="J10" s="445">
        <f t="shared" si="1"/>
        <v>1.0755747921101217</v>
      </c>
      <c r="K10" s="445">
        <f t="shared" si="1"/>
        <v>1.1048135408039108</v>
      </c>
      <c r="L10" s="174"/>
      <c r="M10" s="107"/>
    </row>
    <row r="11" spans="1:13" s="72" customFormat="1" ht="17.25" customHeight="1">
      <c r="A11" s="417" t="s">
        <v>11</v>
      </c>
      <c r="B11" s="438" t="s">
        <v>25</v>
      </c>
      <c r="C11" s="439">
        <f>D11+E11</f>
        <v>36868000000</v>
      </c>
      <c r="D11" s="439">
        <f>D12+D24</f>
        <v>34168000000</v>
      </c>
      <c r="E11" s="439">
        <f>E12+E24</f>
        <v>2700000000</v>
      </c>
      <c r="F11" s="439">
        <f t="shared" ref="F11:H11" si="4">F12+F24</f>
        <v>51274420303</v>
      </c>
      <c r="G11" s="439">
        <f t="shared" si="4"/>
        <v>50553418818</v>
      </c>
      <c r="H11" s="439">
        <f t="shared" si="4"/>
        <v>721001485</v>
      </c>
      <c r="I11" s="445">
        <f t="shared" si="1"/>
        <v>1.3907567620429642</v>
      </c>
      <c r="J11" s="445">
        <f t="shared" si="1"/>
        <v>1.4795545193748536</v>
      </c>
      <c r="K11" s="445">
        <f t="shared" si="1"/>
        <v>0.26703758703703706</v>
      </c>
      <c r="L11" s="174"/>
      <c r="M11" s="107"/>
    </row>
    <row r="12" spans="1:13" s="72" customFormat="1" ht="17.25" customHeight="1">
      <c r="A12" s="417">
        <v>1</v>
      </c>
      <c r="B12" s="438" t="s">
        <v>58</v>
      </c>
      <c r="C12" s="443">
        <f>D12+E12</f>
        <v>36868000000</v>
      </c>
      <c r="D12" s="443">
        <f>D20</f>
        <v>34168000000</v>
      </c>
      <c r="E12" s="443">
        <f>E20</f>
        <v>2700000000</v>
      </c>
      <c r="F12" s="443">
        <f t="shared" ref="F12:F59" si="5">+G12+H12</f>
        <v>47520465894</v>
      </c>
      <c r="G12" s="443">
        <f>G20</f>
        <v>46799464409</v>
      </c>
      <c r="H12" s="443">
        <f>H20</f>
        <v>721001485</v>
      </c>
      <c r="I12" s="445">
        <f>F12/C12</f>
        <v>1.2889352797548008</v>
      </c>
      <c r="J12" s="445">
        <f>G12/D12</f>
        <v>1.3696869705279795</v>
      </c>
      <c r="K12" s="445">
        <f>H12/E12</f>
        <v>0.26703758703703706</v>
      </c>
      <c r="L12" s="175"/>
      <c r="M12" s="107"/>
    </row>
    <row r="13" spans="1:13" s="72" customFormat="1" ht="17.25" customHeight="1">
      <c r="A13" s="417" t="s">
        <v>364</v>
      </c>
      <c r="B13" s="438" t="s">
        <v>118</v>
      </c>
      <c r="C13" s="443">
        <f>D13+E13</f>
        <v>36868000000</v>
      </c>
      <c r="D13" s="443">
        <f>SUM(D14:D19)</f>
        <v>34168000000</v>
      </c>
      <c r="E13" s="443">
        <f>SUM(E14:E19)</f>
        <v>2700000000</v>
      </c>
      <c r="F13" s="443">
        <f>+G13+H13</f>
        <v>47520465894</v>
      </c>
      <c r="G13" s="443">
        <f>SUM(G14:G19)</f>
        <v>46799464409</v>
      </c>
      <c r="H13" s="443">
        <f>SUM(H14:H19)</f>
        <v>721001485</v>
      </c>
      <c r="I13" s="445">
        <f t="shared" ref="I13:I61" si="6">F13/C13</f>
        <v>1.2889352797548008</v>
      </c>
      <c r="J13" s="445">
        <f t="shared" ref="J13:J61" si="7">G13/D13</f>
        <v>1.3696869705279795</v>
      </c>
      <c r="K13" s="445">
        <f t="shared" ref="K13:K60" si="8">H13/E13</f>
        <v>0.26703758703703706</v>
      </c>
      <c r="L13" s="175"/>
      <c r="M13" s="107"/>
    </row>
    <row r="14" spans="1:13" s="72" customFormat="1" ht="17.25" customHeight="1">
      <c r="A14" s="447" t="s">
        <v>9</v>
      </c>
      <c r="B14" s="551" t="s">
        <v>116</v>
      </c>
      <c r="C14" s="443">
        <f t="shared" ref="C14:C24" si="9">D14+E14</f>
        <v>6000000000</v>
      </c>
      <c r="D14" s="443">
        <v>6000000000</v>
      </c>
      <c r="E14" s="443"/>
      <c r="F14" s="443">
        <f t="shared" si="5"/>
        <v>10564334000</v>
      </c>
      <c r="G14" s="443">
        <v>10564334000</v>
      </c>
      <c r="H14" s="443"/>
      <c r="I14" s="445">
        <f t="shared" si="6"/>
        <v>1.7607223333333333</v>
      </c>
      <c r="J14" s="445">
        <f t="shared" si="7"/>
        <v>1.7607223333333333</v>
      </c>
      <c r="K14" s="445">
        <f>IFERROR(H14/E14,0)</f>
        <v>0</v>
      </c>
      <c r="L14" s="175"/>
      <c r="M14" s="107"/>
    </row>
    <row r="15" spans="1:13" s="72" customFormat="1" ht="17.25" customHeight="1">
      <c r="A15" s="447" t="s">
        <v>148</v>
      </c>
      <c r="B15" s="442" t="s">
        <v>102</v>
      </c>
      <c r="C15" s="443">
        <f t="shared" si="9"/>
        <v>30868000000</v>
      </c>
      <c r="D15" s="443">
        <v>28168000000</v>
      </c>
      <c r="E15" s="443">
        <v>2700000000</v>
      </c>
      <c r="F15" s="443">
        <f t="shared" si="5"/>
        <v>36801815894</v>
      </c>
      <c r="G15" s="443">
        <v>36080814409</v>
      </c>
      <c r="H15" s="443">
        <v>721001485</v>
      </c>
      <c r="I15" s="445">
        <f t="shared" si="6"/>
        <v>1.1922319519891149</v>
      </c>
      <c r="J15" s="445">
        <f t="shared" si="7"/>
        <v>1.2809150244603806</v>
      </c>
      <c r="K15" s="445">
        <f t="shared" si="8"/>
        <v>0.26703758703703706</v>
      </c>
      <c r="L15" s="175"/>
      <c r="M15" s="107"/>
    </row>
    <row r="16" spans="1:13" s="72" customFormat="1" ht="17.25" hidden="1" customHeight="1">
      <c r="A16" s="447" t="s">
        <v>9</v>
      </c>
      <c r="B16" s="442" t="s">
        <v>435</v>
      </c>
      <c r="C16" s="443">
        <f t="shared" si="9"/>
        <v>0</v>
      </c>
      <c r="D16" s="443"/>
      <c r="E16" s="443"/>
      <c r="F16" s="443">
        <f t="shared" si="5"/>
        <v>0</v>
      </c>
      <c r="G16" s="443"/>
      <c r="H16" s="443"/>
      <c r="I16" s="445" t="e">
        <f t="shared" si="6"/>
        <v>#DIV/0!</v>
      </c>
      <c r="J16" s="445" t="e">
        <f t="shared" si="7"/>
        <v>#DIV/0!</v>
      </c>
      <c r="K16" s="445" t="e">
        <f t="shared" si="8"/>
        <v>#DIV/0!</v>
      </c>
      <c r="L16" s="175"/>
      <c r="M16" s="107"/>
    </row>
    <row r="17" spans="1:13" s="72" customFormat="1" ht="17.25" hidden="1" customHeight="1">
      <c r="A17" s="447" t="s">
        <v>9</v>
      </c>
      <c r="B17" s="442" t="s">
        <v>101</v>
      </c>
      <c r="C17" s="443">
        <f>D17+E17</f>
        <v>0</v>
      </c>
      <c r="D17" s="443"/>
      <c r="E17" s="443"/>
      <c r="F17" s="443">
        <f t="shared" si="5"/>
        <v>0</v>
      </c>
      <c r="G17" s="443"/>
      <c r="H17" s="443"/>
      <c r="I17" s="445" t="e">
        <f t="shared" si="6"/>
        <v>#DIV/0!</v>
      </c>
      <c r="J17" s="445" t="e">
        <f t="shared" si="7"/>
        <v>#DIV/0!</v>
      </c>
      <c r="K17" s="445" t="e">
        <f t="shared" si="8"/>
        <v>#DIV/0!</v>
      </c>
      <c r="L17" s="175"/>
      <c r="M17" s="107"/>
    </row>
    <row r="18" spans="1:13" s="72" customFormat="1" ht="17.25" customHeight="1">
      <c r="A18" s="441" t="s">
        <v>9</v>
      </c>
      <c r="B18" s="442" t="s">
        <v>98</v>
      </c>
      <c r="C18" s="443">
        <f t="shared" si="9"/>
        <v>0</v>
      </c>
      <c r="D18" s="443"/>
      <c r="E18" s="443"/>
      <c r="F18" s="443">
        <f t="shared" si="5"/>
        <v>154316000</v>
      </c>
      <c r="G18" s="443">
        <v>154316000</v>
      </c>
      <c r="H18" s="443"/>
      <c r="I18" s="445">
        <f>IFERROR(F18/C18,0)</f>
        <v>0</v>
      </c>
      <c r="J18" s="445">
        <f t="shared" ref="J18:K18" si="10">IFERROR(G18/D18,0)</f>
        <v>0</v>
      </c>
      <c r="K18" s="445">
        <f t="shared" si="10"/>
        <v>0</v>
      </c>
      <c r="L18" s="175"/>
      <c r="M18" s="107"/>
    </row>
    <row r="19" spans="1:13" s="355" customFormat="1" ht="17.25" hidden="1" customHeight="1">
      <c r="A19" s="562" t="s">
        <v>9</v>
      </c>
      <c r="B19" s="563" t="s">
        <v>321</v>
      </c>
      <c r="C19" s="564">
        <f t="shared" si="9"/>
        <v>0</v>
      </c>
      <c r="D19" s="564"/>
      <c r="E19" s="564"/>
      <c r="F19" s="564">
        <f t="shared" si="5"/>
        <v>0</v>
      </c>
      <c r="G19" s="564"/>
      <c r="H19" s="564"/>
      <c r="I19" s="565" t="e">
        <f t="shared" si="6"/>
        <v>#DIV/0!</v>
      </c>
      <c r="J19" s="565" t="e">
        <f t="shared" si="7"/>
        <v>#DIV/0!</v>
      </c>
      <c r="K19" s="565" t="e">
        <f t="shared" si="8"/>
        <v>#DIV/0!</v>
      </c>
      <c r="L19" s="353"/>
      <c r="M19" s="354"/>
    </row>
    <row r="20" spans="1:13" s="72" customFormat="1" ht="17.25" customHeight="1">
      <c r="A20" s="417" t="s">
        <v>364</v>
      </c>
      <c r="B20" s="438" t="s">
        <v>119</v>
      </c>
      <c r="C20" s="443">
        <f>D20+E20</f>
        <v>36868000000</v>
      </c>
      <c r="D20" s="443">
        <f>SUM(D21:D24)</f>
        <v>34168000000</v>
      </c>
      <c r="E20" s="443">
        <f>SUM(E21:E24)</f>
        <v>2700000000</v>
      </c>
      <c r="F20" s="443">
        <f>+G20+H20</f>
        <v>47520465894</v>
      </c>
      <c r="G20" s="443">
        <f>SUM(G21:G24)</f>
        <v>46799464409</v>
      </c>
      <c r="H20" s="443">
        <f>SUM(H21:H24)</f>
        <v>721001485</v>
      </c>
      <c r="I20" s="445">
        <f t="shared" si="6"/>
        <v>1.2889352797548008</v>
      </c>
      <c r="J20" s="445">
        <f t="shared" si="7"/>
        <v>1.3696869705279795</v>
      </c>
      <c r="K20" s="445">
        <f t="shared" si="8"/>
        <v>0.26703758703703706</v>
      </c>
      <c r="L20" s="175"/>
      <c r="M20" s="107"/>
    </row>
    <row r="21" spans="1:13" s="72" customFormat="1" ht="17.25" customHeight="1">
      <c r="A21" s="441" t="s">
        <v>9</v>
      </c>
      <c r="B21" s="446" t="s">
        <v>423</v>
      </c>
      <c r="C21" s="443">
        <f t="shared" si="9"/>
        <v>23368000000</v>
      </c>
      <c r="D21" s="443">
        <v>23368000000</v>
      </c>
      <c r="E21" s="443"/>
      <c r="F21" s="443">
        <f>+G21+H21</f>
        <v>30741533000</v>
      </c>
      <c r="G21" s="443">
        <v>30741533000</v>
      </c>
      <c r="H21" s="443"/>
      <c r="I21" s="445">
        <f t="shared" si="6"/>
        <v>1.3155397552208148</v>
      </c>
      <c r="J21" s="445">
        <f t="shared" si="7"/>
        <v>1.3155397552208148</v>
      </c>
      <c r="K21" s="445">
        <f>IFERROR(H21/E21,0)</f>
        <v>0</v>
      </c>
      <c r="L21" s="175"/>
      <c r="M21" s="107"/>
    </row>
    <row r="22" spans="1:13" s="72" customFormat="1" ht="17.25" customHeight="1">
      <c r="A22" s="441" t="s">
        <v>9</v>
      </c>
      <c r="B22" s="446" t="s">
        <v>424</v>
      </c>
      <c r="C22" s="443">
        <f t="shared" si="9"/>
        <v>13500000000</v>
      </c>
      <c r="D22" s="443">
        <v>10800000000</v>
      </c>
      <c r="E22" s="443">
        <v>2700000000</v>
      </c>
      <c r="F22" s="443">
        <f>+G22+H22</f>
        <v>13024978485</v>
      </c>
      <c r="G22" s="443">
        <v>12303977000</v>
      </c>
      <c r="H22" s="443">
        <v>721001485</v>
      </c>
      <c r="I22" s="445">
        <f t="shared" si="6"/>
        <v>0.96481322111111112</v>
      </c>
      <c r="J22" s="445">
        <f t="shared" si="7"/>
        <v>1.1392571296296297</v>
      </c>
      <c r="K22" s="445">
        <f t="shared" si="8"/>
        <v>0.26703758703703706</v>
      </c>
      <c r="L22" s="175"/>
      <c r="M22" s="107"/>
    </row>
    <row r="23" spans="1:13" s="72" customFormat="1" ht="33" customHeight="1">
      <c r="A23" s="441" t="s">
        <v>9</v>
      </c>
      <c r="B23" s="446" t="s">
        <v>406</v>
      </c>
      <c r="C23" s="443">
        <f t="shared" si="9"/>
        <v>0</v>
      </c>
      <c r="D23" s="443"/>
      <c r="E23" s="443"/>
      <c r="F23" s="443">
        <f t="shared" si="5"/>
        <v>0</v>
      </c>
      <c r="G23" s="443"/>
      <c r="H23" s="443"/>
      <c r="I23" s="445">
        <f t="shared" ref="I23:K24" si="11">IFERROR(F23/C23,0)</f>
        <v>0</v>
      </c>
      <c r="J23" s="445">
        <f t="shared" si="11"/>
        <v>0</v>
      </c>
      <c r="K23" s="445">
        <f t="shared" si="11"/>
        <v>0</v>
      </c>
      <c r="L23" s="175"/>
      <c r="M23" s="107"/>
    </row>
    <row r="24" spans="1:13" s="72" customFormat="1" ht="19.5" customHeight="1">
      <c r="A24" s="417">
        <v>2</v>
      </c>
      <c r="B24" s="438" t="s">
        <v>407</v>
      </c>
      <c r="C24" s="443">
        <f t="shared" si="9"/>
        <v>0</v>
      </c>
      <c r="D24" s="443"/>
      <c r="E24" s="443"/>
      <c r="F24" s="443">
        <f t="shared" si="5"/>
        <v>3753954409</v>
      </c>
      <c r="G24" s="443">
        <v>3753954409</v>
      </c>
      <c r="H24" s="443"/>
      <c r="I24" s="445">
        <f t="shared" si="11"/>
        <v>0</v>
      </c>
      <c r="J24" s="445">
        <f t="shared" si="11"/>
        <v>0</v>
      </c>
      <c r="K24" s="445">
        <f t="shared" si="11"/>
        <v>0</v>
      </c>
      <c r="L24" s="175"/>
      <c r="M24" s="107"/>
    </row>
    <row r="25" spans="1:13" s="72" customFormat="1" ht="19.5" customHeight="1">
      <c r="A25" s="417" t="s">
        <v>12</v>
      </c>
      <c r="B25" s="438" t="s">
        <v>19</v>
      </c>
      <c r="C25" s="439">
        <f>D25+E25</f>
        <v>683144000000</v>
      </c>
      <c r="D25" s="566">
        <f>SUM(D26:D38)</f>
        <v>594832000000</v>
      </c>
      <c r="E25" s="566">
        <f>SUM(E26:E38)</f>
        <v>88312000000</v>
      </c>
      <c r="F25" s="566">
        <f t="shared" ref="F25:H25" si="12">SUM(F26:F38)</f>
        <v>741672264739</v>
      </c>
      <c r="G25" s="566">
        <f t="shared" si="12"/>
        <v>639788127876</v>
      </c>
      <c r="H25" s="566">
        <f t="shared" si="12"/>
        <v>101884136863</v>
      </c>
      <c r="I25" s="445">
        <f t="shared" si="6"/>
        <v>1.0856748573346175</v>
      </c>
      <c r="J25" s="445">
        <f t="shared" si="7"/>
        <v>1.0755778570688868</v>
      </c>
      <c r="K25" s="445">
        <f t="shared" si="8"/>
        <v>1.1536839485347405</v>
      </c>
      <c r="L25" s="174"/>
      <c r="M25" s="107"/>
    </row>
    <row r="26" spans="1:13" s="72" customFormat="1" ht="19.5" customHeight="1">
      <c r="A26" s="441">
        <v>1</v>
      </c>
      <c r="B26" s="446" t="s">
        <v>116</v>
      </c>
      <c r="C26" s="443">
        <f>D26+E26</f>
        <v>425458000000</v>
      </c>
      <c r="D26" s="443">
        <v>424458000000</v>
      </c>
      <c r="E26" s="443">
        <v>1000000000</v>
      </c>
      <c r="F26" s="443">
        <f t="shared" si="5"/>
        <v>460833695527</v>
      </c>
      <c r="G26" s="443">
        <v>460090236627</v>
      </c>
      <c r="H26" s="443">
        <v>743458900</v>
      </c>
      <c r="I26" s="445">
        <f t="shared" si="6"/>
        <v>1.0831473271791809</v>
      </c>
      <c r="J26" s="445">
        <f t="shared" si="7"/>
        <v>1.0839476146685891</v>
      </c>
      <c r="K26" s="445">
        <f t="shared" si="8"/>
        <v>0.74345890000000003</v>
      </c>
      <c r="L26" s="175"/>
      <c r="M26" s="107"/>
    </row>
    <row r="27" spans="1:13" s="72" customFormat="1" ht="19.5" customHeight="1">
      <c r="A27" s="441">
        <v>2</v>
      </c>
      <c r="B27" s="446" t="s">
        <v>68</v>
      </c>
      <c r="C27" s="443">
        <f t="shared" ref="C27:C38" si="13">D27+E27</f>
        <v>600000000</v>
      </c>
      <c r="D27" s="443">
        <v>600000000</v>
      </c>
      <c r="E27" s="443"/>
      <c r="F27" s="443">
        <f t="shared" si="5"/>
        <v>315080670</v>
      </c>
      <c r="G27" s="443">
        <v>315080670</v>
      </c>
      <c r="H27" s="443"/>
      <c r="I27" s="445">
        <f t="shared" si="6"/>
        <v>0.52513445000000003</v>
      </c>
      <c r="J27" s="445">
        <f t="shared" si="7"/>
        <v>0.52513445000000003</v>
      </c>
      <c r="K27" s="445">
        <f>IFERROR(H27/E27,0)</f>
        <v>0</v>
      </c>
      <c r="L27" s="175"/>
      <c r="M27" s="107"/>
    </row>
    <row r="28" spans="1:13" s="72" customFormat="1" ht="19.5" customHeight="1">
      <c r="A28" s="441">
        <v>3</v>
      </c>
      <c r="B28" s="446" t="s">
        <v>433</v>
      </c>
      <c r="C28" s="443">
        <f t="shared" si="13"/>
        <v>9082000000</v>
      </c>
      <c r="D28" s="443">
        <v>4854000000</v>
      </c>
      <c r="E28" s="443">
        <v>4228000000</v>
      </c>
      <c r="F28" s="443">
        <f t="shared" si="5"/>
        <v>11916776793</v>
      </c>
      <c r="G28" s="443">
        <v>6991600000</v>
      </c>
      <c r="H28" s="443">
        <v>4925176793</v>
      </c>
      <c r="I28" s="445">
        <f t="shared" si="6"/>
        <v>1.3121313359392204</v>
      </c>
      <c r="J28" s="445">
        <f t="shared" si="7"/>
        <v>1.4403790688092295</v>
      </c>
      <c r="K28" s="445">
        <f t="shared" si="8"/>
        <v>1.1648951733680226</v>
      </c>
      <c r="L28" s="175"/>
      <c r="M28" s="107"/>
    </row>
    <row r="29" spans="1:13" s="72" customFormat="1" ht="19.5" customHeight="1">
      <c r="A29" s="441">
        <v>4</v>
      </c>
      <c r="B29" s="446" t="s">
        <v>96</v>
      </c>
      <c r="C29" s="443">
        <f t="shared" si="13"/>
        <v>3299000000</v>
      </c>
      <c r="D29" s="443">
        <v>1432000000</v>
      </c>
      <c r="E29" s="443">
        <v>1867000000</v>
      </c>
      <c r="F29" s="443">
        <f t="shared" si="5"/>
        <v>7248043348</v>
      </c>
      <c r="G29" s="443">
        <v>3249020000</v>
      </c>
      <c r="H29" s="443">
        <v>3999023348</v>
      </c>
      <c r="I29" s="445">
        <f t="shared" si="6"/>
        <v>2.197042542588663</v>
      </c>
      <c r="J29" s="445">
        <f t="shared" si="7"/>
        <v>2.2688687150837987</v>
      </c>
      <c r="K29" s="445">
        <f t="shared" si="8"/>
        <v>2.1419514450990893</v>
      </c>
      <c r="L29" s="175"/>
      <c r="M29" s="107"/>
    </row>
    <row r="30" spans="1:13" s="72" customFormat="1" ht="19.5" customHeight="1">
      <c r="A30" s="441">
        <v>5</v>
      </c>
      <c r="B30" s="446" t="s">
        <v>97</v>
      </c>
      <c r="C30" s="443">
        <f t="shared" si="13"/>
        <v>200000000</v>
      </c>
      <c r="D30" s="443">
        <v>200000000</v>
      </c>
      <c r="E30" s="443"/>
      <c r="F30" s="443">
        <f t="shared" si="5"/>
        <v>184571400</v>
      </c>
      <c r="G30" s="443">
        <v>184571400</v>
      </c>
      <c r="H30" s="443"/>
      <c r="I30" s="445">
        <f t="shared" si="6"/>
        <v>0.92285700000000004</v>
      </c>
      <c r="J30" s="445">
        <f t="shared" si="7"/>
        <v>0.92285700000000004</v>
      </c>
      <c r="K30" s="445">
        <f>IFERROR(H30/E30,0)</f>
        <v>0</v>
      </c>
      <c r="L30" s="175"/>
      <c r="M30" s="107"/>
    </row>
    <row r="31" spans="1:13" s="72" customFormat="1" ht="19.5" customHeight="1">
      <c r="A31" s="441">
        <v>6</v>
      </c>
      <c r="B31" s="446" t="s">
        <v>98</v>
      </c>
      <c r="C31" s="443">
        <f t="shared" si="13"/>
        <v>3686000000</v>
      </c>
      <c r="D31" s="443">
        <v>1786000000</v>
      </c>
      <c r="E31" s="443">
        <v>1900000000</v>
      </c>
      <c r="F31" s="443">
        <f t="shared" si="5"/>
        <v>3544328340</v>
      </c>
      <c r="G31" s="443">
        <v>1652350420</v>
      </c>
      <c r="H31" s="443">
        <v>1891977920</v>
      </c>
      <c r="I31" s="445">
        <f t="shared" si="6"/>
        <v>0.9615649321758003</v>
      </c>
      <c r="J31" s="445">
        <f t="shared" si="7"/>
        <v>0.92516820828667412</v>
      </c>
      <c r="K31" s="445">
        <f t="shared" si="8"/>
        <v>0.99577785263157892</v>
      </c>
      <c r="L31" s="175"/>
      <c r="M31" s="107"/>
    </row>
    <row r="32" spans="1:13" s="72" customFormat="1" ht="19.5" customHeight="1">
      <c r="A32" s="441">
        <v>7</v>
      </c>
      <c r="B32" s="446" t="s">
        <v>434</v>
      </c>
      <c r="C32" s="443">
        <f t="shared" si="13"/>
        <v>2889000000</v>
      </c>
      <c r="D32" s="443">
        <v>2604000000</v>
      </c>
      <c r="E32" s="443">
        <v>285000000</v>
      </c>
      <c r="F32" s="443">
        <f t="shared" si="5"/>
        <v>3746228528</v>
      </c>
      <c r="G32" s="443">
        <v>3658549728</v>
      </c>
      <c r="H32" s="443">
        <v>87678800</v>
      </c>
      <c r="I32" s="445">
        <f t="shared" si="6"/>
        <v>1.2967215396330911</v>
      </c>
      <c r="J32" s="445">
        <f t="shared" si="7"/>
        <v>1.4049730138248848</v>
      </c>
      <c r="K32" s="445">
        <f t="shared" si="8"/>
        <v>0.30764491228070173</v>
      </c>
      <c r="L32" s="175"/>
      <c r="M32" s="107"/>
    </row>
    <row r="33" spans="1:13" s="72" customFormat="1" ht="19.5" customHeight="1">
      <c r="A33" s="441">
        <v>8</v>
      </c>
      <c r="B33" s="446" t="s">
        <v>100</v>
      </c>
      <c r="C33" s="443">
        <f t="shared" si="13"/>
        <v>616000000</v>
      </c>
      <c r="D33" s="443">
        <v>616000000</v>
      </c>
      <c r="E33" s="443"/>
      <c r="F33" s="443">
        <f t="shared" si="5"/>
        <v>616506600</v>
      </c>
      <c r="G33" s="443">
        <v>616506600</v>
      </c>
      <c r="H33" s="443"/>
      <c r="I33" s="445">
        <f t="shared" si="6"/>
        <v>1.0008224025974026</v>
      </c>
      <c r="J33" s="445">
        <f t="shared" si="7"/>
        <v>1.0008224025974026</v>
      </c>
      <c r="K33" s="445">
        <f>IFERROR(H33/E33,0)</f>
        <v>0</v>
      </c>
      <c r="L33" s="175"/>
      <c r="M33" s="107"/>
    </row>
    <row r="34" spans="1:13" s="72" customFormat="1" ht="19.5" customHeight="1">
      <c r="A34" s="441">
        <v>9</v>
      </c>
      <c r="B34" s="446" t="s">
        <v>101</v>
      </c>
      <c r="C34" s="443">
        <f t="shared" si="13"/>
        <v>4232000000</v>
      </c>
      <c r="D34" s="443">
        <v>4232000000</v>
      </c>
      <c r="E34" s="443"/>
      <c r="F34" s="443">
        <f t="shared" si="5"/>
        <v>4420850000</v>
      </c>
      <c r="G34" s="443">
        <v>4420850000</v>
      </c>
      <c r="H34" s="443"/>
      <c r="I34" s="445">
        <f t="shared" si="6"/>
        <v>1.0446242911153119</v>
      </c>
      <c r="J34" s="445">
        <f t="shared" si="7"/>
        <v>1.0446242911153119</v>
      </c>
      <c r="K34" s="445">
        <f>IFERROR(H34/E34,0)</f>
        <v>0</v>
      </c>
      <c r="L34" s="175"/>
      <c r="M34" s="107"/>
    </row>
    <row r="35" spans="1:13" s="72" customFormat="1" ht="19.5" customHeight="1">
      <c r="A35" s="441">
        <v>10</v>
      </c>
      <c r="B35" s="446" t="s">
        <v>102</v>
      </c>
      <c r="C35" s="443">
        <f t="shared" si="13"/>
        <v>56948000000</v>
      </c>
      <c r="D35" s="443">
        <v>54893000000</v>
      </c>
      <c r="E35" s="443">
        <v>2055000000</v>
      </c>
      <c r="F35" s="443">
        <f t="shared" si="5"/>
        <v>66478535976</v>
      </c>
      <c r="G35" s="443">
        <v>58916972076</v>
      </c>
      <c r="H35" s="443">
        <v>7561563900</v>
      </c>
      <c r="I35" s="445">
        <f t="shared" si="6"/>
        <v>1.167355060335745</v>
      </c>
      <c r="J35" s="445">
        <f t="shared" si="7"/>
        <v>1.0733057416428324</v>
      </c>
      <c r="K35" s="445">
        <f t="shared" si="8"/>
        <v>3.6795931386861316</v>
      </c>
      <c r="L35" s="175"/>
      <c r="M35" s="107"/>
    </row>
    <row r="36" spans="1:13" s="72" customFormat="1" ht="19.5" customHeight="1">
      <c r="A36" s="441">
        <v>11</v>
      </c>
      <c r="B36" s="446" t="s">
        <v>435</v>
      </c>
      <c r="C36" s="443">
        <f t="shared" si="13"/>
        <v>110925000000</v>
      </c>
      <c r="D36" s="443">
        <v>39040000000</v>
      </c>
      <c r="E36" s="443">
        <v>71885000000</v>
      </c>
      <c r="F36" s="443">
        <f t="shared" si="5"/>
        <v>125466598081</v>
      </c>
      <c r="G36" s="443">
        <v>44482058779</v>
      </c>
      <c r="H36" s="443">
        <v>80984539302</v>
      </c>
      <c r="I36" s="445">
        <f t="shared" si="6"/>
        <v>1.1310939651205769</v>
      </c>
      <c r="J36" s="445">
        <f t="shared" si="7"/>
        <v>1.1393969974129099</v>
      </c>
      <c r="K36" s="445">
        <f t="shared" si="8"/>
        <v>1.1265846741601169</v>
      </c>
      <c r="L36" s="175"/>
      <c r="M36" s="107"/>
    </row>
    <row r="37" spans="1:13" s="72" customFormat="1" ht="19.5" customHeight="1">
      <c r="A37" s="441">
        <v>12</v>
      </c>
      <c r="B37" s="446" t="s">
        <v>321</v>
      </c>
      <c r="C37" s="443">
        <f t="shared" si="13"/>
        <v>47164000000</v>
      </c>
      <c r="D37" s="443">
        <v>45545000000</v>
      </c>
      <c r="E37" s="443">
        <v>1619000000</v>
      </c>
      <c r="F37" s="443">
        <f t="shared" si="5"/>
        <v>56731049476</v>
      </c>
      <c r="G37" s="443">
        <v>55040331576</v>
      </c>
      <c r="H37" s="443">
        <v>1690717900</v>
      </c>
      <c r="I37" s="445">
        <f t="shared" si="6"/>
        <v>1.2028464395725553</v>
      </c>
      <c r="J37" s="445">
        <f t="shared" si="7"/>
        <v>1.2084824146668129</v>
      </c>
      <c r="K37" s="445">
        <f t="shared" si="8"/>
        <v>1.0442976528721433</v>
      </c>
      <c r="L37" s="175"/>
      <c r="M37" s="107"/>
    </row>
    <row r="38" spans="1:13" s="72" customFormat="1" ht="19.5" customHeight="1">
      <c r="A38" s="441">
        <v>13</v>
      </c>
      <c r="B38" s="446" t="s">
        <v>322</v>
      </c>
      <c r="C38" s="443">
        <f t="shared" si="13"/>
        <v>18045000000</v>
      </c>
      <c r="D38" s="443">
        <v>14572000000</v>
      </c>
      <c r="E38" s="443">
        <v>3473000000</v>
      </c>
      <c r="F38" s="443">
        <f t="shared" si="5"/>
        <v>170000000</v>
      </c>
      <c r="G38" s="443">
        <v>170000000</v>
      </c>
      <c r="H38" s="443"/>
      <c r="I38" s="445">
        <f t="shared" si="6"/>
        <v>9.4208922139096696E-3</v>
      </c>
      <c r="J38" s="445">
        <f t="shared" si="7"/>
        <v>1.166620916826791E-2</v>
      </c>
      <c r="K38" s="445">
        <f t="shared" si="8"/>
        <v>0</v>
      </c>
      <c r="L38" s="175"/>
      <c r="M38" s="107"/>
    </row>
    <row r="39" spans="1:13" s="72" customFormat="1" ht="19.5" customHeight="1">
      <c r="A39" s="417" t="s">
        <v>13</v>
      </c>
      <c r="B39" s="438" t="s">
        <v>20</v>
      </c>
      <c r="C39" s="439">
        <f>D39+E39</f>
        <v>14694000000</v>
      </c>
      <c r="D39" s="439">
        <v>12835000000</v>
      </c>
      <c r="E39" s="439">
        <v>1859000000</v>
      </c>
      <c r="F39" s="439">
        <f t="shared" si="5"/>
        <v>0</v>
      </c>
      <c r="G39" s="439"/>
      <c r="H39" s="439"/>
      <c r="I39" s="445">
        <f t="shared" si="6"/>
        <v>0</v>
      </c>
      <c r="J39" s="445">
        <f t="shared" si="7"/>
        <v>0</v>
      </c>
      <c r="K39" s="445">
        <f t="shared" si="8"/>
        <v>0</v>
      </c>
      <c r="L39" s="175"/>
      <c r="M39" s="107"/>
    </row>
    <row r="40" spans="1:13" s="72" customFormat="1" ht="19.5" customHeight="1">
      <c r="A40" s="417" t="s">
        <v>4</v>
      </c>
      <c r="B40" s="567" t="s">
        <v>94</v>
      </c>
      <c r="C40" s="566">
        <f>C41+C153</f>
        <v>214108000000</v>
      </c>
      <c r="D40" s="566">
        <f>D41+D153</f>
        <v>164529000000</v>
      </c>
      <c r="E40" s="566">
        <f t="shared" ref="E40:H40" si="14">E41+E153</f>
        <v>49579000000</v>
      </c>
      <c r="F40" s="566">
        <f t="shared" si="14"/>
        <v>162277662963</v>
      </c>
      <c r="G40" s="566">
        <f t="shared" si="14"/>
        <v>142268741013</v>
      </c>
      <c r="H40" s="566">
        <f t="shared" si="14"/>
        <v>20008921950</v>
      </c>
      <c r="I40" s="445">
        <f t="shared" si="6"/>
        <v>0.75792433240700952</v>
      </c>
      <c r="J40" s="445">
        <f t="shared" si="7"/>
        <v>0.86470312840289554</v>
      </c>
      <c r="K40" s="445">
        <f t="shared" si="8"/>
        <v>0.4035765535811533</v>
      </c>
      <c r="L40" s="174"/>
      <c r="M40" s="107"/>
    </row>
    <row r="41" spans="1:13" s="72" customFormat="1" ht="19.5" customHeight="1">
      <c r="A41" s="417" t="s">
        <v>11</v>
      </c>
      <c r="B41" s="438" t="s">
        <v>92</v>
      </c>
      <c r="C41" s="439">
        <f>+D41+E41</f>
        <v>210875000000</v>
      </c>
      <c r="D41" s="439">
        <f>D57</f>
        <v>164501000000</v>
      </c>
      <c r="E41" s="439">
        <f>E57</f>
        <v>46374000000</v>
      </c>
      <c r="F41" s="439">
        <f>+G41+H41</f>
        <v>158991000563</v>
      </c>
      <c r="G41" s="439">
        <f>+G42+G57</f>
        <v>142173741013</v>
      </c>
      <c r="H41" s="439">
        <f>+H42+H57</f>
        <v>16817259550</v>
      </c>
      <c r="I41" s="445">
        <f t="shared" si="6"/>
        <v>0.75395850889389449</v>
      </c>
      <c r="J41" s="445">
        <f t="shared" si="7"/>
        <v>0.86427280693126485</v>
      </c>
      <c r="K41" s="445">
        <f t="shared" si="8"/>
        <v>0.36264414434812609</v>
      </c>
      <c r="L41" s="174"/>
      <c r="M41" s="107"/>
    </row>
    <row r="42" spans="1:13" s="72" customFormat="1" ht="19.5" customHeight="1">
      <c r="A42" s="417">
        <v>1</v>
      </c>
      <c r="B42" s="568" t="s">
        <v>658</v>
      </c>
      <c r="C42" s="566"/>
      <c r="D42" s="439"/>
      <c r="E42" s="439"/>
      <c r="F42" s="439">
        <f t="shared" si="5"/>
        <v>0</v>
      </c>
      <c r="G42" s="439">
        <f>+G43+G45</f>
        <v>0</v>
      </c>
      <c r="H42" s="439">
        <f>+H43+H45</f>
        <v>0</v>
      </c>
      <c r="I42" s="445">
        <f>IFERROR(F42/C42,0)</f>
        <v>0</v>
      </c>
      <c r="J42" s="445">
        <f>IFERROR(G42/D42,0)</f>
        <v>0</v>
      </c>
      <c r="K42" s="445">
        <f>IFERROR(H42/E42,0)</f>
        <v>0</v>
      </c>
      <c r="L42" s="174"/>
      <c r="M42" s="107"/>
    </row>
    <row r="43" spans="1:13" s="125" customFormat="1" ht="19.5" hidden="1" customHeight="1">
      <c r="A43" s="417" t="s">
        <v>364</v>
      </c>
      <c r="B43" s="568" t="s">
        <v>308</v>
      </c>
      <c r="C43" s="566"/>
      <c r="D43" s="439"/>
      <c r="E43" s="439"/>
      <c r="F43" s="439">
        <f t="shared" si="5"/>
        <v>0</v>
      </c>
      <c r="G43" s="439"/>
      <c r="H43" s="439"/>
      <c r="I43" s="445" t="e">
        <f t="shared" si="6"/>
        <v>#DIV/0!</v>
      </c>
      <c r="J43" s="445" t="e">
        <f t="shared" si="7"/>
        <v>#DIV/0!</v>
      </c>
      <c r="K43" s="445" t="e">
        <f t="shared" si="8"/>
        <v>#DIV/0!</v>
      </c>
      <c r="L43" s="174"/>
      <c r="M43" s="162"/>
    </row>
    <row r="44" spans="1:13" s="72" customFormat="1" ht="19.5" hidden="1" customHeight="1">
      <c r="A44" s="441"/>
      <c r="B44" s="446" t="s">
        <v>827</v>
      </c>
      <c r="C44" s="443"/>
      <c r="D44" s="443"/>
      <c r="E44" s="443"/>
      <c r="F44" s="443">
        <f t="shared" si="5"/>
        <v>0</v>
      </c>
      <c r="G44" s="443"/>
      <c r="H44" s="439"/>
      <c r="I44" s="445" t="e">
        <f t="shared" si="6"/>
        <v>#DIV/0!</v>
      </c>
      <c r="J44" s="445" t="e">
        <f t="shared" si="7"/>
        <v>#DIV/0!</v>
      </c>
      <c r="K44" s="445" t="e">
        <f t="shared" si="8"/>
        <v>#DIV/0!</v>
      </c>
      <c r="L44" s="175"/>
      <c r="M44" s="107"/>
    </row>
    <row r="45" spans="1:13" s="125" customFormat="1" ht="19.5" hidden="1" customHeight="1">
      <c r="A45" s="569" t="s">
        <v>364</v>
      </c>
      <c r="B45" s="449" t="s">
        <v>309</v>
      </c>
      <c r="C45" s="439"/>
      <c r="D45" s="439"/>
      <c r="E45" s="439"/>
      <c r="F45" s="439">
        <f t="shared" si="5"/>
        <v>0</v>
      </c>
      <c r="G45" s="439"/>
      <c r="H45" s="439"/>
      <c r="I45" s="445" t="e">
        <f t="shared" si="6"/>
        <v>#DIV/0!</v>
      </c>
      <c r="J45" s="445" t="e">
        <f t="shared" si="7"/>
        <v>#DIV/0!</v>
      </c>
      <c r="K45" s="445" t="e">
        <f t="shared" si="8"/>
        <v>#DIV/0!</v>
      </c>
      <c r="L45" s="174"/>
      <c r="M45" s="162"/>
    </row>
    <row r="46" spans="1:13" s="125" customFormat="1" ht="19.5" hidden="1" customHeight="1">
      <c r="A46" s="569" t="s">
        <v>440</v>
      </c>
      <c r="B46" s="449" t="s">
        <v>159</v>
      </c>
      <c r="C46" s="439"/>
      <c r="D46" s="439"/>
      <c r="E46" s="439"/>
      <c r="F46" s="439">
        <f t="shared" si="5"/>
        <v>0</v>
      </c>
      <c r="G46" s="439"/>
      <c r="H46" s="439"/>
      <c r="I46" s="445" t="e">
        <f t="shared" si="6"/>
        <v>#DIV/0!</v>
      </c>
      <c r="J46" s="445" t="e">
        <f t="shared" si="7"/>
        <v>#DIV/0!</v>
      </c>
      <c r="K46" s="445" t="e">
        <f t="shared" si="8"/>
        <v>#DIV/0!</v>
      </c>
      <c r="L46" s="174"/>
      <c r="M46" s="162"/>
    </row>
    <row r="47" spans="1:13" s="125" customFormat="1" ht="19.5" hidden="1" customHeight="1">
      <c r="A47" s="569" t="s">
        <v>364</v>
      </c>
      <c r="B47" s="449" t="s">
        <v>659</v>
      </c>
      <c r="C47" s="439"/>
      <c r="D47" s="439"/>
      <c r="E47" s="439"/>
      <c r="F47" s="439">
        <f t="shared" si="5"/>
        <v>0</v>
      </c>
      <c r="G47" s="439"/>
      <c r="H47" s="439"/>
      <c r="I47" s="445" t="e">
        <f t="shared" si="6"/>
        <v>#DIV/0!</v>
      </c>
      <c r="J47" s="445" t="e">
        <f t="shared" si="7"/>
        <v>#DIV/0!</v>
      </c>
      <c r="K47" s="445" t="e">
        <f t="shared" si="8"/>
        <v>#DIV/0!</v>
      </c>
      <c r="L47" s="174"/>
      <c r="M47" s="162"/>
    </row>
    <row r="48" spans="1:13" s="72" customFormat="1" ht="19.5" hidden="1" customHeight="1">
      <c r="A48" s="441"/>
      <c r="B48" s="446" t="s">
        <v>828</v>
      </c>
      <c r="C48" s="443"/>
      <c r="D48" s="443"/>
      <c r="E48" s="443"/>
      <c r="F48" s="443">
        <f t="shared" si="5"/>
        <v>0</v>
      </c>
      <c r="G48" s="443"/>
      <c r="H48" s="439"/>
      <c r="I48" s="445" t="e">
        <f t="shared" si="6"/>
        <v>#DIV/0!</v>
      </c>
      <c r="J48" s="445" t="e">
        <f t="shared" si="7"/>
        <v>#DIV/0!</v>
      </c>
      <c r="K48" s="445" t="e">
        <f t="shared" si="8"/>
        <v>#DIV/0!</v>
      </c>
      <c r="L48" s="175"/>
      <c r="M48" s="107"/>
    </row>
    <row r="49" spans="1:13" s="125" customFormat="1" ht="19.5" hidden="1" customHeight="1">
      <c r="A49" s="417" t="s">
        <v>364</v>
      </c>
      <c r="B49" s="568" t="s">
        <v>660</v>
      </c>
      <c r="C49" s="566"/>
      <c r="D49" s="439"/>
      <c r="E49" s="439"/>
      <c r="F49" s="439">
        <f t="shared" si="5"/>
        <v>0</v>
      </c>
      <c r="G49" s="439"/>
      <c r="H49" s="439"/>
      <c r="I49" s="445" t="e">
        <f t="shared" si="6"/>
        <v>#DIV/0!</v>
      </c>
      <c r="J49" s="445" t="e">
        <f t="shared" si="7"/>
        <v>#DIV/0!</v>
      </c>
      <c r="K49" s="445" t="e">
        <f t="shared" si="8"/>
        <v>#DIV/0!</v>
      </c>
      <c r="L49" s="174"/>
      <c r="M49" s="162"/>
    </row>
    <row r="50" spans="1:13" s="125" customFormat="1" ht="19.5" hidden="1" customHeight="1">
      <c r="A50" s="417"/>
      <c r="B50" s="568" t="s">
        <v>413</v>
      </c>
      <c r="C50" s="566"/>
      <c r="D50" s="439"/>
      <c r="E50" s="439"/>
      <c r="F50" s="439">
        <f t="shared" si="5"/>
        <v>0</v>
      </c>
      <c r="G50" s="439"/>
      <c r="H50" s="439"/>
      <c r="I50" s="445" t="e">
        <f t="shared" si="6"/>
        <v>#DIV/0!</v>
      </c>
      <c r="J50" s="445" t="e">
        <f t="shared" si="7"/>
        <v>#DIV/0!</v>
      </c>
      <c r="K50" s="445" t="e">
        <f t="shared" si="8"/>
        <v>#DIV/0!</v>
      </c>
      <c r="L50" s="174"/>
      <c r="M50" s="162"/>
    </row>
    <row r="51" spans="1:13" s="72" customFormat="1" ht="35.25" hidden="1" customHeight="1">
      <c r="A51" s="417"/>
      <c r="B51" s="570" t="s">
        <v>567</v>
      </c>
      <c r="C51" s="566"/>
      <c r="D51" s="443"/>
      <c r="E51" s="443"/>
      <c r="F51" s="443">
        <f t="shared" si="5"/>
        <v>0</v>
      </c>
      <c r="G51" s="439"/>
      <c r="H51" s="439"/>
      <c r="I51" s="445" t="e">
        <f t="shared" si="6"/>
        <v>#DIV/0!</v>
      </c>
      <c r="J51" s="445" t="e">
        <f t="shared" si="7"/>
        <v>#DIV/0!</v>
      </c>
      <c r="K51" s="445" t="e">
        <f t="shared" si="8"/>
        <v>#DIV/0!</v>
      </c>
      <c r="L51" s="175"/>
      <c r="M51" s="107"/>
    </row>
    <row r="52" spans="1:13" s="72" customFormat="1" ht="35.25" hidden="1" customHeight="1">
      <c r="A52" s="417"/>
      <c r="B52" s="570" t="s">
        <v>568</v>
      </c>
      <c r="C52" s="566"/>
      <c r="D52" s="443"/>
      <c r="E52" s="443"/>
      <c r="F52" s="443">
        <f t="shared" si="5"/>
        <v>0</v>
      </c>
      <c r="G52" s="439"/>
      <c r="H52" s="439"/>
      <c r="I52" s="445" t="e">
        <f t="shared" si="6"/>
        <v>#DIV/0!</v>
      </c>
      <c r="J52" s="445" t="e">
        <f t="shared" si="7"/>
        <v>#DIV/0!</v>
      </c>
      <c r="K52" s="445" t="e">
        <f t="shared" si="8"/>
        <v>#DIV/0!</v>
      </c>
      <c r="L52" s="175"/>
      <c r="M52" s="107"/>
    </row>
    <row r="53" spans="1:13" s="125" customFormat="1" ht="18.75" hidden="1" customHeight="1">
      <c r="A53" s="417" t="s">
        <v>446</v>
      </c>
      <c r="B53" s="568" t="s">
        <v>670</v>
      </c>
      <c r="C53" s="566"/>
      <c r="D53" s="439"/>
      <c r="E53" s="439"/>
      <c r="F53" s="443">
        <f t="shared" si="5"/>
        <v>0</v>
      </c>
      <c r="G53" s="439"/>
      <c r="H53" s="439"/>
      <c r="I53" s="445" t="e">
        <f t="shared" si="6"/>
        <v>#DIV/0!</v>
      </c>
      <c r="J53" s="445" t="e">
        <f t="shared" si="7"/>
        <v>#DIV/0!</v>
      </c>
      <c r="K53" s="445" t="e">
        <f t="shared" si="8"/>
        <v>#DIV/0!</v>
      </c>
      <c r="L53" s="174"/>
      <c r="M53" s="162"/>
    </row>
    <row r="54" spans="1:13" s="72" customFormat="1" ht="20.25" hidden="1" customHeight="1">
      <c r="A54" s="417" t="s">
        <v>364</v>
      </c>
      <c r="B54" s="568" t="s">
        <v>662</v>
      </c>
      <c r="C54" s="566"/>
      <c r="D54" s="439"/>
      <c r="E54" s="439"/>
      <c r="F54" s="443">
        <f t="shared" si="5"/>
        <v>0</v>
      </c>
      <c r="G54" s="439"/>
      <c r="H54" s="439"/>
      <c r="I54" s="445" t="e">
        <f t="shared" si="6"/>
        <v>#DIV/0!</v>
      </c>
      <c r="J54" s="445" t="e">
        <f t="shared" si="7"/>
        <v>#DIV/0!</v>
      </c>
      <c r="K54" s="445" t="e">
        <f t="shared" si="8"/>
        <v>#DIV/0!</v>
      </c>
      <c r="L54" s="174"/>
      <c r="M54" s="107"/>
    </row>
    <row r="55" spans="1:13" s="72" customFormat="1" ht="20.25" hidden="1" customHeight="1">
      <c r="A55" s="417"/>
      <c r="B55" s="446" t="s">
        <v>827</v>
      </c>
      <c r="C55" s="566"/>
      <c r="D55" s="439"/>
      <c r="E55" s="439"/>
      <c r="F55" s="443">
        <f t="shared" si="5"/>
        <v>0</v>
      </c>
      <c r="G55" s="443"/>
      <c r="H55" s="439"/>
      <c r="I55" s="445" t="e">
        <f t="shared" si="6"/>
        <v>#DIV/0!</v>
      </c>
      <c r="J55" s="445" t="e">
        <f t="shared" si="7"/>
        <v>#DIV/0!</v>
      </c>
      <c r="K55" s="445" t="e">
        <f t="shared" si="8"/>
        <v>#DIV/0!</v>
      </c>
      <c r="L55" s="174"/>
      <c r="M55" s="107"/>
    </row>
    <row r="56" spans="1:13" s="72" customFormat="1" ht="20.25" hidden="1" customHeight="1">
      <c r="A56" s="417" t="s">
        <v>364</v>
      </c>
      <c r="B56" s="568" t="s">
        <v>309</v>
      </c>
      <c r="C56" s="566"/>
      <c r="D56" s="439"/>
      <c r="E56" s="439"/>
      <c r="F56" s="443">
        <f t="shared" si="5"/>
        <v>0</v>
      </c>
      <c r="G56" s="439"/>
      <c r="H56" s="439"/>
      <c r="I56" s="445" t="e">
        <f t="shared" si="6"/>
        <v>#DIV/0!</v>
      </c>
      <c r="J56" s="445" t="e">
        <f t="shared" si="7"/>
        <v>#DIV/0!</v>
      </c>
      <c r="K56" s="445" t="e">
        <f t="shared" si="8"/>
        <v>#DIV/0!</v>
      </c>
      <c r="L56" s="174"/>
      <c r="M56" s="107"/>
    </row>
    <row r="57" spans="1:13" s="125" customFormat="1" ht="20.25" customHeight="1">
      <c r="A57" s="417">
        <v>2</v>
      </c>
      <c r="B57" s="568" t="s">
        <v>663</v>
      </c>
      <c r="C57" s="566">
        <f>D57+E57</f>
        <v>210875000000</v>
      </c>
      <c r="D57" s="439">
        <f>D58+D59</f>
        <v>164501000000</v>
      </c>
      <c r="E57" s="439">
        <f>E58+E59</f>
        <v>46374000000</v>
      </c>
      <c r="F57" s="439">
        <f t="shared" si="5"/>
        <v>158991000563</v>
      </c>
      <c r="G57" s="439">
        <f>+G58+G59</f>
        <v>142173741013</v>
      </c>
      <c r="H57" s="439">
        <f>+H58+H59</f>
        <v>16817259550</v>
      </c>
      <c r="I57" s="445">
        <f t="shared" si="6"/>
        <v>0.75395850889389449</v>
      </c>
      <c r="J57" s="445">
        <f t="shared" si="7"/>
        <v>0.86427280693126485</v>
      </c>
      <c r="K57" s="445">
        <f t="shared" si="8"/>
        <v>0.36264414434812609</v>
      </c>
      <c r="L57" s="174"/>
      <c r="M57" s="162"/>
    </row>
    <row r="58" spans="1:13" s="125" customFormat="1" ht="20.25" customHeight="1">
      <c r="A58" s="417" t="s">
        <v>364</v>
      </c>
      <c r="B58" s="568" t="s">
        <v>308</v>
      </c>
      <c r="C58" s="566">
        <f>D58+E58</f>
        <v>83500000000</v>
      </c>
      <c r="D58" s="439">
        <f>D61+D100+D123</f>
        <v>83500000000</v>
      </c>
      <c r="E58" s="439">
        <f>E61+E100+E123</f>
        <v>0</v>
      </c>
      <c r="F58" s="439">
        <f t="shared" si="5"/>
        <v>82420412000</v>
      </c>
      <c r="G58" s="439">
        <f>+G61+G100+G123</f>
        <v>82420412000</v>
      </c>
      <c r="H58" s="439">
        <f>+H61+H100+H123</f>
        <v>0</v>
      </c>
      <c r="I58" s="445">
        <f t="shared" si="6"/>
        <v>0.98707080239520961</v>
      </c>
      <c r="J58" s="445">
        <f t="shared" si="7"/>
        <v>0.98707080239520961</v>
      </c>
      <c r="K58" s="445">
        <f>IFERROR(H58/E58,0)</f>
        <v>0</v>
      </c>
      <c r="L58" s="174"/>
      <c r="M58" s="162"/>
    </row>
    <row r="59" spans="1:13" s="125" customFormat="1" ht="20.25" customHeight="1">
      <c r="A59" s="417" t="s">
        <v>364</v>
      </c>
      <c r="B59" s="568" t="s">
        <v>309</v>
      </c>
      <c r="C59" s="566">
        <f>D59+E59</f>
        <v>127375000000</v>
      </c>
      <c r="D59" s="439">
        <f>D62+D101+D124</f>
        <v>81001000000</v>
      </c>
      <c r="E59" s="439">
        <f>E62+E101+E124</f>
        <v>46374000000</v>
      </c>
      <c r="F59" s="439">
        <f t="shared" si="5"/>
        <v>76570588563</v>
      </c>
      <c r="G59" s="439">
        <f>+G62+G101+G124</f>
        <v>59753329013</v>
      </c>
      <c r="H59" s="439">
        <f>+H62+H101+H124</f>
        <v>16817259550</v>
      </c>
      <c r="I59" s="445">
        <f t="shared" si="6"/>
        <v>0.60114299166241414</v>
      </c>
      <c r="J59" s="445">
        <f t="shared" si="7"/>
        <v>0.73768631267515217</v>
      </c>
      <c r="K59" s="445">
        <f t="shared" si="8"/>
        <v>0.36264414434812609</v>
      </c>
      <c r="L59" s="174"/>
      <c r="M59" s="162"/>
    </row>
    <row r="60" spans="1:13" s="125" customFormat="1" ht="36" customHeight="1">
      <c r="A60" s="417" t="s">
        <v>261</v>
      </c>
      <c r="B60" s="568" t="s">
        <v>664</v>
      </c>
      <c r="C60" s="439">
        <f>+C61+C62</f>
        <v>161997000000</v>
      </c>
      <c r="D60" s="439">
        <f t="shared" ref="D60:F60" si="15">+D61+D62</f>
        <v>126463000000</v>
      </c>
      <c r="E60" s="439">
        <f t="shared" si="15"/>
        <v>35534000000</v>
      </c>
      <c r="F60" s="439">
        <f t="shared" si="15"/>
        <v>123488608887</v>
      </c>
      <c r="G60" s="439">
        <f>+G61+G62</f>
        <v>117917592237</v>
      </c>
      <c r="H60" s="439">
        <f>+H61+H62</f>
        <v>5571016650</v>
      </c>
      <c r="I60" s="445">
        <f t="shared" si="6"/>
        <v>0.76228947997185137</v>
      </c>
      <c r="J60" s="445">
        <f t="shared" si="7"/>
        <v>0.93242760520468437</v>
      </c>
      <c r="K60" s="445">
        <f t="shared" si="8"/>
        <v>0.15677989109022344</v>
      </c>
      <c r="L60" s="174"/>
      <c r="M60" s="162"/>
    </row>
    <row r="61" spans="1:13" s="125" customFormat="1" ht="20.25" customHeight="1">
      <c r="A61" s="417" t="s">
        <v>364</v>
      </c>
      <c r="B61" s="568" t="s">
        <v>308</v>
      </c>
      <c r="C61" s="439">
        <f t="shared" ref="C61:C62" si="16">+D61+E61</f>
        <v>83500000000</v>
      </c>
      <c r="D61" s="439">
        <v>83500000000</v>
      </c>
      <c r="E61" s="439"/>
      <c r="F61" s="439">
        <f t="shared" ref="F61:F117" si="17">+G61+H61</f>
        <v>74453314000</v>
      </c>
      <c r="G61" s="439">
        <v>74453314000</v>
      </c>
      <c r="H61" s="439"/>
      <c r="I61" s="445">
        <f t="shared" si="6"/>
        <v>0.89165645508982039</v>
      </c>
      <c r="J61" s="445">
        <f t="shared" si="7"/>
        <v>0.89165645508982039</v>
      </c>
      <c r="K61" s="445">
        <f>IFERROR(H61/E61,0)</f>
        <v>0</v>
      </c>
      <c r="L61" s="174"/>
      <c r="M61" s="162"/>
    </row>
    <row r="62" spans="1:13" s="72" customFormat="1" ht="20.25" customHeight="1">
      <c r="A62" s="417" t="s">
        <v>364</v>
      </c>
      <c r="B62" s="568" t="s">
        <v>309</v>
      </c>
      <c r="C62" s="439">
        <f t="shared" si="16"/>
        <v>78497000000</v>
      </c>
      <c r="D62" s="439">
        <f>+D63+D70+D75+D77+D82+D83+D84+D87+D95</f>
        <v>42963000000</v>
      </c>
      <c r="E62" s="439">
        <f>+E63+E70+E75+E77+E82+E83+E84+E87+E95</f>
        <v>35534000000</v>
      </c>
      <c r="F62" s="439">
        <f>+F63+F70+F75+F77+F82+F83+F84+F87+F95</f>
        <v>49035294887</v>
      </c>
      <c r="G62" s="439">
        <f>+G63+G70+G75+G77+G82+G83+G84+G87+G95</f>
        <v>43464278237</v>
      </c>
      <c r="H62" s="439">
        <f>+H63+H70+H75+H77+H82+H83+H84+H87+H95</f>
        <v>5571016650</v>
      </c>
      <c r="I62" s="445">
        <f t="shared" ref="I62:I122" si="18">F62/C62</f>
        <v>0.62467731106921287</v>
      </c>
      <c r="J62" s="445">
        <f t="shared" ref="J62:J122" si="19">G62/D62</f>
        <v>1.0116676730442473</v>
      </c>
      <c r="K62" s="445">
        <f t="shared" ref="K62:K122" si="20">H62/E62</f>
        <v>0.15677989109022344</v>
      </c>
      <c r="L62" s="174"/>
      <c r="M62" s="107"/>
    </row>
    <row r="63" spans="1:13" s="125" customFormat="1" ht="39" customHeight="1">
      <c r="A63" s="417"/>
      <c r="B63" s="571" t="s">
        <v>578</v>
      </c>
      <c r="C63" s="439">
        <f>+C64+C67</f>
        <v>4318000000</v>
      </c>
      <c r="D63" s="439">
        <f>+D64+D67</f>
        <v>4318000000</v>
      </c>
      <c r="E63" s="439"/>
      <c r="F63" s="439">
        <f>+G63+H63</f>
        <v>4191536000</v>
      </c>
      <c r="G63" s="439">
        <f>+G64+G67</f>
        <v>4191536000</v>
      </c>
      <c r="H63" s="439">
        <f>+H64+H67</f>
        <v>0</v>
      </c>
      <c r="I63" s="445">
        <f t="shared" si="18"/>
        <v>0.97071236683649842</v>
      </c>
      <c r="J63" s="445">
        <f t="shared" si="19"/>
        <v>0.97071236683649842</v>
      </c>
      <c r="K63" s="445">
        <f t="shared" ref="K63:K69" si="21">IFERROR(H63/E63,0)</f>
        <v>0</v>
      </c>
      <c r="M63" s="162"/>
    </row>
    <row r="64" spans="1:13" s="72" customFormat="1" ht="21.75" customHeight="1">
      <c r="A64" s="417"/>
      <c r="B64" s="572" t="s">
        <v>579</v>
      </c>
      <c r="C64" s="443">
        <f t="shared" ref="C64:C72" si="22">+D64+E64</f>
        <v>2018000000</v>
      </c>
      <c r="D64" s="443">
        <f>+D66</f>
        <v>2018000000</v>
      </c>
      <c r="E64" s="443"/>
      <c r="F64" s="443">
        <f t="shared" si="17"/>
        <v>0</v>
      </c>
      <c r="G64" s="443">
        <f>+G65+G66</f>
        <v>0</v>
      </c>
      <c r="H64" s="443">
        <f>+H65+H66</f>
        <v>0</v>
      </c>
      <c r="I64" s="445">
        <f t="shared" si="18"/>
        <v>0</v>
      </c>
      <c r="J64" s="445">
        <f t="shared" si="19"/>
        <v>0</v>
      </c>
      <c r="K64" s="445">
        <f t="shared" si="21"/>
        <v>0</v>
      </c>
      <c r="M64" s="107"/>
    </row>
    <row r="65" spans="1:13" s="72" customFormat="1" ht="21.75" customHeight="1">
      <c r="A65" s="417"/>
      <c r="B65" s="572" t="s">
        <v>580</v>
      </c>
      <c r="C65" s="443">
        <f t="shared" si="22"/>
        <v>0</v>
      </c>
      <c r="D65" s="443"/>
      <c r="E65" s="443"/>
      <c r="F65" s="443">
        <f t="shared" si="17"/>
        <v>0</v>
      </c>
      <c r="G65" s="443"/>
      <c r="H65" s="443"/>
      <c r="I65" s="445">
        <f>IFERROR(F65/C65,0)</f>
        <v>0</v>
      </c>
      <c r="J65" s="445">
        <f>IFERROR(G65/D65,0)</f>
        <v>0</v>
      </c>
      <c r="K65" s="445">
        <f t="shared" si="21"/>
        <v>0</v>
      </c>
      <c r="M65" s="107"/>
    </row>
    <row r="66" spans="1:13" s="72" customFormat="1" ht="21.75" customHeight="1">
      <c r="A66" s="417"/>
      <c r="B66" s="572" t="s">
        <v>581</v>
      </c>
      <c r="C66" s="443">
        <f t="shared" si="22"/>
        <v>2018000000</v>
      </c>
      <c r="D66" s="443">
        <v>2018000000</v>
      </c>
      <c r="E66" s="443"/>
      <c r="F66" s="443">
        <f t="shared" si="17"/>
        <v>0</v>
      </c>
      <c r="G66" s="443"/>
      <c r="H66" s="443"/>
      <c r="I66" s="445">
        <f t="shared" si="18"/>
        <v>0</v>
      </c>
      <c r="J66" s="445">
        <f t="shared" si="19"/>
        <v>0</v>
      </c>
      <c r="K66" s="445">
        <f t="shared" si="21"/>
        <v>0</v>
      </c>
      <c r="M66" s="107"/>
    </row>
    <row r="67" spans="1:13" s="72" customFormat="1" ht="21.75" customHeight="1">
      <c r="A67" s="417"/>
      <c r="B67" s="572" t="s">
        <v>582</v>
      </c>
      <c r="C67" s="443">
        <f t="shared" si="22"/>
        <v>2300000000</v>
      </c>
      <c r="D67" s="443">
        <f>D68</f>
        <v>2300000000</v>
      </c>
      <c r="E67" s="443"/>
      <c r="F67" s="443">
        <f t="shared" si="17"/>
        <v>4191536000</v>
      </c>
      <c r="G67" s="443">
        <f>+G68+G69</f>
        <v>4191536000</v>
      </c>
      <c r="H67" s="443">
        <f>+H68+H69</f>
        <v>0</v>
      </c>
      <c r="I67" s="445">
        <f t="shared" si="18"/>
        <v>1.8224069565217391</v>
      </c>
      <c r="J67" s="445">
        <f t="shared" si="19"/>
        <v>1.8224069565217391</v>
      </c>
      <c r="K67" s="445">
        <f t="shared" si="21"/>
        <v>0</v>
      </c>
      <c r="M67" s="107"/>
    </row>
    <row r="68" spans="1:13" s="72" customFormat="1" ht="21.75" customHeight="1">
      <c r="A68" s="417"/>
      <c r="B68" s="572" t="s">
        <v>581</v>
      </c>
      <c r="C68" s="443">
        <f t="shared" si="22"/>
        <v>2300000000</v>
      </c>
      <c r="D68" s="443">
        <v>2300000000</v>
      </c>
      <c r="E68" s="443"/>
      <c r="F68" s="443">
        <f t="shared" si="17"/>
        <v>4191536000</v>
      </c>
      <c r="G68" s="443">
        <v>4191536000</v>
      </c>
      <c r="H68" s="443"/>
      <c r="I68" s="445">
        <f t="shared" si="18"/>
        <v>1.8224069565217391</v>
      </c>
      <c r="J68" s="445">
        <f t="shared" si="19"/>
        <v>1.8224069565217391</v>
      </c>
      <c r="K68" s="445">
        <f t="shared" si="21"/>
        <v>0</v>
      </c>
      <c r="M68" s="107"/>
    </row>
    <row r="69" spans="1:13" s="72" customFormat="1" ht="21.75" customHeight="1">
      <c r="A69" s="417"/>
      <c r="B69" s="572" t="s">
        <v>583</v>
      </c>
      <c r="C69" s="443">
        <f t="shared" si="22"/>
        <v>0</v>
      </c>
      <c r="D69" s="443"/>
      <c r="E69" s="443"/>
      <c r="F69" s="443">
        <f t="shared" si="17"/>
        <v>0</v>
      </c>
      <c r="G69" s="443"/>
      <c r="H69" s="443"/>
      <c r="I69" s="445">
        <f>IFERROR(F69/C69,0)</f>
        <v>0</v>
      </c>
      <c r="J69" s="445">
        <f>IFERROR(G69/D69,0)</f>
        <v>0</v>
      </c>
      <c r="K69" s="445">
        <f t="shared" si="21"/>
        <v>0</v>
      </c>
      <c r="M69" s="107"/>
    </row>
    <row r="70" spans="1:13" s="72" customFormat="1" ht="51.75" customHeight="1">
      <c r="A70" s="417"/>
      <c r="B70" s="571" t="s">
        <v>584</v>
      </c>
      <c r="C70" s="439">
        <f t="shared" ref="C70:F70" si="23">+C71+C72</f>
        <v>48590000000</v>
      </c>
      <c r="D70" s="439">
        <f t="shared" si="23"/>
        <v>18316000000</v>
      </c>
      <c r="E70" s="439">
        <f t="shared" si="23"/>
        <v>30274000000</v>
      </c>
      <c r="F70" s="439">
        <f t="shared" si="23"/>
        <v>34884499547</v>
      </c>
      <c r="G70" s="439">
        <f>+G71+G72</f>
        <v>34884499547</v>
      </c>
      <c r="H70" s="439">
        <f>+H71+H72</f>
        <v>0</v>
      </c>
      <c r="I70" s="445">
        <f t="shared" si="18"/>
        <v>0.71793577993414281</v>
      </c>
      <c r="J70" s="445">
        <f t="shared" si="19"/>
        <v>1.9045915891570211</v>
      </c>
      <c r="K70" s="445">
        <f t="shared" si="20"/>
        <v>0</v>
      </c>
      <c r="M70" s="107"/>
    </row>
    <row r="71" spans="1:13" s="72" customFormat="1" ht="45" hidden="1">
      <c r="A71" s="417"/>
      <c r="B71" s="572" t="s">
        <v>585</v>
      </c>
      <c r="C71" s="443">
        <f t="shared" si="22"/>
        <v>0</v>
      </c>
      <c r="D71" s="443"/>
      <c r="E71" s="443"/>
      <c r="F71" s="443">
        <f t="shared" si="17"/>
        <v>0</v>
      </c>
      <c r="G71" s="443"/>
      <c r="H71" s="443"/>
      <c r="I71" s="445" t="e">
        <f t="shared" si="18"/>
        <v>#DIV/0!</v>
      </c>
      <c r="J71" s="445" t="e">
        <f t="shared" si="19"/>
        <v>#DIV/0!</v>
      </c>
      <c r="K71" s="445" t="e">
        <f t="shared" si="20"/>
        <v>#DIV/0!</v>
      </c>
      <c r="M71" s="107"/>
    </row>
    <row r="72" spans="1:13" s="72" customFormat="1" ht="60">
      <c r="A72" s="417"/>
      <c r="B72" s="572" t="s">
        <v>586</v>
      </c>
      <c r="C72" s="443">
        <f t="shared" si="22"/>
        <v>48590000000</v>
      </c>
      <c r="D72" s="443">
        <f>+D73+D74</f>
        <v>18316000000</v>
      </c>
      <c r="E72" s="443">
        <f>+E73+E74</f>
        <v>30274000000</v>
      </c>
      <c r="F72" s="443">
        <f t="shared" si="17"/>
        <v>34884499547</v>
      </c>
      <c r="G72" s="443">
        <f>+G73+G74</f>
        <v>34884499547</v>
      </c>
      <c r="H72" s="443">
        <f>+H73+H74</f>
        <v>0</v>
      </c>
      <c r="I72" s="445">
        <f t="shared" si="18"/>
        <v>0.71793577993414281</v>
      </c>
      <c r="J72" s="445">
        <f t="shared" si="19"/>
        <v>1.9045915891570211</v>
      </c>
      <c r="K72" s="445">
        <f t="shared" si="20"/>
        <v>0</v>
      </c>
      <c r="M72" s="107"/>
    </row>
    <row r="73" spans="1:13" s="72" customFormat="1" ht="22.5" customHeight="1">
      <c r="A73" s="417"/>
      <c r="B73" s="572" t="s">
        <v>587</v>
      </c>
      <c r="C73" s="566"/>
      <c r="D73" s="443"/>
      <c r="E73" s="443"/>
      <c r="F73" s="443">
        <f t="shared" si="17"/>
        <v>0</v>
      </c>
      <c r="G73" s="443"/>
      <c r="H73" s="443"/>
      <c r="I73" s="445">
        <f>IFERROR(F73/C73,0)</f>
        <v>0</v>
      </c>
      <c r="J73" s="445">
        <f>IFERROR(G73/D73,0)</f>
        <v>0</v>
      </c>
      <c r="K73" s="445">
        <f>IFERROR(H73/E73,0)</f>
        <v>0</v>
      </c>
      <c r="M73" s="107"/>
    </row>
    <row r="74" spans="1:13" s="72" customFormat="1" ht="22.5" customHeight="1">
      <c r="A74" s="417"/>
      <c r="B74" s="572" t="s">
        <v>581</v>
      </c>
      <c r="C74" s="478">
        <f>+D74+E74</f>
        <v>48590000000</v>
      </c>
      <c r="D74" s="443">
        <v>18316000000</v>
      </c>
      <c r="E74" s="443">
        <v>30274000000</v>
      </c>
      <c r="F74" s="443">
        <f t="shared" si="17"/>
        <v>34884499547</v>
      </c>
      <c r="G74" s="443">
        <v>34884499547</v>
      </c>
      <c r="H74" s="443"/>
      <c r="I74" s="445">
        <f t="shared" si="18"/>
        <v>0.71793577993414281</v>
      </c>
      <c r="J74" s="445">
        <f t="shared" si="19"/>
        <v>1.9045915891570211</v>
      </c>
      <c r="K74" s="445">
        <f t="shared" si="20"/>
        <v>0</v>
      </c>
      <c r="M74" s="107"/>
    </row>
    <row r="75" spans="1:13" s="125" customFormat="1" ht="63.75" customHeight="1">
      <c r="A75" s="417"/>
      <c r="B75" s="571" t="s">
        <v>588</v>
      </c>
      <c r="C75" s="439">
        <f>+D75+E75</f>
        <v>5260000000</v>
      </c>
      <c r="D75" s="439">
        <f t="shared" ref="D75:E75" si="24">+D76</f>
        <v>0</v>
      </c>
      <c r="E75" s="439">
        <f t="shared" si="24"/>
        <v>5260000000</v>
      </c>
      <c r="F75" s="439">
        <f>+G75+H75</f>
        <v>4060880000</v>
      </c>
      <c r="G75" s="439">
        <f>+G76</f>
        <v>0</v>
      </c>
      <c r="H75" s="439">
        <f>+H76</f>
        <v>4060880000</v>
      </c>
      <c r="I75" s="445">
        <f t="shared" si="18"/>
        <v>0.77203041825095053</v>
      </c>
      <c r="J75" s="445">
        <f>IFERROR(G75/D75,0)</f>
        <v>0</v>
      </c>
      <c r="K75" s="445">
        <f t="shared" si="20"/>
        <v>0.77203041825095053</v>
      </c>
      <c r="M75" s="162"/>
    </row>
    <row r="76" spans="1:13" s="72" customFormat="1" ht="52.5" customHeight="1">
      <c r="A76" s="417"/>
      <c r="B76" s="572" t="s">
        <v>589</v>
      </c>
      <c r="C76" s="443">
        <f>+D76+E76</f>
        <v>5260000000</v>
      </c>
      <c r="D76" s="443"/>
      <c r="E76" s="443">
        <v>5260000000</v>
      </c>
      <c r="F76" s="443">
        <f>+G76+H76</f>
        <v>4060880000</v>
      </c>
      <c r="G76" s="443"/>
      <c r="H76" s="443">
        <v>4060880000</v>
      </c>
      <c r="I76" s="445">
        <f t="shared" si="18"/>
        <v>0.77203041825095053</v>
      </c>
      <c r="J76" s="445">
        <f>IFERROR(G76/D76,0)</f>
        <v>0</v>
      </c>
      <c r="K76" s="445">
        <f t="shared" si="20"/>
        <v>0.77203041825095053</v>
      </c>
      <c r="M76" s="107"/>
    </row>
    <row r="77" spans="1:13" s="125" customFormat="1" ht="38.25" customHeight="1">
      <c r="A77" s="417"/>
      <c r="B77" s="571" t="s">
        <v>592</v>
      </c>
      <c r="C77" s="439">
        <f t="shared" ref="C77:F77" si="25">+C78+C79+C80+C81</f>
        <v>12674000000</v>
      </c>
      <c r="D77" s="439">
        <f t="shared" si="25"/>
        <v>12674000000</v>
      </c>
      <c r="E77" s="439">
        <f t="shared" si="25"/>
        <v>0</v>
      </c>
      <c r="F77" s="439">
        <f t="shared" si="25"/>
        <v>1323768000</v>
      </c>
      <c r="G77" s="439">
        <f>+G78+G79+G80+G81</f>
        <v>1323768000</v>
      </c>
      <c r="H77" s="439">
        <f>+H78+H79+H80+H81</f>
        <v>0</v>
      </c>
      <c r="I77" s="445">
        <f t="shared" si="18"/>
        <v>0.10444753037715007</v>
      </c>
      <c r="J77" s="445">
        <f t="shared" si="19"/>
        <v>0.10444753037715007</v>
      </c>
      <c r="K77" s="445">
        <f>IFERROR(H77/E77,0)</f>
        <v>0</v>
      </c>
      <c r="M77" s="162"/>
    </row>
    <row r="78" spans="1:13" s="72" customFormat="1" ht="75" hidden="1">
      <c r="A78" s="417"/>
      <c r="B78" s="572" t="s">
        <v>593</v>
      </c>
      <c r="C78" s="443">
        <f t="shared" ref="C78:C85" si="26">+D78+E78</f>
        <v>0</v>
      </c>
      <c r="D78" s="443"/>
      <c r="E78" s="443"/>
      <c r="F78" s="443">
        <f t="shared" si="17"/>
        <v>0</v>
      </c>
      <c r="G78" s="443"/>
      <c r="H78" s="443"/>
      <c r="I78" s="445" t="e">
        <f t="shared" si="18"/>
        <v>#DIV/0!</v>
      </c>
      <c r="J78" s="445" t="e">
        <f t="shared" si="19"/>
        <v>#DIV/0!</v>
      </c>
      <c r="K78" s="445" t="e">
        <f t="shared" si="20"/>
        <v>#DIV/0!</v>
      </c>
      <c r="M78" s="107"/>
    </row>
    <row r="79" spans="1:13" s="72" customFormat="1" ht="75">
      <c r="A79" s="417"/>
      <c r="B79" s="572" t="s">
        <v>594</v>
      </c>
      <c r="C79" s="443">
        <f t="shared" si="26"/>
        <v>1631000000</v>
      </c>
      <c r="D79" s="443">
        <v>1631000000</v>
      </c>
      <c r="E79" s="443"/>
      <c r="F79" s="443">
        <f t="shared" si="17"/>
        <v>0</v>
      </c>
      <c r="G79" s="443"/>
      <c r="H79" s="443"/>
      <c r="I79" s="445">
        <f t="shared" si="18"/>
        <v>0</v>
      </c>
      <c r="J79" s="445">
        <f t="shared" si="19"/>
        <v>0</v>
      </c>
      <c r="K79" s="445">
        <f>IFERROR(H79/E79,0)</f>
        <v>0</v>
      </c>
      <c r="M79" s="107"/>
    </row>
    <row r="80" spans="1:13" s="72" customFormat="1" ht="54" customHeight="1">
      <c r="A80" s="417"/>
      <c r="B80" s="572" t="s">
        <v>595</v>
      </c>
      <c r="C80" s="443">
        <f t="shared" si="26"/>
        <v>11043000000</v>
      </c>
      <c r="D80" s="443">
        <v>11043000000</v>
      </c>
      <c r="E80" s="443"/>
      <c r="F80" s="443">
        <f t="shared" si="17"/>
        <v>1323768000</v>
      </c>
      <c r="G80" s="443">
        <v>1323768000</v>
      </c>
      <c r="H80" s="443"/>
      <c r="I80" s="445">
        <f t="shared" si="18"/>
        <v>0.11987394729693018</v>
      </c>
      <c r="J80" s="445">
        <f t="shared" si="19"/>
        <v>0.11987394729693018</v>
      </c>
      <c r="K80" s="445">
        <f>IFERROR(H80/E80,0)</f>
        <v>0</v>
      </c>
      <c r="M80" s="107"/>
    </row>
    <row r="81" spans="1:13" s="72" customFormat="1" ht="60" hidden="1">
      <c r="A81" s="417"/>
      <c r="B81" s="572" t="s">
        <v>596</v>
      </c>
      <c r="C81" s="443">
        <f t="shared" si="26"/>
        <v>0</v>
      </c>
      <c r="D81" s="443"/>
      <c r="E81" s="443"/>
      <c r="F81" s="443">
        <f t="shared" si="17"/>
        <v>0</v>
      </c>
      <c r="G81" s="443"/>
      <c r="H81" s="443"/>
      <c r="I81" s="445" t="e">
        <f t="shared" si="18"/>
        <v>#DIV/0!</v>
      </c>
      <c r="J81" s="445" t="e">
        <f t="shared" si="19"/>
        <v>#DIV/0!</v>
      </c>
      <c r="K81" s="445" t="e">
        <f t="shared" si="20"/>
        <v>#DIV/0!</v>
      </c>
      <c r="M81" s="107"/>
    </row>
    <row r="82" spans="1:13" s="72" customFormat="1" ht="45" customHeight="1">
      <c r="A82" s="417"/>
      <c r="B82" s="571" t="s">
        <v>597</v>
      </c>
      <c r="C82" s="439">
        <f t="shared" si="26"/>
        <v>483000000</v>
      </c>
      <c r="D82" s="443">
        <v>483000000</v>
      </c>
      <c r="E82" s="443"/>
      <c r="F82" s="439">
        <f t="shared" si="17"/>
        <v>685210000</v>
      </c>
      <c r="G82" s="439">
        <v>685210000</v>
      </c>
      <c r="H82" s="439"/>
      <c r="I82" s="445">
        <f t="shared" si="18"/>
        <v>1.4186542443064183</v>
      </c>
      <c r="J82" s="445">
        <f t="shared" si="19"/>
        <v>1.4186542443064183</v>
      </c>
      <c r="K82" s="445">
        <f>IFERROR(H82/E82,0)</f>
        <v>0</v>
      </c>
      <c r="M82" s="107"/>
    </row>
    <row r="83" spans="1:13" s="72" customFormat="1" ht="57" hidden="1">
      <c r="A83" s="417"/>
      <c r="B83" s="571" t="s">
        <v>598</v>
      </c>
      <c r="C83" s="439">
        <f t="shared" si="26"/>
        <v>0</v>
      </c>
      <c r="D83" s="443"/>
      <c r="E83" s="443"/>
      <c r="F83" s="439">
        <f t="shared" si="17"/>
        <v>0</v>
      </c>
      <c r="G83" s="439"/>
      <c r="H83" s="439"/>
      <c r="I83" s="445" t="e">
        <f t="shared" si="18"/>
        <v>#DIV/0!</v>
      </c>
      <c r="J83" s="445" t="e">
        <f t="shared" si="19"/>
        <v>#DIV/0!</v>
      </c>
      <c r="K83" s="445" t="e">
        <f t="shared" si="20"/>
        <v>#DIV/0!</v>
      </c>
      <c r="M83" s="107"/>
    </row>
    <row r="84" spans="1:13" s="72" customFormat="1" ht="39" customHeight="1">
      <c r="A84" s="417"/>
      <c r="B84" s="571" t="s">
        <v>599</v>
      </c>
      <c r="C84" s="439">
        <f t="shared" si="26"/>
        <v>3846000000</v>
      </c>
      <c r="D84" s="439">
        <f>+D85+D86</f>
        <v>3846000000</v>
      </c>
      <c r="E84" s="439">
        <f t="shared" ref="E84:H84" si="27">+E85+E86</f>
        <v>0</v>
      </c>
      <c r="F84" s="439">
        <f t="shared" si="27"/>
        <v>1850393160</v>
      </c>
      <c r="G84" s="439">
        <f t="shared" si="27"/>
        <v>340256510</v>
      </c>
      <c r="H84" s="439">
        <f t="shared" si="27"/>
        <v>1510136650</v>
      </c>
      <c r="I84" s="445">
        <f t="shared" si="18"/>
        <v>0.48112146645865833</v>
      </c>
      <c r="J84" s="445">
        <f t="shared" si="19"/>
        <v>8.8470231409256375E-2</v>
      </c>
      <c r="K84" s="445">
        <f>IFERROR(H84/E84,0)</f>
        <v>0</v>
      </c>
      <c r="M84" s="107"/>
    </row>
    <row r="85" spans="1:13" s="72" customFormat="1" ht="18.75" customHeight="1">
      <c r="A85" s="417"/>
      <c r="B85" s="572" t="s">
        <v>581</v>
      </c>
      <c r="C85" s="443">
        <f t="shared" si="26"/>
        <v>0</v>
      </c>
      <c r="D85" s="443"/>
      <c r="E85" s="443"/>
      <c r="F85" s="443">
        <f t="shared" si="17"/>
        <v>0</v>
      </c>
      <c r="G85" s="443"/>
      <c r="H85" s="443"/>
      <c r="I85" s="445">
        <f>IFERROR(F85/C85,0)</f>
        <v>0</v>
      </c>
      <c r="J85" s="445">
        <f>IFERROR(G85/D85,0)</f>
        <v>0</v>
      </c>
      <c r="K85" s="445">
        <f>IFERROR(H85/E85,0)</f>
        <v>0</v>
      </c>
      <c r="M85" s="107"/>
    </row>
    <row r="86" spans="1:13" s="72" customFormat="1" ht="18.75" customHeight="1">
      <c r="A86" s="417"/>
      <c r="B86" s="572" t="s">
        <v>583</v>
      </c>
      <c r="C86" s="443">
        <f>+D86+E86</f>
        <v>3846000000</v>
      </c>
      <c r="D86" s="443">
        <v>3846000000</v>
      </c>
      <c r="E86" s="443"/>
      <c r="F86" s="443">
        <f>+G86+H86</f>
        <v>1850393160</v>
      </c>
      <c r="G86" s="443">
        <v>340256510</v>
      </c>
      <c r="H86" s="443">
        <v>1510136650</v>
      </c>
      <c r="I86" s="445">
        <f t="shared" si="18"/>
        <v>0.48112146645865833</v>
      </c>
      <c r="J86" s="445">
        <f t="shared" si="19"/>
        <v>8.8470231409256375E-2</v>
      </c>
      <c r="K86" s="445">
        <f>IFERROR(H86/E86,0)</f>
        <v>0</v>
      </c>
      <c r="M86" s="107"/>
    </row>
    <row r="87" spans="1:13" s="125" customFormat="1" ht="40.5" customHeight="1">
      <c r="A87" s="417"/>
      <c r="B87" s="571" t="s">
        <v>600</v>
      </c>
      <c r="C87" s="439">
        <f>+D87+E87</f>
        <v>816000000</v>
      </c>
      <c r="D87" s="439">
        <f>+D88+D92</f>
        <v>816000000</v>
      </c>
      <c r="E87" s="439">
        <f>+E88+E92</f>
        <v>0</v>
      </c>
      <c r="F87" s="439">
        <f>+G87+H87</f>
        <v>255129180</v>
      </c>
      <c r="G87" s="439">
        <f>+G88+G92</f>
        <v>255129180</v>
      </c>
      <c r="H87" s="439">
        <f>+H88+H92</f>
        <v>0</v>
      </c>
      <c r="I87" s="445">
        <f t="shared" si="18"/>
        <v>0.31265830882352941</v>
      </c>
      <c r="J87" s="445">
        <f t="shared" si="19"/>
        <v>0.31265830882352941</v>
      </c>
      <c r="K87" s="445">
        <f>IFERROR(H87/E87,0)</f>
        <v>0</v>
      </c>
      <c r="M87" s="162"/>
    </row>
    <row r="88" spans="1:13" s="72" customFormat="1" ht="52.5" hidden="1" customHeight="1">
      <c r="A88" s="417"/>
      <c r="B88" s="572" t="s">
        <v>601</v>
      </c>
      <c r="C88" s="443">
        <f t="shared" ref="C88:C117" si="28">+D88+E88</f>
        <v>0</v>
      </c>
      <c r="D88" s="443">
        <f>+D89+D90+D91</f>
        <v>0</v>
      </c>
      <c r="E88" s="443">
        <f>+E89+E90+E91</f>
        <v>0</v>
      </c>
      <c r="F88" s="443">
        <f t="shared" si="17"/>
        <v>0</v>
      </c>
      <c r="G88" s="443">
        <f>+G89+G90+G91</f>
        <v>0</v>
      </c>
      <c r="H88" s="443">
        <f>+H89+H90+H91</f>
        <v>0</v>
      </c>
      <c r="I88" s="445" t="e">
        <f t="shared" si="18"/>
        <v>#DIV/0!</v>
      </c>
      <c r="J88" s="445" t="e">
        <f t="shared" si="19"/>
        <v>#DIV/0!</v>
      </c>
      <c r="K88" s="445" t="e">
        <f t="shared" si="20"/>
        <v>#DIV/0!</v>
      </c>
      <c r="M88" s="107"/>
    </row>
    <row r="89" spans="1:13" s="72" customFormat="1" ht="23.25" hidden="1" customHeight="1">
      <c r="A89" s="417"/>
      <c r="B89" s="572" t="s">
        <v>602</v>
      </c>
      <c r="C89" s="443">
        <f t="shared" si="28"/>
        <v>0</v>
      </c>
      <c r="D89" s="443"/>
      <c r="E89" s="443"/>
      <c r="F89" s="443">
        <f t="shared" si="17"/>
        <v>0</v>
      </c>
      <c r="G89" s="443"/>
      <c r="H89" s="443"/>
      <c r="I89" s="445" t="e">
        <f t="shared" si="18"/>
        <v>#DIV/0!</v>
      </c>
      <c r="J89" s="445" t="e">
        <f t="shared" si="19"/>
        <v>#DIV/0!</v>
      </c>
      <c r="K89" s="445" t="e">
        <f t="shared" si="20"/>
        <v>#DIV/0!</v>
      </c>
      <c r="M89" s="107"/>
    </row>
    <row r="90" spans="1:13" s="72" customFormat="1" ht="23.25" hidden="1" customHeight="1">
      <c r="A90" s="417"/>
      <c r="B90" s="572" t="s">
        <v>603</v>
      </c>
      <c r="C90" s="443">
        <f t="shared" si="28"/>
        <v>0</v>
      </c>
      <c r="D90" s="443"/>
      <c r="E90" s="443"/>
      <c r="F90" s="443">
        <f t="shared" si="17"/>
        <v>0</v>
      </c>
      <c r="G90" s="443"/>
      <c r="H90" s="443"/>
      <c r="I90" s="445" t="e">
        <f t="shared" si="18"/>
        <v>#DIV/0!</v>
      </c>
      <c r="J90" s="445" t="e">
        <f t="shared" si="19"/>
        <v>#DIV/0!</v>
      </c>
      <c r="K90" s="445" t="e">
        <f t="shared" si="20"/>
        <v>#DIV/0!</v>
      </c>
      <c r="M90" s="107"/>
    </row>
    <row r="91" spans="1:13" s="72" customFormat="1" ht="23.25" hidden="1" customHeight="1">
      <c r="A91" s="417"/>
      <c r="B91" s="572" t="s">
        <v>604</v>
      </c>
      <c r="C91" s="443">
        <f t="shared" si="28"/>
        <v>0</v>
      </c>
      <c r="D91" s="443"/>
      <c r="E91" s="443"/>
      <c r="F91" s="443">
        <f t="shared" si="17"/>
        <v>0</v>
      </c>
      <c r="G91" s="443"/>
      <c r="H91" s="443"/>
      <c r="I91" s="445" t="e">
        <f t="shared" si="18"/>
        <v>#DIV/0!</v>
      </c>
      <c r="J91" s="445" t="e">
        <f t="shared" si="19"/>
        <v>#DIV/0!</v>
      </c>
      <c r="K91" s="445" t="e">
        <f t="shared" si="20"/>
        <v>#DIV/0!</v>
      </c>
      <c r="M91" s="107"/>
    </row>
    <row r="92" spans="1:13" s="72" customFormat="1" ht="45.75" customHeight="1">
      <c r="A92" s="417"/>
      <c r="B92" s="572" t="s">
        <v>605</v>
      </c>
      <c r="C92" s="443">
        <f t="shared" si="28"/>
        <v>816000000</v>
      </c>
      <c r="D92" s="443">
        <f>+D93+D94</f>
        <v>816000000</v>
      </c>
      <c r="E92" s="443">
        <f>+E93+E94</f>
        <v>0</v>
      </c>
      <c r="F92" s="443">
        <f t="shared" si="17"/>
        <v>255129180</v>
      </c>
      <c r="G92" s="443">
        <f>+G93+G94</f>
        <v>255129180</v>
      </c>
      <c r="H92" s="443">
        <f>+H93+H94</f>
        <v>0</v>
      </c>
      <c r="I92" s="445">
        <f t="shared" si="18"/>
        <v>0.31265830882352941</v>
      </c>
      <c r="J92" s="445">
        <f t="shared" si="19"/>
        <v>0.31265830882352941</v>
      </c>
      <c r="K92" s="445">
        <f t="shared" ref="K92:K98" si="29">IFERROR(H92/E92,0)</f>
        <v>0</v>
      </c>
      <c r="M92" s="107"/>
    </row>
    <row r="93" spans="1:13" s="72" customFormat="1" ht="23.25" customHeight="1">
      <c r="A93" s="417"/>
      <c r="B93" s="572" t="s">
        <v>581</v>
      </c>
      <c r="C93" s="443">
        <f t="shared" si="28"/>
        <v>0</v>
      </c>
      <c r="D93" s="443"/>
      <c r="E93" s="443"/>
      <c r="F93" s="443">
        <f t="shared" si="17"/>
        <v>0</v>
      </c>
      <c r="G93" s="443"/>
      <c r="H93" s="443"/>
      <c r="I93" s="445">
        <f>IFERROR(F93/C93,0)</f>
        <v>0</v>
      </c>
      <c r="J93" s="445">
        <f>IFERROR(G93/D93,0)</f>
        <v>0</v>
      </c>
      <c r="K93" s="445">
        <f t="shared" si="29"/>
        <v>0</v>
      </c>
      <c r="M93" s="107"/>
    </row>
    <row r="94" spans="1:13" s="72" customFormat="1" ht="23.25" customHeight="1">
      <c r="A94" s="417"/>
      <c r="B94" s="572" t="s">
        <v>583</v>
      </c>
      <c r="C94" s="443">
        <f t="shared" si="28"/>
        <v>816000000</v>
      </c>
      <c r="D94" s="443">
        <v>816000000</v>
      </c>
      <c r="E94" s="443"/>
      <c r="F94" s="443">
        <f t="shared" si="17"/>
        <v>255129180</v>
      </c>
      <c r="G94" s="443">
        <v>255129180</v>
      </c>
      <c r="H94" s="443"/>
      <c r="I94" s="445">
        <f t="shared" si="18"/>
        <v>0.31265830882352941</v>
      </c>
      <c r="J94" s="445">
        <f t="shared" si="19"/>
        <v>0.31265830882352941</v>
      </c>
      <c r="K94" s="445">
        <f t="shared" si="29"/>
        <v>0</v>
      </c>
      <c r="M94" s="107"/>
    </row>
    <row r="95" spans="1:13" s="125" customFormat="1" ht="53.25" customHeight="1">
      <c r="A95" s="417"/>
      <c r="B95" s="571" t="s">
        <v>606</v>
      </c>
      <c r="C95" s="439">
        <f t="shared" si="28"/>
        <v>2510000000</v>
      </c>
      <c r="D95" s="439">
        <f>+D96+D97+D98</f>
        <v>2510000000</v>
      </c>
      <c r="E95" s="439">
        <f t="shared" ref="E95:H95" si="30">+E96+E97+E98</f>
        <v>0</v>
      </c>
      <c r="F95" s="439">
        <f t="shared" si="30"/>
        <v>1783879000</v>
      </c>
      <c r="G95" s="439">
        <f t="shared" si="30"/>
        <v>1783879000</v>
      </c>
      <c r="H95" s="439">
        <f t="shared" si="30"/>
        <v>0</v>
      </c>
      <c r="I95" s="445">
        <f t="shared" si="18"/>
        <v>0.71070876494023905</v>
      </c>
      <c r="J95" s="445">
        <f t="shared" si="19"/>
        <v>0.71070876494023905</v>
      </c>
      <c r="K95" s="445">
        <f t="shared" si="29"/>
        <v>0</v>
      </c>
      <c r="M95" s="162"/>
    </row>
    <row r="96" spans="1:13" s="72" customFormat="1" ht="111" customHeight="1">
      <c r="A96" s="417"/>
      <c r="B96" s="572" t="s">
        <v>607</v>
      </c>
      <c r="C96" s="443">
        <f t="shared" si="28"/>
        <v>1527000000</v>
      </c>
      <c r="D96" s="443">
        <v>1527000000</v>
      </c>
      <c r="E96" s="443"/>
      <c r="F96" s="443">
        <f t="shared" si="17"/>
        <v>1232922000</v>
      </c>
      <c r="G96" s="443">
        <v>1232922000</v>
      </c>
      <c r="H96" s="443"/>
      <c r="I96" s="445">
        <f t="shared" si="18"/>
        <v>0.80741453831041254</v>
      </c>
      <c r="J96" s="445">
        <f t="shared" si="19"/>
        <v>0.80741453831041254</v>
      </c>
      <c r="K96" s="445">
        <f t="shared" si="29"/>
        <v>0</v>
      </c>
      <c r="M96" s="107"/>
    </row>
    <row r="97" spans="1:13" s="72" customFormat="1" ht="57.75" customHeight="1">
      <c r="A97" s="417"/>
      <c r="B97" s="572" t="s">
        <v>829</v>
      </c>
      <c r="C97" s="443">
        <f t="shared" si="28"/>
        <v>432000000</v>
      </c>
      <c r="D97" s="443">
        <v>432000000</v>
      </c>
      <c r="E97" s="443"/>
      <c r="F97" s="443">
        <f t="shared" si="17"/>
        <v>500332000</v>
      </c>
      <c r="G97" s="443">
        <v>500332000</v>
      </c>
      <c r="H97" s="443"/>
      <c r="I97" s="445">
        <f t="shared" si="18"/>
        <v>1.1581759259259259</v>
      </c>
      <c r="J97" s="445">
        <f t="shared" si="19"/>
        <v>1.1581759259259259</v>
      </c>
      <c r="K97" s="445">
        <f t="shared" si="29"/>
        <v>0</v>
      </c>
      <c r="M97" s="107"/>
    </row>
    <row r="98" spans="1:13" s="72" customFormat="1" ht="52.5" customHeight="1">
      <c r="A98" s="417"/>
      <c r="B98" s="572" t="s">
        <v>609</v>
      </c>
      <c r="C98" s="443">
        <f t="shared" si="28"/>
        <v>551000000</v>
      </c>
      <c r="D98" s="443">
        <v>551000000</v>
      </c>
      <c r="E98" s="443"/>
      <c r="F98" s="443">
        <f t="shared" si="17"/>
        <v>50625000</v>
      </c>
      <c r="G98" s="443">
        <v>50625000</v>
      </c>
      <c r="H98" s="443"/>
      <c r="I98" s="445">
        <f t="shared" si="18"/>
        <v>9.1878402903811246E-2</v>
      </c>
      <c r="J98" s="445">
        <f t="shared" si="19"/>
        <v>9.1878402903811246E-2</v>
      </c>
      <c r="K98" s="445">
        <f t="shared" si="29"/>
        <v>0</v>
      </c>
      <c r="M98" s="107"/>
    </row>
    <row r="99" spans="1:13" s="125" customFormat="1" ht="33.75" customHeight="1">
      <c r="A99" s="417" t="s">
        <v>263</v>
      </c>
      <c r="B99" s="571" t="s">
        <v>665</v>
      </c>
      <c r="C99" s="439">
        <f t="shared" si="28"/>
        <v>48468000000</v>
      </c>
      <c r="D99" s="439">
        <f>+D100+D101</f>
        <v>37808000000</v>
      </c>
      <c r="E99" s="439">
        <f>+E100+E101</f>
        <v>10660000000</v>
      </c>
      <c r="F99" s="439">
        <f t="shared" si="17"/>
        <v>27062100776</v>
      </c>
      <c r="G99" s="439">
        <f>+G100+G101</f>
        <v>16052100776</v>
      </c>
      <c r="H99" s="439">
        <f>+H100+H101</f>
        <v>11010000000</v>
      </c>
      <c r="I99" s="445">
        <f t="shared" si="18"/>
        <v>0.55834985507964019</v>
      </c>
      <c r="J99" s="445">
        <f t="shared" si="19"/>
        <v>0.4245688948370715</v>
      </c>
      <c r="K99" s="445">
        <f t="shared" si="20"/>
        <v>1.0328330206378986</v>
      </c>
      <c r="M99" s="162"/>
    </row>
    <row r="100" spans="1:13" s="125" customFormat="1" ht="21" customHeight="1">
      <c r="A100" s="417" t="s">
        <v>364</v>
      </c>
      <c r="B100" s="571" t="s">
        <v>308</v>
      </c>
      <c r="C100" s="439">
        <f t="shared" si="28"/>
        <v>0</v>
      </c>
      <c r="D100" s="439"/>
      <c r="E100" s="439"/>
      <c r="F100" s="439">
        <f t="shared" si="17"/>
        <v>0</v>
      </c>
      <c r="G100" s="439"/>
      <c r="H100" s="439"/>
      <c r="I100" s="445">
        <f>IFERROR(F100/C100,0)</f>
        <v>0</v>
      </c>
      <c r="J100" s="445">
        <f>IFERROR(G100/D100,0)</f>
        <v>0</v>
      </c>
      <c r="K100" s="445">
        <f>IFERROR(H100/E100,0)</f>
        <v>0</v>
      </c>
      <c r="M100" s="162"/>
    </row>
    <row r="101" spans="1:13" s="125" customFormat="1" ht="21" customHeight="1">
      <c r="A101" s="417" t="s">
        <v>364</v>
      </c>
      <c r="B101" s="571" t="s">
        <v>309</v>
      </c>
      <c r="C101" s="439">
        <f>+D101+E101</f>
        <v>48468000000</v>
      </c>
      <c r="D101" s="439">
        <f>+D102+D105+D106+D109+D115+D116+D119</f>
        <v>37808000000</v>
      </c>
      <c r="E101" s="439">
        <f>+E102+E105+E106+E109+E115+E116+E119</f>
        <v>10660000000</v>
      </c>
      <c r="F101" s="439">
        <f t="shared" si="17"/>
        <v>27062100776</v>
      </c>
      <c r="G101" s="439">
        <f>+G102+G105+G106+G109+G115+G116+G119</f>
        <v>16052100776</v>
      </c>
      <c r="H101" s="439">
        <f>+H102+H105+H106+H109+H115+H116+H119</f>
        <v>11010000000</v>
      </c>
      <c r="I101" s="445">
        <f t="shared" si="18"/>
        <v>0.55834985507964019</v>
      </c>
      <c r="J101" s="445">
        <f t="shared" si="19"/>
        <v>0.4245688948370715</v>
      </c>
      <c r="K101" s="445">
        <f t="shared" si="20"/>
        <v>1.0328330206378986</v>
      </c>
      <c r="M101" s="162"/>
    </row>
    <row r="102" spans="1:13" s="125" customFormat="1" ht="34.5" customHeight="1">
      <c r="A102" s="417"/>
      <c r="B102" s="571" t="s">
        <v>610</v>
      </c>
      <c r="C102" s="439">
        <f t="shared" si="28"/>
        <v>10714000000</v>
      </c>
      <c r="D102" s="439">
        <f>D103+D104</f>
        <v>10714000000</v>
      </c>
      <c r="E102" s="439">
        <f t="shared" ref="E102:H102" si="31">E103+E104</f>
        <v>0</v>
      </c>
      <c r="F102" s="439">
        <f t="shared" si="31"/>
        <v>9300129000</v>
      </c>
      <c r="G102" s="439">
        <f t="shared" si="31"/>
        <v>9300129000</v>
      </c>
      <c r="H102" s="439">
        <f t="shared" si="31"/>
        <v>0</v>
      </c>
      <c r="I102" s="445">
        <f t="shared" si="18"/>
        <v>0.86803518760500276</v>
      </c>
      <c r="J102" s="445">
        <f t="shared" si="19"/>
        <v>0.86803518760500276</v>
      </c>
      <c r="K102" s="445">
        <f t="shared" ref="K102:K114" si="32">IFERROR(H102/E102,0)</f>
        <v>0</v>
      </c>
      <c r="M102" s="162"/>
    </row>
    <row r="103" spans="1:13" s="72" customFormat="1" ht="50.25" customHeight="1">
      <c r="A103" s="417"/>
      <c r="B103" s="572" t="s">
        <v>611</v>
      </c>
      <c r="C103" s="443">
        <f t="shared" si="28"/>
        <v>4304000000</v>
      </c>
      <c r="D103" s="443">
        <v>4304000000</v>
      </c>
      <c r="E103" s="443"/>
      <c r="F103" s="443">
        <f t="shared" si="17"/>
        <v>2890129000</v>
      </c>
      <c r="G103" s="443">
        <v>2890129000</v>
      </c>
      <c r="H103" s="443"/>
      <c r="I103" s="445">
        <f t="shared" si="18"/>
        <v>0.671498373605948</v>
      </c>
      <c r="J103" s="445">
        <f t="shared" si="19"/>
        <v>0.671498373605948</v>
      </c>
      <c r="K103" s="445">
        <f t="shared" si="32"/>
        <v>0</v>
      </c>
      <c r="M103" s="107"/>
    </row>
    <row r="104" spans="1:13" s="72" customFormat="1" ht="50.25" customHeight="1">
      <c r="A104" s="417"/>
      <c r="B104" s="572" t="s">
        <v>612</v>
      </c>
      <c r="C104" s="443">
        <f t="shared" si="28"/>
        <v>6410000000</v>
      </c>
      <c r="D104" s="443">
        <v>6410000000</v>
      </c>
      <c r="E104" s="443"/>
      <c r="F104" s="443">
        <f t="shared" si="17"/>
        <v>6410000000</v>
      </c>
      <c r="G104" s="443">
        <v>6410000000</v>
      </c>
      <c r="H104" s="443"/>
      <c r="I104" s="445">
        <f t="shared" si="18"/>
        <v>1</v>
      </c>
      <c r="J104" s="445">
        <f t="shared" si="19"/>
        <v>1</v>
      </c>
      <c r="K104" s="445">
        <f t="shared" si="32"/>
        <v>0</v>
      </c>
      <c r="M104" s="107"/>
    </row>
    <row r="105" spans="1:13" s="72" customFormat="1" ht="28.5">
      <c r="A105" s="417"/>
      <c r="B105" s="571" t="s">
        <v>613</v>
      </c>
      <c r="C105" s="439">
        <f t="shared" si="28"/>
        <v>11123000000</v>
      </c>
      <c r="D105" s="439">
        <v>11123000000</v>
      </c>
      <c r="E105" s="439"/>
      <c r="F105" s="439">
        <f t="shared" si="17"/>
        <v>0</v>
      </c>
      <c r="G105" s="439"/>
      <c r="H105" s="439"/>
      <c r="I105" s="445">
        <f t="shared" si="18"/>
        <v>0</v>
      </c>
      <c r="J105" s="445">
        <f t="shared" si="19"/>
        <v>0</v>
      </c>
      <c r="K105" s="445">
        <f t="shared" si="32"/>
        <v>0</v>
      </c>
      <c r="M105" s="107"/>
    </row>
    <row r="106" spans="1:13" s="72" customFormat="1" ht="28.5">
      <c r="A106" s="417"/>
      <c r="B106" s="571" t="s">
        <v>614</v>
      </c>
      <c r="C106" s="439">
        <f t="shared" si="28"/>
        <v>6623000000</v>
      </c>
      <c r="D106" s="439">
        <f>D107+D108</f>
        <v>6623000000</v>
      </c>
      <c r="E106" s="439">
        <f t="shared" ref="E106:H106" si="33">E107+E108</f>
        <v>0</v>
      </c>
      <c r="F106" s="439">
        <f>F107+F108</f>
        <v>1796150000</v>
      </c>
      <c r="G106" s="439">
        <f t="shared" si="33"/>
        <v>1796150000</v>
      </c>
      <c r="H106" s="439">
        <f t="shared" si="33"/>
        <v>0</v>
      </c>
      <c r="I106" s="445">
        <f t="shared" si="18"/>
        <v>0.27119885248376868</v>
      </c>
      <c r="J106" s="445">
        <f t="shared" si="19"/>
        <v>0.27119885248376868</v>
      </c>
      <c r="K106" s="445">
        <f t="shared" si="32"/>
        <v>0</v>
      </c>
      <c r="M106" s="107"/>
    </row>
    <row r="107" spans="1:13" s="72" customFormat="1" ht="30">
      <c r="A107" s="417"/>
      <c r="B107" s="572" t="s">
        <v>615</v>
      </c>
      <c r="C107" s="443">
        <f t="shared" si="28"/>
        <v>4808000000</v>
      </c>
      <c r="D107" s="443">
        <v>4808000000</v>
      </c>
      <c r="E107" s="443"/>
      <c r="F107" s="443">
        <f t="shared" si="17"/>
        <v>0</v>
      </c>
      <c r="G107" s="443"/>
      <c r="H107" s="443"/>
      <c r="I107" s="445">
        <f t="shared" si="18"/>
        <v>0</v>
      </c>
      <c r="J107" s="445">
        <f t="shared" si="19"/>
        <v>0</v>
      </c>
      <c r="K107" s="445">
        <f t="shared" si="32"/>
        <v>0</v>
      </c>
      <c r="M107" s="107"/>
    </row>
    <row r="108" spans="1:13" s="72" customFormat="1" ht="30">
      <c r="A108" s="417"/>
      <c r="B108" s="572" t="s">
        <v>616</v>
      </c>
      <c r="C108" s="443">
        <f t="shared" si="28"/>
        <v>1815000000</v>
      </c>
      <c r="D108" s="443">
        <v>1815000000</v>
      </c>
      <c r="E108" s="443"/>
      <c r="F108" s="443">
        <f t="shared" si="17"/>
        <v>1796150000</v>
      </c>
      <c r="G108" s="443">
        <v>1796150000</v>
      </c>
      <c r="H108" s="443"/>
      <c r="I108" s="445">
        <f t="shared" si="18"/>
        <v>0.98961432506887048</v>
      </c>
      <c r="J108" s="445">
        <f t="shared" si="19"/>
        <v>0.98961432506887048</v>
      </c>
      <c r="K108" s="445">
        <f t="shared" si="32"/>
        <v>0</v>
      </c>
      <c r="M108" s="107"/>
    </row>
    <row r="109" spans="1:13" s="125" customFormat="1" ht="36" customHeight="1">
      <c r="A109" s="417"/>
      <c r="B109" s="571" t="s">
        <v>617</v>
      </c>
      <c r="C109" s="439">
        <f t="shared" si="28"/>
        <v>5566000000</v>
      </c>
      <c r="D109" s="439">
        <f>+D110+D113+D114</f>
        <v>5566000000</v>
      </c>
      <c r="E109" s="439">
        <f>+E110+E113+E114</f>
        <v>0</v>
      </c>
      <c r="F109" s="439">
        <f t="shared" si="17"/>
        <v>1785544700</v>
      </c>
      <c r="G109" s="439">
        <f>+G110+G113+G114</f>
        <v>1785544700</v>
      </c>
      <c r="H109" s="439">
        <f>+H110+H113+H114</f>
        <v>0</v>
      </c>
      <c r="I109" s="445">
        <f t="shared" si="18"/>
        <v>0.32079495149119652</v>
      </c>
      <c r="J109" s="445">
        <f t="shared" si="19"/>
        <v>0.32079495149119652</v>
      </c>
      <c r="K109" s="445">
        <f t="shared" si="32"/>
        <v>0</v>
      </c>
      <c r="M109" s="162"/>
    </row>
    <row r="110" spans="1:13" s="72" customFormat="1" ht="41.25" customHeight="1">
      <c r="A110" s="417"/>
      <c r="B110" s="572" t="s">
        <v>618</v>
      </c>
      <c r="C110" s="443">
        <f t="shared" si="28"/>
        <v>3450000000</v>
      </c>
      <c r="D110" s="443">
        <f>+D111+D112</f>
        <v>3450000000</v>
      </c>
      <c r="E110" s="443">
        <f>+E111+E112</f>
        <v>0</v>
      </c>
      <c r="F110" s="443">
        <f t="shared" si="17"/>
        <v>1387780900</v>
      </c>
      <c r="G110" s="443">
        <f>+G111+G112</f>
        <v>1387780900</v>
      </c>
      <c r="H110" s="443">
        <f>+H111+H112</f>
        <v>0</v>
      </c>
      <c r="I110" s="445">
        <f t="shared" si="18"/>
        <v>0.40225533333333335</v>
      </c>
      <c r="J110" s="445">
        <f t="shared" si="19"/>
        <v>0.40225533333333335</v>
      </c>
      <c r="K110" s="445">
        <f t="shared" si="32"/>
        <v>0</v>
      </c>
      <c r="M110" s="107"/>
    </row>
    <row r="111" spans="1:13" s="72" customFormat="1" ht="40.5" customHeight="1">
      <c r="A111" s="417"/>
      <c r="B111" s="572" t="s">
        <v>619</v>
      </c>
      <c r="C111" s="443">
        <f t="shared" si="28"/>
        <v>1816000000</v>
      </c>
      <c r="D111" s="443">
        <v>1816000000</v>
      </c>
      <c r="E111" s="443"/>
      <c r="F111" s="443">
        <f t="shared" si="17"/>
        <v>0</v>
      </c>
      <c r="G111" s="443"/>
      <c r="H111" s="443"/>
      <c r="I111" s="445">
        <f t="shared" si="18"/>
        <v>0</v>
      </c>
      <c r="J111" s="445">
        <f t="shared" si="19"/>
        <v>0</v>
      </c>
      <c r="K111" s="445">
        <f t="shared" si="32"/>
        <v>0</v>
      </c>
      <c r="M111" s="107"/>
    </row>
    <row r="112" spans="1:13" s="72" customFormat="1" ht="40.5" customHeight="1">
      <c r="A112" s="417"/>
      <c r="B112" s="572" t="s">
        <v>620</v>
      </c>
      <c r="C112" s="443">
        <f t="shared" si="28"/>
        <v>1634000000</v>
      </c>
      <c r="D112" s="443">
        <v>1634000000</v>
      </c>
      <c r="E112" s="443"/>
      <c r="F112" s="443">
        <f t="shared" si="17"/>
        <v>1387780900</v>
      </c>
      <c r="G112" s="443">
        <v>1387780900</v>
      </c>
      <c r="H112" s="443"/>
      <c r="I112" s="445">
        <f t="shared" si="18"/>
        <v>0.84931511627906975</v>
      </c>
      <c r="J112" s="445">
        <f t="shared" si="19"/>
        <v>0.84931511627906975</v>
      </c>
      <c r="K112" s="445">
        <f t="shared" si="32"/>
        <v>0</v>
      </c>
      <c r="M112" s="107"/>
    </row>
    <row r="113" spans="1:13" s="72" customFormat="1" ht="43.5" customHeight="1">
      <c r="A113" s="417"/>
      <c r="B113" s="572" t="s">
        <v>621</v>
      </c>
      <c r="C113" s="443">
        <f t="shared" si="28"/>
        <v>979000000</v>
      </c>
      <c r="D113" s="443">
        <v>979000000</v>
      </c>
      <c r="E113" s="443"/>
      <c r="F113" s="443">
        <f t="shared" si="17"/>
        <v>14100000</v>
      </c>
      <c r="G113" s="443">
        <v>14100000</v>
      </c>
      <c r="H113" s="443"/>
      <c r="I113" s="445">
        <f t="shared" si="18"/>
        <v>1.4402451481103166E-2</v>
      </c>
      <c r="J113" s="445">
        <f t="shared" si="19"/>
        <v>1.4402451481103166E-2</v>
      </c>
      <c r="K113" s="445">
        <f t="shared" si="32"/>
        <v>0</v>
      </c>
      <c r="M113" s="107"/>
    </row>
    <row r="114" spans="1:13" s="72" customFormat="1" ht="30">
      <c r="A114" s="417"/>
      <c r="B114" s="572" t="s">
        <v>622</v>
      </c>
      <c r="C114" s="443">
        <f t="shared" si="28"/>
        <v>1137000000</v>
      </c>
      <c r="D114" s="443">
        <v>1137000000</v>
      </c>
      <c r="E114" s="443"/>
      <c r="F114" s="443">
        <f t="shared" si="17"/>
        <v>383663800</v>
      </c>
      <c r="G114" s="443">
        <v>383663800</v>
      </c>
      <c r="H114" s="443"/>
      <c r="I114" s="445">
        <f t="shared" si="18"/>
        <v>0.33743518029903252</v>
      </c>
      <c r="J114" s="445">
        <f t="shared" si="19"/>
        <v>0.33743518029903252</v>
      </c>
      <c r="K114" s="445">
        <f t="shared" si="32"/>
        <v>0</v>
      </c>
      <c r="M114" s="107"/>
    </row>
    <row r="115" spans="1:13" s="72" customFormat="1" ht="42.75">
      <c r="A115" s="417"/>
      <c r="B115" s="571" t="s">
        <v>623</v>
      </c>
      <c r="C115" s="439">
        <f t="shared" si="28"/>
        <v>10660000000</v>
      </c>
      <c r="D115" s="439"/>
      <c r="E115" s="439">
        <v>10660000000</v>
      </c>
      <c r="F115" s="439">
        <f t="shared" si="17"/>
        <v>10600000000</v>
      </c>
      <c r="G115" s="439"/>
      <c r="H115" s="439">
        <v>10600000000</v>
      </c>
      <c r="I115" s="445">
        <f t="shared" si="18"/>
        <v>0.99437148217636018</v>
      </c>
      <c r="J115" s="445">
        <f>IFERROR(G115/D115,0)</f>
        <v>0</v>
      </c>
      <c r="K115" s="445">
        <f t="shared" si="20"/>
        <v>0.99437148217636018</v>
      </c>
      <c r="M115" s="107"/>
    </row>
    <row r="116" spans="1:13" s="125" customFormat="1" ht="36" customHeight="1">
      <c r="A116" s="417"/>
      <c r="B116" s="571" t="s">
        <v>624</v>
      </c>
      <c r="C116" s="439">
        <f t="shared" si="28"/>
        <v>2207000000</v>
      </c>
      <c r="D116" s="439">
        <f>D118+D117</f>
        <v>2207000000</v>
      </c>
      <c r="E116" s="439">
        <f>E118+E117</f>
        <v>0</v>
      </c>
      <c r="F116" s="439">
        <f t="shared" si="17"/>
        <v>2066149600</v>
      </c>
      <c r="G116" s="439">
        <f>G118+G117</f>
        <v>2066149600</v>
      </c>
      <c r="H116" s="439">
        <f>H118+H117</f>
        <v>0</v>
      </c>
      <c r="I116" s="445">
        <f t="shared" si="18"/>
        <v>0.93618015405527866</v>
      </c>
      <c r="J116" s="445">
        <f t="shared" si="19"/>
        <v>0.93618015405527866</v>
      </c>
      <c r="K116" s="445">
        <f t="shared" ref="K116:K121" si="34">IFERROR(H116/E116,0)</f>
        <v>0</v>
      </c>
      <c r="M116" s="162"/>
    </row>
    <row r="117" spans="1:13" s="72" customFormat="1" ht="30">
      <c r="A117" s="417"/>
      <c r="B117" s="572" t="s">
        <v>625</v>
      </c>
      <c r="C117" s="443">
        <f t="shared" si="28"/>
        <v>1730000000</v>
      </c>
      <c r="D117" s="443">
        <v>1730000000</v>
      </c>
      <c r="E117" s="443"/>
      <c r="F117" s="443">
        <f t="shared" si="17"/>
        <v>1597859600</v>
      </c>
      <c r="G117" s="443">
        <v>1597859600</v>
      </c>
      <c r="H117" s="443"/>
      <c r="I117" s="445">
        <f t="shared" si="18"/>
        <v>0.92361826589595375</v>
      </c>
      <c r="J117" s="445">
        <f t="shared" si="19"/>
        <v>0.92361826589595375</v>
      </c>
      <c r="K117" s="445">
        <f t="shared" si="34"/>
        <v>0</v>
      </c>
      <c r="M117" s="107"/>
    </row>
    <row r="118" spans="1:13" s="72" customFormat="1" ht="38.25" customHeight="1">
      <c r="A118" s="417"/>
      <c r="B118" s="572" t="s">
        <v>626</v>
      </c>
      <c r="C118" s="443">
        <f>+D118+E118</f>
        <v>477000000</v>
      </c>
      <c r="D118" s="443">
        <v>477000000</v>
      </c>
      <c r="E118" s="443"/>
      <c r="F118" s="443">
        <f>+G118+H118</f>
        <v>468290000</v>
      </c>
      <c r="G118" s="443">
        <v>468290000</v>
      </c>
      <c r="H118" s="443"/>
      <c r="I118" s="445">
        <f t="shared" si="18"/>
        <v>0.98174004192872122</v>
      </c>
      <c r="J118" s="445">
        <f t="shared" si="19"/>
        <v>0.98174004192872122</v>
      </c>
      <c r="K118" s="445">
        <f t="shared" si="34"/>
        <v>0</v>
      </c>
      <c r="M118" s="107"/>
    </row>
    <row r="119" spans="1:13" s="125" customFormat="1" ht="37.5" customHeight="1">
      <c r="A119" s="417"/>
      <c r="B119" s="571" t="s">
        <v>627</v>
      </c>
      <c r="C119" s="439">
        <f t="shared" ref="C119:H119" si="35">+C120+C121</f>
        <v>1575000000</v>
      </c>
      <c r="D119" s="439">
        <f t="shared" si="35"/>
        <v>1575000000</v>
      </c>
      <c r="E119" s="439">
        <f t="shared" si="35"/>
        <v>0</v>
      </c>
      <c r="F119" s="439">
        <f t="shared" si="35"/>
        <v>1514127476</v>
      </c>
      <c r="G119" s="439">
        <f t="shared" si="35"/>
        <v>1104127476</v>
      </c>
      <c r="H119" s="439">
        <f t="shared" si="35"/>
        <v>410000000</v>
      </c>
      <c r="I119" s="445">
        <f t="shared" si="18"/>
        <v>0.96135077841269845</v>
      </c>
      <c r="J119" s="445">
        <f t="shared" si="19"/>
        <v>0.70103331809523806</v>
      </c>
      <c r="K119" s="445">
        <f t="shared" si="34"/>
        <v>0</v>
      </c>
      <c r="M119" s="162"/>
    </row>
    <row r="120" spans="1:13" s="72" customFormat="1" ht="33.75" customHeight="1">
      <c r="A120" s="417"/>
      <c r="B120" s="572" t="s">
        <v>628</v>
      </c>
      <c r="C120" s="443">
        <f>+D120+E120</f>
        <v>1061000000</v>
      </c>
      <c r="D120" s="443">
        <v>1061000000</v>
      </c>
      <c r="E120" s="443"/>
      <c r="F120" s="443">
        <f>+G120+H120</f>
        <v>1054104000</v>
      </c>
      <c r="G120" s="443">
        <v>1054104000</v>
      </c>
      <c r="H120" s="443"/>
      <c r="I120" s="445">
        <f t="shared" si="18"/>
        <v>0.99350047125353436</v>
      </c>
      <c r="J120" s="445">
        <f t="shared" si="19"/>
        <v>0.99350047125353436</v>
      </c>
      <c r="K120" s="445">
        <f t="shared" si="34"/>
        <v>0</v>
      </c>
      <c r="M120" s="107"/>
    </row>
    <row r="121" spans="1:13" s="72" customFormat="1" ht="30.75" customHeight="1">
      <c r="A121" s="417"/>
      <c r="B121" s="572" t="s">
        <v>629</v>
      </c>
      <c r="C121" s="443">
        <f>+D121+E121</f>
        <v>514000000</v>
      </c>
      <c r="D121" s="443">
        <v>514000000</v>
      </c>
      <c r="E121" s="443"/>
      <c r="F121" s="443">
        <f>+G121+H121</f>
        <v>460023476</v>
      </c>
      <c r="G121" s="443">
        <v>50023476</v>
      </c>
      <c r="H121" s="443">
        <v>410000000</v>
      </c>
      <c r="I121" s="445">
        <f t="shared" si="18"/>
        <v>0.89498730739299615</v>
      </c>
      <c r="J121" s="445">
        <f t="shared" si="19"/>
        <v>9.7321937743190659E-2</v>
      </c>
      <c r="K121" s="445">
        <f t="shared" si="34"/>
        <v>0</v>
      </c>
      <c r="M121" s="107"/>
    </row>
    <row r="122" spans="1:13" s="125" customFormat="1" ht="21.75" customHeight="1">
      <c r="A122" s="417" t="s">
        <v>508</v>
      </c>
      <c r="B122" s="571" t="s">
        <v>666</v>
      </c>
      <c r="C122" s="439">
        <f>+C123+C124</f>
        <v>410000000</v>
      </c>
      <c r="D122" s="439">
        <f>+D123+D124</f>
        <v>230000000</v>
      </c>
      <c r="E122" s="439">
        <f t="shared" ref="E122" si="36">+E123+E124</f>
        <v>180000000</v>
      </c>
      <c r="F122" s="439">
        <f>+F123+F124</f>
        <v>8440290900</v>
      </c>
      <c r="G122" s="439">
        <f>+G123+G124</f>
        <v>8204048000</v>
      </c>
      <c r="H122" s="439">
        <f t="shared" ref="H122" si="37">+H123+H124</f>
        <v>236242900</v>
      </c>
      <c r="I122" s="445">
        <f t="shared" si="18"/>
        <v>20.586075365853659</v>
      </c>
      <c r="J122" s="445">
        <f t="shared" si="19"/>
        <v>35.669773913043478</v>
      </c>
      <c r="K122" s="445">
        <f t="shared" si="20"/>
        <v>1.3124605555555555</v>
      </c>
      <c r="M122" s="162"/>
    </row>
    <row r="123" spans="1:13" s="125" customFormat="1" ht="21.75" customHeight="1">
      <c r="A123" s="417" t="s">
        <v>364</v>
      </c>
      <c r="B123" s="571" t="s">
        <v>308</v>
      </c>
      <c r="C123" s="439">
        <f>+D123+E123</f>
        <v>0</v>
      </c>
      <c r="D123" s="439"/>
      <c r="E123" s="439"/>
      <c r="F123" s="439">
        <f>+G123+H123</f>
        <v>7967098000</v>
      </c>
      <c r="G123" s="439">
        <v>7967098000</v>
      </c>
      <c r="H123" s="439"/>
      <c r="I123" s="445">
        <f>IFERROR(F123/C123,0)</f>
        <v>0</v>
      </c>
      <c r="J123" s="445">
        <f>IFERROR(G123/D123,0)</f>
        <v>0</v>
      </c>
      <c r="K123" s="445">
        <f>IFERROR(H123/E123,0)</f>
        <v>0</v>
      </c>
      <c r="M123" s="162"/>
    </row>
    <row r="124" spans="1:13" s="125" customFormat="1" ht="21.75" customHeight="1">
      <c r="A124" s="417" t="s">
        <v>364</v>
      </c>
      <c r="B124" s="571" t="s">
        <v>309</v>
      </c>
      <c r="C124" s="439">
        <f t="shared" ref="C124:H124" si="38">+C125+C126+C151</f>
        <v>410000000</v>
      </c>
      <c r="D124" s="439">
        <f t="shared" si="38"/>
        <v>230000000</v>
      </c>
      <c r="E124" s="439">
        <f t="shared" si="38"/>
        <v>180000000</v>
      </c>
      <c r="F124" s="439">
        <f t="shared" si="38"/>
        <v>473192900</v>
      </c>
      <c r="G124" s="439">
        <f t="shared" si="38"/>
        <v>236950000</v>
      </c>
      <c r="H124" s="439">
        <f t="shared" si="38"/>
        <v>236242900</v>
      </c>
      <c r="I124" s="445">
        <f t="shared" ref="I124:I159" si="39">F124/C124</f>
        <v>1.154129024390244</v>
      </c>
      <c r="J124" s="445">
        <f t="shared" ref="J124:J158" si="40">G124/D124</f>
        <v>1.0302173913043478</v>
      </c>
      <c r="K124" s="445">
        <f t="shared" ref="K124:K159" si="41">H124/E124</f>
        <v>1.3124605555555555</v>
      </c>
      <c r="M124" s="162"/>
    </row>
    <row r="125" spans="1:13" s="125" customFormat="1" ht="21.75" customHeight="1">
      <c r="A125" s="417"/>
      <c r="B125" s="571" t="s">
        <v>630</v>
      </c>
      <c r="C125" s="439">
        <f>+D125+E125</f>
        <v>0</v>
      </c>
      <c r="D125" s="439"/>
      <c r="E125" s="439"/>
      <c r="F125" s="439">
        <f>+G125+H125</f>
        <v>0</v>
      </c>
      <c r="G125" s="439"/>
      <c r="H125" s="439"/>
      <c r="I125" s="445">
        <f>IFERROR(F125/C125,0)</f>
        <v>0</v>
      </c>
      <c r="J125" s="445">
        <f>IFERROR(G125/D125,0)</f>
        <v>0</v>
      </c>
      <c r="K125" s="445">
        <f>IFERROR(H125/E125,0)</f>
        <v>0</v>
      </c>
      <c r="M125" s="162"/>
    </row>
    <row r="126" spans="1:13" s="125" customFormat="1" ht="21.75" customHeight="1">
      <c r="A126" s="417"/>
      <c r="B126" s="571" t="s">
        <v>631</v>
      </c>
      <c r="C126" s="439">
        <f t="shared" ref="C126:H126" si="42">C128</f>
        <v>200000000</v>
      </c>
      <c r="D126" s="439">
        <f t="shared" si="42"/>
        <v>200000000</v>
      </c>
      <c r="E126" s="439">
        <f t="shared" si="42"/>
        <v>0</v>
      </c>
      <c r="F126" s="439">
        <f t="shared" si="42"/>
        <v>200000000</v>
      </c>
      <c r="G126" s="439">
        <f t="shared" si="42"/>
        <v>200000000</v>
      </c>
      <c r="H126" s="439">
        <f t="shared" si="42"/>
        <v>0</v>
      </c>
      <c r="I126" s="445">
        <f t="shared" si="39"/>
        <v>1</v>
      </c>
      <c r="J126" s="445">
        <f t="shared" si="40"/>
        <v>1</v>
      </c>
      <c r="K126" s="445">
        <f>IFERROR(H126/E126,0)</f>
        <v>0</v>
      </c>
      <c r="M126" s="162"/>
    </row>
    <row r="127" spans="1:13" s="72" customFormat="1" ht="54" customHeight="1">
      <c r="A127" s="417"/>
      <c r="B127" s="572" t="s">
        <v>632</v>
      </c>
      <c r="C127" s="443">
        <v>0</v>
      </c>
      <c r="D127" s="443"/>
      <c r="E127" s="443"/>
      <c r="F127" s="443">
        <v>0</v>
      </c>
      <c r="G127" s="443"/>
      <c r="H127" s="443"/>
      <c r="I127" s="445">
        <f>IFERROR(F127/C127,0)</f>
        <v>0</v>
      </c>
      <c r="J127" s="445">
        <f>IFERROR(G127/D127,0)</f>
        <v>0</v>
      </c>
      <c r="K127" s="445">
        <f>IFERROR(H127/E127,0)</f>
        <v>0</v>
      </c>
      <c r="M127" s="107"/>
    </row>
    <row r="128" spans="1:13" s="72" customFormat="1" ht="70.5" customHeight="1">
      <c r="A128" s="417"/>
      <c r="B128" s="572" t="s">
        <v>633</v>
      </c>
      <c r="C128" s="443">
        <f>+D128+E128</f>
        <v>200000000</v>
      </c>
      <c r="D128" s="443">
        <v>200000000</v>
      </c>
      <c r="E128" s="443"/>
      <c r="F128" s="443">
        <f>+G128+H128</f>
        <v>200000000</v>
      </c>
      <c r="G128" s="443">
        <v>200000000</v>
      </c>
      <c r="H128" s="443"/>
      <c r="I128" s="445">
        <f t="shared" si="39"/>
        <v>1</v>
      </c>
      <c r="J128" s="445">
        <f t="shared" si="40"/>
        <v>1</v>
      </c>
      <c r="K128" s="445">
        <f>IFERROR(H128/E128,0)</f>
        <v>0</v>
      </c>
      <c r="M128" s="107"/>
    </row>
    <row r="129" spans="1:13" s="72" customFormat="1" ht="60">
      <c r="A129" s="447"/>
      <c r="B129" s="572" t="s">
        <v>634</v>
      </c>
      <c r="C129" s="443">
        <v>0</v>
      </c>
      <c r="D129" s="443"/>
      <c r="E129" s="443"/>
      <c r="F129" s="443">
        <v>0</v>
      </c>
      <c r="G129" s="443"/>
      <c r="H129" s="443"/>
      <c r="I129" s="445">
        <f>IFERROR(F129/C129,0)</f>
        <v>0</v>
      </c>
      <c r="J129" s="445">
        <f>IFERROR(G129/D129,0)</f>
        <v>0</v>
      </c>
      <c r="K129" s="445">
        <f>IFERROR(H129/E129,0)</f>
        <v>0</v>
      </c>
      <c r="M129" s="107"/>
    </row>
    <row r="130" spans="1:13" s="72" customFormat="1" ht="45">
      <c r="A130" s="447"/>
      <c r="B130" s="572" t="s">
        <v>635</v>
      </c>
      <c r="C130" s="443">
        <v>0</v>
      </c>
      <c r="D130" s="443"/>
      <c r="E130" s="443"/>
      <c r="F130" s="443">
        <v>0</v>
      </c>
      <c r="G130" s="443"/>
      <c r="H130" s="443"/>
      <c r="I130" s="445">
        <f t="shared" ref="I130:I141" si="43">IFERROR(F130/C130,0)</f>
        <v>0</v>
      </c>
      <c r="J130" s="445">
        <f t="shared" ref="J130:J141" si="44">IFERROR(G130/D130,0)</f>
        <v>0</v>
      </c>
      <c r="K130" s="445">
        <f t="shared" ref="K130:K141" si="45">IFERROR(H130/E130,0)</f>
        <v>0</v>
      </c>
      <c r="M130" s="107"/>
    </row>
    <row r="131" spans="1:13" s="72" customFormat="1" ht="45">
      <c r="A131" s="447"/>
      <c r="B131" s="572" t="s">
        <v>636</v>
      </c>
      <c r="C131" s="443">
        <v>0</v>
      </c>
      <c r="D131" s="443"/>
      <c r="E131" s="443"/>
      <c r="F131" s="443">
        <v>0</v>
      </c>
      <c r="G131" s="443"/>
      <c r="H131" s="443"/>
      <c r="I131" s="445">
        <f t="shared" si="43"/>
        <v>0</v>
      </c>
      <c r="J131" s="445">
        <f t="shared" si="44"/>
        <v>0</v>
      </c>
      <c r="K131" s="445">
        <f t="shared" si="45"/>
        <v>0</v>
      </c>
      <c r="M131" s="107"/>
    </row>
    <row r="132" spans="1:13" s="72" customFormat="1" ht="15">
      <c r="A132" s="447"/>
      <c r="B132" s="571" t="s">
        <v>637</v>
      </c>
      <c r="C132" s="439">
        <v>0</v>
      </c>
      <c r="D132" s="439">
        <v>0</v>
      </c>
      <c r="E132" s="439">
        <v>0</v>
      </c>
      <c r="F132" s="439">
        <v>0</v>
      </c>
      <c r="G132" s="439">
        <v>0</v>
      </c>
      <c r="H132" s="439">
        <v>0</v>
      </c>
      <c r="I132" s="445">
        <f t="shared" si="43"/>
        <v>0</v>
      </c>
      <c r="J132" s="445">
        <f t="shared" si="44"/>
        <v>0</v>
      </c>
      <c r="K132" s="445">
        <f t="shared" si="45"/>
        <v>0</v>
      </c>
      <c r="M132" s="107"/>
    </row>
    <row r="133" spans="1:13" s="72" customFormat="1" ht="60">
      <c r="A133" s="447"/>
      <c r="B133" s="572" t="s">
        <v>638</v>
      </c>
      <c r="C133" s="443">
        <v>0</v>
      </c>
      <c r="D133" s="443"/>
      <c r="E133" s="443"/>
      <c r="F133" s="443">
        <v>0</v>
      </c>
      <c r="G133" s="443"/>
      <c r="H133" s="443"/>
      <c r="I133" s="445">
        <f t="shared" si="43"/>
        <v>0</v>
      </c>
      <c r="J133" s="445">
        <f t="shared" si="44"/>
        <v>0</v>
      </c>
      <c r="K133" s="445">
        <f t="shared" si="45"/>
        <v>0</v>
      </c>
      <c r="M133" s="107"/>
    </row>
    <row r="134" spans="1:13" s="72" customFormat="1" ht="15">
      <c r="A134" s="447"/>
      <c r="B134" s="571" t="s">
        <v>639</v>
      </c>
      <c r="C134" s="439">
        <v>0</v>
      </c>
      <c r="D134" s="439">
        <v>0</v>
      </c>
      <c r="E134" s="439">
        <v>0</v>
      </c>
      <c r="F134" s="439">
        <v>0</v>
      </c>
      <c r="G134" s="439">
        <v>0</v>
      </c>
      <c r="H134" s="439">
        <v>0</v>
      </c>
      <c r="I134" s="445">
        <f t="shared" si="43"/>
        <v>0</v>
      </c>
      <c r="J134" s="445">
        <f t="shared" si="44"/>
        <v>0</v>
      </c>
      <c r="K134" s="445">
        <f t="shared" si="45"/>
        <v>0</v>
      </c>
      <c r="M134" s="107"/>
    </row>
    <row r="135" spans="1:13" s="72" customFormat="1" ht="60">
      <c r="A135" s="447"/>
      <c r="B135" s="572" t="s">
        <v>640</v>
      </c>
      <c r="C135" s="443">
        <v>0</v>
      </c>
      <c r="D135" s="443"/>
      <c r="E135" s="443"/>
      <c r="F135" s="443">
        <v>0</v>
      </c>
      <c r="G135" s="443"/>
      <c r="H135" s="443"/>
      <c r="I135" s="445">
        <f t="shared" si="43"/>
        <v>0</v>
      </c>
      <c r="J135" s="445">
        <f t="shared" si="44"/>
        <v>0</v>
      </c>
      <c r="K135" s="445">
        <f t="shared" si="45"/>
        <v>0</v>
      </c>
      <c r="M135" s="107"/>
    </row>
    <row r="136" spans="1:13" s="72" customFormat="1" ht="15">
      <c r="A136" s="447"/>
      <c r="B136" s="571" t="s">
        <v>641</v>
      </c>
      <c r="C136" s="439">
        <v>0</v>
      </c>
      <c r="D136" s="439">
        <v>0</v>
      </c>
      <c r="E136" s="439">
        <v>0</v>
      </c>
      <c r="F136" s="439">
        <v>0</v>
      </c>
      <c r="G136" s="439">
        <v>0</v>
      </c>
      <c r="H136" s="439">
        <v>0</v>
      </c>
      <c r="I136" s="445">
        <f t="shared" si="43"/>
        <v>0</v>
      </c>
      <c r="J136" s="445">
        <f t="shared" si="44"/>
        <v>0</v>
      </c>
      <c r="K136" s="445">
        <f t="shared" si="45"/>
        <v>0</v>
      </c>
      <c r="M136" s="107"/>
    </row>
    <row r="137" spans="1:13" s="72" customFormat="1" ht="90">
      <c r="A137" s="447"/>
      <c r="B137" s="572" t="s">
        <v>642</v>
      </c>
      <c r="C137" s="443">
        <v>0</v>
      </c>
      <c r="D137" s="443"/>
      <c r="E137" s="443"/>
      <c r="F137" s="443">
        <v>0</v>
      </c>
      <c r="G137" s="443"/>
      <c r="H137" s="443"/>
      <c r="I137" s="445">
        <f t="shared" si="43"/>
        <v>0</v>
      </c>
      <c r="J137" s="445">
        <f t="shared" si="44"/>
        <v>0</v>
      </c>
      <c r="K137" s="445">
        <f t="shared" si="45"/>
        <v>0</v>
      </c>
      <c r="M137" s="107"/>
    </row>
    <row r="138" spans="1:13" s="72" customFormat="1" ht="75">
      <c r="A138" s="447"/>
      <c r="B138" s="571" t="s">
        <v>669</v>
      </c>
      <c r="C138" s="443">
        <v>0</v>
      </c>
      <c r="D138" s="443"/>
      <c r="E138" s="443"/>
      <c r="F138" s="443">
        <v>0</v>
      </c>
      <c r="G138" s="443"/>
      <c r="H138" s="443"/>
      <c r="I138" s="445">
        <f t="shared" si="43"/>
        <v>0</v>
      </c>
      <c r="J138" s="445">
        <f t="shared" si="44"/>
        <v>0</v>
      </c>
      <c r="K138" s="445">
        <f t="shared" si="45"/>
        <v>0</v>
      </c>
      <c r="M138" s="107"/>
    </row>
    <row r="139" spans="1:13" s="72" customFormat="1" ht="60">
      <c r="A139" s="447"/>
      <c r="B139" s="572" t="s">
        <v>643</v>
      </c>
      <c r="C139" s="443">
        <v>0</v>
      </c>
      <c r="D139" s="443"/>
      <c r="E139" s="443"/>
      <c r="F139" s="443">
        <v>0</v>
      </c>
      <c r="G139" s="443"/>
      <c r="H139" s="443"/>
      <c r="I139" s="445">
        <f t="shared" si="43"/>
        <v>0</v>
      </c>
      <c r="J139" s="445">
        <f t="shared" si="44"/>
        <v>0</v>
      </c>
      <c r="K139" s="445">
        <f t="shared" si="45"/>
        <v>0</v>
      </c>
      <c r="M139" s="107"/>
    </row>
    <row r="140" spans="1:13" s="72" customFormat="1" ht="60">
      <c r="A140" s="447"/>
      <c r="B140" s="572" t="s">
        <v>644</v>
      </c>
      <c r="C140" s="443">
        <v>0</v>
      </c>
      <c r="D140" s="443"/>
      <c r="E140" s="443"/>
      <c r="F140" s="443">
        <v>0</v>
      </c>
      <c r="G140" s="443"/>
      <c r="H140" s="443"/>
      <c r="I140" s="445">
        <f t="shared" si="43"/>
        <v>0</v>
      </c>
      <c r="J140" s="445">
        <f t="shared" si="44"/>
        <v>0</v>
      </c>
      <c r="K140" s="445">
        <f t="shared" si="45"/>
        <v>0</v>
      </c>
      <c r="M140" s="107"/>
    </row>
    <row r="141" spans="1:13" s="72" customFormat="1" ht="45">
      <c r="A141" s="447"/>
      <c r="B141" s="572" t="s">
        <v>645</v>
      </c>
      <c r="C141" s="443">
        <v>0</v>
      </c>
      <c r="D141" s="443"/>
      <c r="E141" s="443"/>
      <c r="F141" s="443">
        <v>0</v>
      </c>
      <c r="G141" s="443"/>
      <c r="H141" s="443"/>
      <c r="I141" s="445">
        <f t="shared" si="43"/>
        <v>0</v>
      </c>
      <c r="J141" s="445">
        <f t="shared" si="44"/>
        <v>0</v>
      </c>
      <c r="K141" s="445">
        <f t="shared" si="45"/>
        <v>0</v>
      </c>
      <c r="M141" s="107"/>
    </row>
    <row r="142" spans="1:13" s="72" customFormat="1" ht="90">
      <c r="A142" s="447"/>
      <c r="B142" s="572" t="s">
        <v>646</v>
      </c>
      <c r="C142" s="443">
        <v>0</v>
      </c>
      <c r="D142" s="443"/>
      <c r="E142" s="443"/>
      <c r="F142" s="443">
        <v>0</v>
      </c>
      <c r="G142" s="443"/>
      <c r="H142" s="443"/>
      <c r="I142" s="445">
        <f t="shared" ref="I142:I144" si="46">IFERROR(F142/C142,0)</f>
        <v>0</v>
      </c>
      <c r="J142" s="445">
        <f t="shared" ref="J142:J144" si="47">IFERROR(G142/D142,0)</f>
        <v>0</v>
      </c>
      <c r="K142" s="445">
        <f t="shared" ref="K142:K144" si="48">IFERROR(H142/E142,0)</f>
        <v>0</v>
      </c>
      <c r="M142" s="107"/>
    </row>
    <row r="143" spans="1:13" s="72" customFormat="1" ht="15">
      <c r="A143" s="447"/>
      <c r="B143" s="571" t="s">
        <v>647</v>
      </c>
      <c r="C143" s="439">
        <v>0</v>
      </c>
      <c r="D143" s="439">
        <v>0</v>
      </c>
      <c r="E143" s="439">
        <v>0</v>
      </c>
      <c r="F143" s="439">
        <v>0</v>
      </c>
      <c r="G143" s="439">
        <v>0</v>
      </c>
      <c r="H143" s="439">
        <v>0</v>
      </c>
      <c r="I143" s="445">
        <f t="shared" si="46"/>
        <v>0</v>
      </c>
      <c r="J143" s="445">
        <f t="shared" si="47"/>
        <v>0</v>
      </c>
      <c r="K143" s="445">
        <f t="shared" si="48"/>
        <v>0</v>
      </c>
      <c r="M143" s="107"/>
    </row>
    <row r="144" spans="1:13" s="72" customFormat="1" ht="75">
      <c r="A144" s="441"/>
      <c r="B144" s="572" t="s">
        <v>648</v>
      </c>
      <c r="C144" s="443">
        <v>0</v>
      </c>
      <c r="D144" s="443"/>
      <c r="E144" s="443"/>
      <c r="F144" s="443">
        <v>0</v>
      </c>
      <c r="G144" s="443"/>
      <c r="H144" s="443"/>
      <c r="I144" s="445">
        <f t="shared" si="46"/>
        <v>0</v>
      </c>
      <c r="J144" s="445">
        <f t="shared" si="47"/>
        <v>0</v>
      </c>
      <c r="K144" s="445">
        <f t="shared" si="48"/>
        <v>0</v>
      </c>
      <c r="M144" s="107"/>
    </row>
    <row r="145" spans="1:13" s="72" customFormat="1" ht="75">
      <c r="A145" s="441"/>
      <c r="B145" s="572" t="s">
        <v>649</v>
      </c>
      <c r="C145" s="443">
        <v>0</v>
      </c>
      <c r="D145" s="443"/>
      <c r="E145" s="443"/>
      <c r="F145" s="443">
        <v>0</v>
      </c>
      <c r="G145" s="443"/>
      <c r="H145" s="443"/>
      <c r="I145" s="445">
        <f t="shared" ref="I145:I150" si="49">IFERROR(F145/C145,0)</f>
        <v>0</v>
      </c>
      <c r="J145" s="445">
        <f t="shared" ref="J145:J150" si="50">IFERROR(G145/D145,0)</f>
        <v>0</v>
      </c>
      <c r="K145" s="445">
        <f t="shared" ref="K145:K150" si="51">IFERROR(H145/E145,0)</f>
        <v>0</v>
      </c>
      <c r="M145" s="107"/>
    </row>
    <row r="146" spans="1:13" s="72" customFormat="1" ht="30">
      <c r="A146" s="441"/>
      <c r="B146" s="572" t="s">
        <v>650</v>
      </c>
      <c r="C146" s="443">
        <v>0</v>
      </c>
      <c r="D146" s="443"/>
      <c r="E146" s="443"/>
      <c r="F146" s="443">
        <v>0</v>
      </c>
      <c r="G146" s="443"/>
      <c r="H146" s="443"/>
      <c r="I146" s="445">
        <f t="shared" si="49"/>
        <v>0</v>
      </c>
      <c r="J146" s="445">
        <f t="shared" si="50"/>
        <v>0</v>
      </c>
      <c r="K146" s="445">
        <f t="shared" si="51"/>
        <v>0</v>
      </c>
      <c r="M146" s="107"/>
    </row>
    <row r="147" spans="1:13" s="72" customFormat="1" ht="60">
      <c r="A147" s="441"/>
      <c r="B147" s="572" t="s">
        <v>651</v>
      </c>
      <c r="C147" s="443">
        <v>0</v>
      </c>
      <c r="D147" s="443"/>
      <c r="E147" s="443"/>
      <c r="F147" s="443">
        <v>0</v>
      </c>
      <c r="G147" s="443"/>
      <c r="H147" s="443"/>
      <c r="I147" s="445">
        <f t="shared" si="49"/>
        <v>0</v>
      </c>
      <c r="J147" s="445">
        <f t="shared" si="50"/>
        <v>0</v>
      </c>
      <c r="K147" s="445">
        <f t="shared" si="51"/>
        <v>0</v>
      </c>
      <c r="M147" s="107"/>
    </row>
    <row r="148" spans="1:13" s="72" customFormat="1" ht="60">
      <c r="A148" s="441"/>
      <c r="B148" s="572" t="s">
        <v>652</v>
      </c>
      <c r="C148" s="443">
        <v>0</v>
      </c>
      <c r="D148" s="443"/>
      <c r="E148" s="443"/>
      <c r="F148" s="443">
        <v>0</v>
      </c>
      <c r="G148" s="443"/>
      <c r="H148" s="443"/>
      <c r="I148" s="445">
        <f t="shared" si="49"/>
        <v>0</v>
      </c>
      <c r="J148" s="445">
        <f t="shared" si="50"/>
        <v>0</v>
      </c>
      <c r="K148" s="445">
        <f t="shared" si="51"/>
        <v>0</v>
      </c>
      <c r="M148" s="107"/>
    </row>
    <row r="149" spans="1:13" s="72" customFormat="1" ht="15">
      <c r="A149" s="441"/>
      <c r="B149" s="571" t="s">
        <v>653</v>
      </c>
      <c r="C149" s="439">
        <v>0</v>
      </c>
      <c r="D149" s="439">
        <v>0</v>
      </c>
      <c r="E149" s="439">
        <v>0</v>
      </c>
      <c r="F149" s="439">
        <v>0</v>
      </c>
      <c r="G149" s="439">
        <v>0</v>
      </c>
      <c r="H149" s="439">
        <v>0</v>
      </c>
      <c r="I149" s="445">
        <f t="shared" si="49"/>
        <v>0</v>
      </c>
      <c r="J149" s="445">
        <f t="shared" si="50"/>
        <v>0</v>
      </c>
      <c r="K149" s="445">
        <f t="shared" si="51"/>
        <v>0</v>
      </c>
      <c r="M149" s="107"/>
    </row>
    <row r="150" spans="1:13" s="72" customFormat="1" ht="30">
      <c r="A150" s="441"/>
      <c r="B150" s="572" t="s">
        <v>654</v>
      </c>
      <c r="C150" s="443">
        <v>0</v>
      </c>
      <c r="D150" s="443"/>
      <c r="E150" s="443"/>
      <c r="F150" s="443">
        <v>0</v>
      </c>
      <c r="G150" s="443"/>
      <c r="H150" s="443"/>
      <c r="I150" s="445">
        <f t="shared" si="49"/>
        <v>0</v>
      </c>
      <c r="J150" s="445">
        <f t="shared" si="50"/>
        <v>0</v>
      </c>
      <c r="K150" s="445">
        <f t="shared" si="51"/>
        <v>0</v>
      </c>
      <c r="M150" s="107"/>
    </row>
    <row r="151" spans="1:13" s="125" customFormat="1" ht="22.5" customHeight="1">
      <c r="A151" s="569"/>
      <c r="B151" s="571" t="s">
        <v>655</v>
      </c>
      <c r="C151" s="439">
        <f t="shared" ref="C151:H151" si="52">C152</f>
        <v>210000000</v>
      </c>
      <c r="D151" s="439">
        <f t="shared" si="52"/>
        <v>30000000</v>
      </c>
      <c r="E151" s="439">
        <f t="shared" si="52"/>
        <v>180000000</v>
      </c>
      <c r="F151" s="439">
        <f t="shared" si="52"/>
        <v>273192900</v>
      </c>
      <c r="G151" s="439">
        <f t="shared" si="52"/>
        <v>36950000</v>
      </c>
      <c r="H151" s="439">
        <f t="shared" si="52"/>
        <v>236242900</v>
      </c>
      <c r="I151" s="445">
        <f t="shared" si="39"/>
        <v>1.3009185714285714</v>
      </c>
      <c r="J151" s="445">
        <f t="shared" si="40"/>
        <v>1.2316666666666667</v>
      </c>
      <c r="K151" s="445">
        <f t="shared" si="41"/>
        <v>1.3124605555555555</v>
      </c>
      <c r="M151" s="162"/>
    </row>
    <row r="152" spans="1:13" s="72" customFormat="1" ht="48.75" customHeight="1">
      <c r="A152" s="441"/>
      <c r="B152" s="572" t="s">
        <v>656</v>
      </c>
      <c r="C152" s="443">
        <f>+D152+E152</f>
        <v>210000000</v>
      </c>
      <c r="D152" s="443">
        <v>30000000</v>
      </c>
      <c r="E152" s="443">
        <v>180000000</v>
      </c>
      <c r="F152" s="443">
        <f>+G152+H152</f>
        <v>273192900</v>
      </c>
      <c r="G152" s="443">
        <v>36950000</v>
      </c>
      <c r="H152" s="443">
        <v>236242900</v>
      </c>
      <c r="I152" s="445">
        <f t="shared" si="39"/>
        <v>1.3009185714285714</v>
      </c>
      <c r="J152" s="445">
        <f t="shared" si="40"/>
        <v>1.2316666666666667</v>
      </c>
      <c r="K152" s="445">
        <f t="shared" si="41"/>
        <v>1.3124605555555555</v>
      </c>
      <c r="M152" s="107"/>
    </row>
    <row r="153" spans="1:13" s="72" customFormat="1" ht="23.25" customHeight="1">
      <c r="A153" s="417" t="s">
        <v>12</v>
      </c>
      <c r="B153" s="449" t="s">
        <v>480</v>
      </c>
      <c r="C153" s="566">
        <f>C154+C157</f>
        <v>3233000000</v>
      </c>
      <c r="D153" s="566">
        <f t="shared" ref="D153:E153" si="53">D154+D157</f>
        <v>28000000</v>
      </c>
      <c r="E153" s="566">
        <f t="shared" si="53"/>
        <v>3205000000</v>
      </c>
      <c r="F153" s="566">
        <f>F154+F157</f>
        <v>3286662400</v>
      </c>
      <c r="G153" s="566">
        <f t="shared" ref="G153:H153" si="54">G154+G157</f>
        <v>95000000</v>
      </c>
      <c r="H153" s="566">
        <f t="shared" si="54"/>
        <v>3191662400</v>
      </c>
      <c r="I153" s="445">
        <f t="shared" si="39"/>
        <v>1.0165983297247139</v>
      </c>
      <c r="J153" s="445">
        <f t="shared" si="40"/>
        <v>3.3928571428571428</v>
      </c>
      <c r="K153" s="445">
        <f t="shared" si="41"/>
        <v>0.99583850234009363</v>
      </c>
      <c r="M153" s="107"/>
    </row>
    <row r="154" spans="1:13" s="125" customFormat="1" ht="22.5" customHeight="1">
      <c r="A154" s="417">
        <v>1</v>
      </c>
      <c r="B154" s="438" t="s">
        <v>308</v>
      </c>
      <c r="C154" s="439">
        <f>C156</f>
        <v>0</v>
      </c>
      <c r="D154" s="439">
        <f>D156+D155</f>
        <v>0</v>
      </c>
      <c r="E154" s="439">
        <f>E156+E155</f>
        <v>0</v>
      </c>
      <c r="F154" s="439">
        <f>F156</f>
        <v>0</v>
      </c>
      <c r="G154" s="439">
        <f>G156+G155</f>
        <v>0</v>
      </c>
      <c r="H154" s="439">
        <f>H156+H155</f>
        <v>0</v>
      </c>
      <c r="I154" s="445">
        <f t="shared" ref="I154:I156" si="55">IFERROR(F154/C154,0)</f>
        <v>0</v>
      </c>
      <c r="J154" s="445">
        <f t="shared" ref="J154:J156" si="56">IFERROR(G154/D154,0)</f>
        <v>0</v>
      </c>
      <c r="K154" s="445">
        <f t="shared" ref="K154:K158" si="57">IFERROR(H154/E154,0)</f>
        <v>0</v>
      </c>
      <c r="M154" s="162"/>
    </row>
    <row r="155" spans="1:13" s="72" customFormat="1" ht="53.25" customHeight="1">
      <c r="A155" s="447" t="s">
        <v>9</v>
      </c>
      <c r="B155" s="446" t="s">
        <v>318</v>
      </c>
      <c r="C155" s="443"/>
      <c r="D155" s="443"/>
      <c r="E155" s="443"/>
      <c r="F155" s="443"/>
      <c r="G155" s="443"/>
      <c r="H155" s="443"/>
      <c r="I155" s="445">
        <f t="shared" si="55"/>
        <v>0</v>
      </c>
      <c r="J155" s="445">
        <f t="shared" si="56"/>
        <v>0</v>
      </c>
      <c r="K155" s="445">
        <f t="shared" si="57"/>
        <v>0</v>
      </c>
      <c r="M155" s="107"/>
    </row>
    <row r="156" spans="1:13" s="72" customFormat="1" ht="34.5" customHeight="1">
      <c r="A156" s="447" t="s">
        <v>9</v>
      </c>
      <c r="B156" s="446" t="s">
        <v>432</v>
      </c>
      <c r="C156" s="443">
        <f>+D156+E156</f>
        <v>0</v>
      </c>
      <c r="D156" s="443"/>
      <c r="E156" s="443"/>
      <c r="F156" s="443">
        <f>+G156+H156</f>
        <v>0</v>
      </c>
      <c r="G156" s="443"/>
      <c r="H156" s="443"/>
      <c r="I156" s="445">
        <f t="shared" si="55"/>
        <v>0</v>
      </c>
      <c r="J156" s="445">
        <f t="shared" si="56"/>
        <v>0</v>
      </c>
      <c r="K156" s="445">
        <f t="shared" si="57"/>
        <v>0</v>
      </c>
      <c r="M156" s="107"/>
    </row>
    <row r="157" spans="1:13" s="125" customFormat="1" ht="22.5" customHeight="1">
      <c r="A157" s="417">
        <v>2</v>
      </c>
      <c r="B157" s="438" t="s">
        <v>309</v>
      </c>
      <c r="C157" s="439">
        <f t="shared" ref="C157:H157" si="58">SUM(C158:C163)</f>
        <v>3233000000</v>
      </c>
      <c r="D157" s="439">
        <f t="shared" si="58"/>
        <v>28000000</v>
      </c>
      <c r="E157" s="439">
        <f t="shared" si="58"/>
        <v>3205000000</v>
      </c>
      <c r="F157" s="439">
        <f t="shared" si="58"/>
        <v>3286662400</v>
      </c>
      <c r="G157" s="439">
        <f t="shared" si="58"/>
        <v>95000000</v>
      </c>
      <c r="H157" s="439">
        <f t="shared" si="58"/>
        <v>3191662400</v>
      </c>
      <c r="I157" s="445">
        <f t="shared" si="39"/>
        <v>1.0165983297247139</v>
      </c>
      <c r="J157" s="445">
        <f t="shared" si="40"/>
        <v>3.3928571428571428</v>
      </c>
      <c r="K157" s="445">
        <f t="shared" si="41"/>
        <v>0.99583850234009363</v>
      </c>
      <c r="M157" s="162"/>
    </row>
    <row r="158" spans="1:13" s="72" customFormat="1" ht="21.75" customHeight="1">
      <c r="A158" s="447" t="s">
        <v>9</v>
      </c>
      <c r="B158" s="442" t="s">
        <v>312</v>
      </c>
      <c r="C158" s="443">
        <f>+D158+E158</f>
        <v>28000000</v>
      </c>
      <c r="D158" s="443">
        <v>28000000</v>
      </c>
      <c r="E158" s="443"/>
      <c r="F158" s="443">
        <f>+G158+H158</f>
        <v>95000000</v>
      </c>
      <c r="G158" s="443">
        <v>95000000</v>
      </c>
      <c r="H158" s="443"/>
      <c r="I158" s="445">
        <f t="shared" si="39"/>
        <v>3.3928571428571428</v>
      </c>
      <c r="J158" s="445">
        <f t="shared" si="40"/>
        <v>3.3928571428571428</v>
      </c>
      <c r="K158" s="445">
        <f t="shared" si="57"/>
        <v>0</v>
      </c>
      <c r="M158" s="107"/>
    </row>
    <row r="159" spans="1:13" s="72" customFormat="1" ht="21.75" customHeight="1">
      <c r="A159" s="447" t="s">
        <v>9</v>
      </c>
      <c r="B159" s="442" t="s">
        <v>320</v>
      </c>
      <c r="C159" s="443">
        <f>+D159+E159</f>
        <v>3205000000</v>
      </c>
      <c r="D159" s="443"/>
      <c r="E159" s="443">
        <v>3205000000</v>
      </c>
      <c r="F159" s="443">
        <f>+G159+H159</f>
        <v>3191662400</v>
      </c>
      <c r="G159" s="443"/>
      <c r="H159" s="443">
        <v>3191662400</v>
      </c>
      <c r="I159" s="445">
        <f t="shared" si="39"/>
        <v>0.99583850234009363</v>
      </c>
      <c r="J159" s="445">
        <f t="shared" ref="J159:J165" si="59">IFERROR(G159/D159,0)</f>
        <v>0</v>
      </c>
      <c r="K159" s="445">
        <f t="shared" si="41"/>
        <v>0.99583850234009363</v>
      </c>
      <c r="M159" s="107"/>
    </row>
    <row r="160" spans="1:13" s="72" customFormat="1" ht="30">
      <c r="A160" s="447" t="s">
        <v>9</v>
      </c>
      <c r="B160" s="446" t="s">
        <v>319</v>
      </c>
      <c r="C160" s="443">
        <f t="shared" ref="C160:C165" si="60">+D160+E160</f>
        <v>0</v>
      </c>
      <c r="D160" s="443"/>
      <c r="E160" s="443"/>
      <c r="F160" s="443">
        <f t="shared" ref="F160:F165" si="61">+G160+H160</f>
        <v>0</v>
      </c>
      <c r="G160" s="443"/>
      <c r="H160" s="443"/>
      <c r="I160" s="445">
        <f t="shared" ref="I160:I165" si="62">IFERROR(F160/C160,0)</f>
        <v>0</v>
      </c>
      <c r="J160" s="445">
        <f t="shared" si="59"/>
        <v>0</v>
      </c>
      <c r="K160" s="445">
        <f t="shared" ref="K160:K165" si="63">IFERROR(H160/E160,0)</f>
        <v>0</v>
      </c>
      <c r="M160" s="107"/>
    </row>
    <row r="161" spans="1:13" s="72" customFormat="1" ht="45">
      <c r="A161" s="447" t="s">
        <v>9</v>
      </c>
      <c r="B161" s="446" t="s">
        <v>318</v>
      </c>
      <c r="C161" s="443">
        <f t="shared" si="60"/>
        <v>0</v>
      </c>
      <c r="D161" s="443"/>
      <c r="E161" s="443"/>
      <c r="F161" s="443">
        <f t="shared" si="61"/>
        <v>0</v>
      </c>
      <c r="G161" s="443"/>
      <c r="H161" s="443"/>
      <c r="I161" s="445">
        <f t="shared" si="62"/>
        <v>0</v>
      </c>
      <c r="J161" s="445">
        <f t="shared" si="59"/>
        <v>0</v>
      </c>
      <c r="K161" s="445">
        <f t="shared" si="63"/>
        <v>0</v>
      </c>
      <c r="M161" s="107"/>
    </row>
    <row r="162" spans="1:13" s="72" customFormat="1" ht="15">
      <c r="A162" s="447" t="s">
        <v>9</v>
      </c>
      <c r="B162" s="442" t="s">
        <v>347</v>
      </c>
      <c r="C162" s="443">
        <f t="shared" si="60"/>
        <v>0</v>
      </c>
      <c r="D162" s="443"/>
      <c r="E162" s="443"/>
      <c r="F162" s="443">
        <f t="shared" si="61"/>
        <v>0</v>
      </c>
      <c r="G162" s="443"/>
      <c r="H162" s="443"/>
      <c r="I162" s="445">
        <f t="shared" si="62"/>
        <v>0</v>
      </c>
      <c r="J162" s="445">
        <f t="shared" si="59"/>
        <v>0</v>
      </c>
      <c r="K162" s="445">
        <f t="shared" si="63"/>
        <v>0</v>
      </c>
      <c r="M162" s="107"/>
    </row>
    <row r="163" spans="1:13" s="72" customFormat="1" ht="30">
      <c r="A163" s="447" t="s">
        <v>9</v>
      </c>
      <c r="B163" s="446" t="s">
        <v>348</v>
      </c>
      <c r="C163" s="443">
        <f t="shared" si="60"/>
        <v>0</v>
      </c>
      <c r="D163" s="443"/>
      <c r="E163" s="443"/>
      <c r="F163" s="443">
        <f t="shared" si="61"/>
        <v>0</v>
      </c>
      <c r="G163" s="443"/>
      <c r="H163" s="443"/>
      <c r="I163" s="445">
        <f t="shared" si="62"/>
        <v>0</v>
      </c>
      <c r="J163" s="445">
        <f t="shared" si="59"/>
        <v>0</v>
      </c>
      <c r="K163" s="445">
        <f t="shared" si="63"/>
        <v>0</v>
      </c>
      <c r="M163" s="107"/>
    </row>
    <row r="164" spans="1:13" s="125" customFormat="1" ht="24.75" customHeight="1">
      <c r="A164" s="417" t="s">
        <v>16</v>
      </c>
      <c r="B164" s="438" t="s">
        <v>272</v>
      </c>
      <c r="C164" s="439">
        <f t="shared" si="60"/>
        <v>0</v>
      </c>
      <c r="D164" s="439"/>
      <c r="E164" s="439"/>
      <c r="F164" s="439">
        <f t="shared" si="61"/>
        <v>9504193948</v>
      </c>
      <c r="G164" s="439">
        <v>2800486306</v>
      </c>
      <c r="H164" s="439">
        <v>6703707642</v>
      </c>
      <c r="I164" s="445">
        <f t="shared" si="62"/>
        <v>0</v>
      </c>
      <c r="J164" s="445">
        <f t="shared" si="59"/>
        <v>0</v>
      </c>
      <c r="K164" s="445">
        <f t="shared" si="63"/>
        <v>0</v>
      </c>
      <c r="M164" s="162"/>
    </row>
    <row r="165" spans="1:13" s="125" customFormat="1" ht="24.75" customHeight="1">
      <c r="A165" s="452" t="s">
        <v>267</v>
      </c>
      <c r="B165" s="453" t="s">
        <v>77</v>
      </c>
      <c r="C165" s="439">
        <f t="shared" si="60"/>
        <v>0</v>
      </c>
      <c r="D165" s="454"/>
      <c r="E165" s="454"/>
      <c r="F165" s="439">
        <f t="shared" si="61"/>
        <v>144366784604</v>
      </c>
      <c r="G165" s="454">
        <v>133115684926</v>
      </c>
      <c r="H165" s="454">
        <v>11251099678</v>
      </c>
      <c r="I165" s="445">
        <f t="shared" si="62"/>
        <v>0</v>
      </c>
      <c r="J165" s="445">
        <f t="shared" si="59"/>
        <v>0</v>
      </c>
      <c r="K165" s="445">
        <f t="shared" si="63"/>
        <v>0</v>
      </c>
      <c r="M165" s="162"/>
    </row>
  </sheetData>
  <mergeCells count="17">
    <mergeCell ref="D6:D7"/>
    <mergeCell ref="E6:E7"/>
    <mergeCell ref="J6:J7"/>
    <mergeCell ref="K6:K7"/>
    <mergeCell ref="I1:K1"/>
    <mergeCell ref="F5:F7"/>
    <mergeCell ref="G5:H5"/>
    <mergeCell ref="I5:K5"/>
    <mergeCell ref="G6:G7"/>
    <mergeCell ref="I4:K4"/>
    <mergeCell ref="A2:K2"/>
    <mergeCell ref="A5:A7"/>
    <mergeCell ref="B5:B7"/>
    <mergeCell ref="H6:H7"/>
    <mergeCell ref="I6:I7"/>
    <mergeCell ref="C5:C7"/>
    <mergeCell ref="D5:E5"/>
  </mergeCells>
  <phoneticPr fontId="16" type="noConversion"/>
  <pageMargins left="0.196850393700787" right="0" top="0.5" bottom="0.44" header="0" footer="0.23622047244094499"/>
  <pageSetup paperSize="9" scale="84" fitToHeight="0" orientation="landscape" r:id="rId1"/>
  <headerFooter alignWithMargins="0"/>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GG277"/>
  <sheetViews>
    <sheetView showZeros="0" tabSelected="1" view="pageBreakPreview" zoomScale="85" zoomScaleNormal="100" zoomScaleSheetLayoutView="85" workbookViewId="0">
      <pane xSplit="3" ySplit="11" topLeftCell="BE35" activePane="bottomRight" state="frozen"/>
      <selection pane="topRight" activeCell="D1" sqref="D1"/>
      <selection pane="bottomLeft" activeCell="A12" sqref="A12"/>
      <selection pane="bottomRight" activeCell="CR26" sqref="CR26"/>
    </sheetView>
  </sheetViews>
  <sheetFormatPr defaultColWidth="7.875" defaultRowHeight="12.75"/>
  <cols>
    <col min="1" max="1" width="5" style="102" customWidth="1"/>
    <col min="2" max="2" width="20.625" style="145" customWidth="1"/>
    <col min="3" max="4" width="13.125" style="146" customWidth="1"/>
    <col min="5" max="5" width="12.25" style="146" customWidth="1"/>
    <col min="6" max="6" width="11.875" style="146" hidden="1" customWidth="1"/>
    <col min="7" max="7" width="11.625" style="146" hidden="1" customWidth="1"/>
    <col min="8" max="8" width="12.125" style="146" hidden="1" customWidth="1"/>
    <col min="9" max="9" width="10.625" style="146" hidden="1" customWidth="1"/>
    <col min="10" max="10" width="13" style="146" customWidth="1"/>
    <col min="11" max="12" width="11.375" style="146" hidden="1" customWidth="1"/>
    <col min="13" max="13" width="13.5" style="146" hidden="1" customWidth="1"/>
    <col min="14" max="14" width="12.75" style="146" hidden="1" customWidth="1"/>
    <col min="15" max="15" width="11.75" style="146" hidden="1" customWidth="1"/>
    <col min="16" max="16" width="12.625" style="146" hidden="1" customWidth="1"/>
    <col min="17" max="18" width="11.25" style="146" hidden="1" customWidth="1"/>
    <col min="19" max="19" width="12.125" style="146" hidden="1" customWidth="1"/>
    <col min="20" max="20" width="11.75" style="146" hidden="1" customWidth="1"/>
    <col min="21" max="21" width="10.125" style="146" hidden="1" customWidth="1"/>
    <col min="22" max="22" width="11.375" style="146" hidden="1" customWidth="1"/>
    <col min="23" max="23" width="10.25" style="146" hidden="1" customWidth="1"/>
    <col min="24" max="24" width="9.625" style="146" hidden="1" customWidth="1"/>
    <col min="25" max="25" width="9.125" style="146" hidden="1" customWidth="1"/>
    <col min="26" max="26" width="11" style="146" hidden="1" customWidth="1"/>
    <col min="27" max="27" width="10.875" style="146" hidden="1" customWidth="1"/>
    <col min="28" max="28" width="12" style="146" hidden="1" customWidth="1"/>
    <col min="29" max="29" width="11.5" style="146" hidden="1" customWidth="1"/>
    <col min="30" max="30" width="11.375" style="146" hidden="1" customWidth="1"/>
    <col min="31" max="31" width="9.625" style="146" hidden="1" customWidth="1"/>
    <col min="32" max="32" width="11.5" style="146" hidden="1" customWidth="1"/>
    <col min="33" max="33" width="10.375" style="146" hidden="1" customWidth="1"/>
    <col min="34" max="34" width="12.625" style="146" hidden="1" customWidth="1"/>
    <col min="35" max="35" width="11.875" style="146" hidden="1" customWidth="1"/>
    <col min="36" max="36" width="11.25" style="146" hidden="1" customWidth="1"/>
    <col min="37" max="37" width="11.5" style="146" hidden="1" customWidth="1"/>
    <col min="38" max="38" width="11.125" style="146" hidden="1" customWidth="1"/>
    <col min="39" max="39" width="11.875" style="146" hidden="1" customWidth="1"/>
    <col min="40" max="40" width="12.625" style="146" hidden="1" customWidth="1"/>
    <col min="41" max="41" width="12.875" style="146" hidden="1" customWidth="1"/>
    <col min="42" max="42" width="11.25" style="146" hidden="1" customWidth="1"/>
    <col min="43" max="43" width="12.25" style="146" hidden="1" customWidth="1"/>
    <col min="44" max="44" width="11.75" style="146" hidden="1" customWidth="1"/>
    <col min="45" max="45" width="13.875" style="146" hidden="1" customWidth="1"/>
    <col min="46" max="46" width="12.5" style="146" hidden="1" customWidth="1"/>
    <col min="47" max="47" width="11.75" style="146" hidden="1" customWidth="1"/>
    <col min="48" max="48" width="12.5" style="146" hidden="1" customWidth="1"/>
    <col min="49" max="49" width="11.75" style="146" hidden="1" customWidth="1"/>
    <col min="50" max="50" width="13.875" style="146" hidden="1" customWidth="1"/>
    <col min="51" max="51" width="13.5" style="146" hidden="1" customWidth="1"/>
    <col min="52" max="53" width="12.125" style="146" hidden="1" customWidth="1"/>
    <col min="54" max="54" width="11.75" style="146" hidden="1" customWidth="1"/>
    <col min="55" max="55" width="11.375" style="146" hidden="1" customWidth="1"/>
    <col min="56" max="56" width="12.25" style="146" hidden="1" customWidth="1"/>
    <col min="57" max="59" width="12.875" style="146" customWidth="1"/>
    <col min="60" max="62" width="10.375" style="146" hidden="1" customWidth="1"/>
    <col min="63" max="63" width="8.625" style="146" hidden="1" customWidth="1"/>
    <col min="64" max="66" width="12" style="146" hidden="1" customWidth="1"/>
    <col min="67" max="67" width="12.375" style="146" hidden="1" customWidth="1"/>
    <col min="68" max="68" width="13.125" style="146" hidden="1" customWidth="1"/>
    <col min="69" max="69" width="9.625" style="146" hidden="1" customWidth="1"/>
    <col min="70" max="70" width="13.125" style="146" hidden="1" customWidth="1"/>
    <col min="71" max="71" width="10.625" style="146" hidden="1" customWidth="1"/>
    <col min="72" max="72" width="12.25" style="146" hidden="1" customWidth="1"/>
    <col min="73" max="73" width="12.5" style="146" hidden="1" customWidth="1"/>
    <col min="74" max="74" width="13.375" style="146" hidden="1" customWidth="1"/>
    <col min="75" max="75" width="10.25" style="146" hidden="1" customWidth="1"/>
    <col min="76" max="76" width="11.5" style="146" hidden="1" customWidth="1"/>
    <col min="77" max="77" width="11.875" style="146" hidden="1" customWidth="1"/>
    <col min="78" max="78" width="14.125" style="146" hidden="1" customWidth="1"/>
    <col min="79" max="79" width="12.25" style="146" hidden="1" customWidth="1"/>
    <col min="80" max="80" width="9.625" style="146" hidden="1" customWidth="1"/>
    <col min="81" max="81" width="10.875" style="146" hidden="1" customWidth="1"/>
    <col min="82" max="82" width="10.75" style="146" hidden="1" customWidth="1"/>
    <col min="83" max="83" width="13.625" style="146" hidden="1" customWidth="1"/>
    <col min="84" max="86" width="9.625" style="146" hidden="1" customWidth="1"/>
    <col min="87" max="87" width="10.375" style="146" customWidth="1"/>
    <col min="88" max="88" width="8.25" style="146" customWidth="1"/>
    <col min="89" max="89" width="11.125" style="146" customWidth="1"/>
    <col min="90" max="90" width="11.875" style="146" hidden="1" customWidth="1"/>
    <col min="91" max="91" width="15.25" style="146" hidden="1" customWidth="1"/>
    <col min="92" max="92" width="12.25" style="146" hidden="1" customWidth="1"/>
    <col min="93" max="93" width="19.125" style="145" hidden="1" customWidth="1"/>
    <col min="94" max="95" width="13.375" style="147" customWidth="1"/>
    <col min="96" max="96" width="11.875" style="146" customWidth="1"/>
    <col min="97" max="97" width="11.875" style="146" hidden="1" customWidth="1"/>
    <col min="98" max="98" width="12" style="146" hidden="1" customWidth="1"/>
    <col min="99" max="100" width="11.625" style="146" hidden="1" customWidth="1"/>
    <col min="101" max="101" width="13" style="146" customWidth="1"/>
    <col min="102" max="103" width="11.75" style="146" hidden="1" customWidth="1"/>
    <col min="104" max="104" width="14.25" style="146" hidden="1" customWidth="1"/>
    <col min="105" max="107" width="12.5" style="146" hidden="1" customWidth="1"/>
    <col min="108" max="108" width="11.625" style="146" hidden="1" customWidth="1"/>
    <col min="109" max="110" width="12.125" style="146" hidden="1" customWidth="1"/>
    <col min="111" max="111" width="13.25" style="146" hidden="1" customWidth="1"/>
    <col min="112" max="112" width="9.75" style="146" hidden="1" customWidth="1"/>
    <col min="113" max="113" width="11.75" style="146" hidden="1" customWidth="1"/>
    <col min="114" max="116" width="11.125" style="146" hidden="1" customWidth="1"/>
    <col min="117" max="117" width="12.625" style="146" hidden="1" customWidth="1"/>
    <col min="118" max="118" width="10.5" style="146" hidden="1" customWidth="1"/>
    <col min="119" max="119" width="11.5" style="146" hidden="1" customWidth="1"/>
    <col min="120" max="121" width="12.25" style="146" hidden="1" customWidth="1"/>
    <col min="122" max="122" width="10.625" style="146" hidden="1" customWidth="1"/>
    <col min="123" max="123" width="12.25" style="146" hidden="1" customWidth="1"/>
    <col min="124" max="124" width="10.375" style="146" hidden="1" customWidth="1"/>
    <col min="125" max="126" width="12.25" style="146" hidden="1" customWidth="1"/>
    <col min="127" max="127" width="11.875" style="146" hidden="1" customWidth="1"/>
    <col min="128" max="128" width="13" style="146" hidden="1" customWidth="1"/>
    <col min="129" max="129" width="12.125" style="146" hidden="1" customWidth="1"/>
    <col min="130" max="130" width="12.25" style="146" hidden="1" customWidth="1"/>
    <col min="131" max="132" width="13" style="146" hidden="1" customWidth="1"/>
    <col min="133" max="133" width="12.375" style="146" hidden="1" customWidth="1"/>
    <col min="134" max="134" width="11.625" style="146" hidden="1" customWidth="1"/>
    <col min="135" max="135" width="12.125" style="146" hidden="1" customWidth="1"/>
    <col min="136" max="136" width="16" style="146" hidden="1" customWidth="1"/>
    <col min="137" max="137" width="11.625" style="146" hidden="1" customWidth="1"/>
    <col min="138" max="138" width="12" style="146" hidden="1" customWidth="1"/>
    <col min="139" max="139" width="11.75" style="146" hidden="1" customWidth="1"/>
    <col min="140" max="140" width="10.625" style="146" hidden="1" customWidth="1"/>
    <col min="141" max="141" width="14.875" style="146" hidden="1" customWidth="1"/>
    <col min="142" max="142" width="11.625" style="146" hidden="1" customWidth="1"/>
    <col min="143" max="143" width="11.875" style="146" hidden="1" customWidth="1"/>
    <col min="144" max="144" width="12.75" style="146" hidden="1" customWidth="1"/>
    <col min="145" max="146" width="12" style="146" hidden="1" customWidth="1"/>
    <col min="147" max="147" width="13" style="146" hidden="1" customWidth="1"/>
    <col min="148" max="148" width="13" style="146" customWidth="1"/>
    <col min="149" max="149" width="12.5" style="146" customWidth="1"/>
    <col min="150" max="150" width="12.125" style="146" customWidth="1"/>
    <col min="151" max="151" width="12.25" style="146" hidden="1" customWidth="1"/>
    <col min="152" max="152" width="11.875" style="146" hidden="1" customWidth="1"/>
    <col min="153" max="155" width="11" style="146" hidden="1" customWidth="1"/>
    <col min="156" max="156" width="12.5" style="146" hidden="1" customWidth="1"/>
    <col min="157" max="157" width="12.375" style="146" hidden="1" customWidth="1"/>
    <col min="158" max="158" width="11" style="146" hidden="1" customWidth="1"/>
    <col min="159" max="159" width="12.375" style="146" hidden="1" customWidth="1"/>
    <col min="160" max="160" width="11" style="146" hidden="1" customWidth="1"/>
    <col min="161" max="161" width="12.875" style="146" hidden="1" customWidth="1"/>
    <col min="162" max="162" width="11" style="146" hidden="1" customWidth="1"/>
    <col min="163" max="163" width="12" style="146" hidden="1" customWidth="1"/>
    <col min="164" max="165" width="12.25" style="146" hidden="1" customWidth="1"/>
    <col min="166" max="166" width="10" style="146" hidden="1" customWidth="1"/>
    <col min="167" max="168" width="11.875" style="146" hidden="1" customWidth="1"/>
    <col min="169" max="169" width="12.125" style="146" hidden="1" customWidth="1"/>
    <col min="170" max="170" width="13.25" style="146" hidden="1" customWidth="1"/>
    <col min="171" max="171" width="12" style="146" hidden="1" customWidth="1"/>
    <col min="172" max="172" width="10.625" style="146" hidden="1" customWidth="1"/>
    <col min="173" max="173" width="10.5" style="146" hidden="1" customWidth="1"/>
    <col min="174" max="174" width="13.375" style="146" hidden="1" customWidth="1"/>
    <col min="175" max="177" width="10.5" style="146" hidden="1" customWidth="1"/>
    <col min="178" max="178" width="10.25" style="146" customWidth="1"/>
    <col min="179" max="179" width="7.375" style="146" customWidth="1"/>
    <col min="180" max="180" width="10.5" style="146" customWidth="1"/>
    <col min="181" max="181" width="10.5" style="146" hidden="1" customWidth="1"/>
    <col min="182" max="182" width="11.375" style="146" hidden="1" customWidth="1"/>
    <col min="183" max="183" width="10.5" style="146" hidden="1" customWidth="1"/>
    <col min="184" max="184" width="13.125" style="147" customWidth="1"/>
    <col min="185" max="185" width="6.625" style="147" customWidth="1"/>
    <col min="186" max="186" width="7.875" style="147" customWidth="1"/>
    <col min="187" max="187" width="6.875" style="147" customWidth="1"/>
    <col min="188" max="188" width="6.125" style="147" customWidth="1"/>
    <col min="189" max="189" width="7.375" style="147" customWidth="1"/>
    <col min="190" max="16384" width="7.875" style="147"/>
  </cols>
  <sheetData>
    <row r="1" spans="1:189" ht="16.5" customHeight="1">
      <c r="GE1" s="88" t="s">
        <v>334</v>
      </c>
      <c r="GF1" s="88"/>
      <c r="GG1" s="88"/>
    </row>
    <row r="2" spans="1:189" ht="27" customHeight="1">
      <c r="A2" s="931" t="s">
        <v>739</v>
      </c>
      <c r="B2" s="931"/>
      <c r="C2" s="931"/>
      <c r="D2" s="931"/>
      <c r="E2" s="931"/>
      <c r="F2" s="931"/>
      <c r="G2" s="931"/>
      <c r="H2" s="931"/>
      <c r="I2" s="931"/>
      <c r="J2" s="931"/>
      <c r="K2" s="931"/>
      <c r="L2" s="931"/>
      <c r="M2" s="931"/>
      <c r="N2" s="931"/>
      <c r="O2" s="931"/>
      <c r="P2" s="931"/>
      <c r="Q2" s="931"/>
      <c r="R2" s="931"/>
      <c r="S2" s="931"/>
      <c r="T2" s="931"/>
      <c r="U2" s="931"/>
      <c r="V2" s="931"/>
      <c r="W2" s="931"/>
      <c r="X2" s="931"/>
      <c r="Y2" s="931"/>
      <c r="Z2" s="931"/>
      <c r="AA2" s="931"/>
      <c r="AB2" s="931"/>
      <c r="AC2" s="931"/>
      <c r="AD2" s="931"/>
      <c r="AE2" s="931"/>
      <c r="AF2" s="931"/>
      <c r="AG2" s="931"/>
      <c r="AH2" s="931"/>
      <c r="AI2" s="931"/>
      <c r="AJ2" s="931"/>
      <c r="AK2" s="931"/>
      <c r="AL2" s="931"/>
      <c r="AM2" s="931"/>
      <c r="AN2" s="931"/>
      <c r="AO2" s="931"/>
      <c r="AP2" s="931"/>
      <c r="AQ2" s="931"/>
      <c r="AR2" s="931"/>
      <c r="AS2" s="931"/>
      <c r="AT2" s="931"/>
      <c r="AU2" s="931"/>
      <c r="AV2" s="931"/>
      <c r="AW2" s="931"/>
      <c r="AX2" s="931"/>
      <c r="AY2" s="931"/>
      <c r="AZ2" s="931"/>
      <c r="BA2" s="931"/>
      <c r="BB2" s="931"/>
      <c r="BC2" s="931"/>
      <c r="BD2" s="931"/>
      <c r="BE2" s="931"/>
      <c r="BF2" s="931"/>
      <c r="BG2" s="931"/>
      <c r="BH2" s="931"/>
      <c r="BI2" s="931"/>
      <c r="BJ2" s="931"/>
      <c r="BK2" s="931"/>
      <c r="BL2" s="931"/>
      <c r="BM2" s="931"/>
      <c r="BN2" s="931"/>
      <c r="BO2" s="931"/>
      <c r="BP2" s="931"/>
      <c r="BQ2" s="931"/>
      <c r="BR2" s="931"/>
      <c r="BS2" s="931"/>
      <c r="BT2" s="931"/>
      <c r="BU2" s="931"/>
      <c r="BV2" s="931"/>
      <c r="BW2" s="931"/>
      <c r="BX2" s="931"/>
      <c r="BY2" s="931"/>
      <c r="BZ2" s="931"/>
      <c r="CA2" s="931"/>
      <c r="CB2" s="931"/>
      <c r="CC2" s="931"/>
      <c r="CD2" s="931"/>
      <c r="CE2" s="931"/>
      <c r="CF2" s="931"/>
      <c r="CG2" s="931"/>
      <c r="CH2" s="931"/>
      <c r="CI2" s="931"/>
      <c r="CJ2" s="931"/>
      <c r="CK2" s="931"/>
      <c r="CL2" s="931"/>
      <c r="CM2" s="931"/>
      <c r="CN2" s="931"/>
      <c r="CO2" s="931"/>
      <c r="CP2" s="931"/>
      <c r="CQ2" s="931"/>
      <c r="CR2" s="931"/>
      <c r="CS2" s="931"/>
      <c r="CT2" s="931"/>
      <c r="CU2" s="931"/>
      <c r="CV2" s="931"/>
      <c r="CW2" s="931"/>
      <c r="CX2" s="931"/>
      <c r="CY2" s="931"/>
      <c r="CZ2" s="931"/>
      <c r="DA2" s="931"/>
      <c r="DB2" s="931"/>
      <c r="DC2" s="931"/>
      <c r="DD2" s="931"/>
      <c r="DE2" s="931"/>
      <c r="DF2" s="931"/>
      <c r="DG2" s="931"/>
      <c r="DH2" s="931"/>
      <c r="DI2" s="931"/>
      <c r="DJ2" s="931"/>
      <c r="DK2" s="931"/>
      <c r="DL2" s="931"/>
      <c r="DM2" s="931"/>
      <c r="DN2" s="931"/>
      <c r="DO2" s="931"/>
      <c r="DP2" s="931"/>
      <c r="DQ2" s="931"/>
      <c r="DR2" s="931"/>
      <c r="DS2" s="931"/>
      <c r="DT2" s="931"/>
      <c r="DU2" s="931"/>
      <c r="DV2" s="931"/>
      <c r="DW2" s="931"/>
      <c r="DX2" s="931"/>
      <c r="DY2" s="931"/>
      <c r="DZ2" s="931"/>
      <c r="EA2" s="931"/>
      <c r="EB2" s="931"/>
      <c r="EC2" s="931"/>
      <c r="ED2" s="931"/>
      <c r="EE2" s="931"/>
      <c r="EF2" s="931"/>
      <c r="EG2" s="931"/>
      <c r="EH2" s="931"/>
      <c r="EI2" s="931"/>
      <c r="EJ2" s="931"/>
      <c r="EK2" s="931"/>
      <c r="EL2" s="931"/>
      <c r="EM2" s="931"/>
      <c r="EN2" s="931"/>
      <c r="EO2" s="931"/>
      <c r="EP2" s="931"/>
      <c r="EQ2" s="931"/>
      <c r="ER2" s="931"/>
      <c r="ES2" s="931"/>
      <c r="ET2" s="931"/>
      <c r="EU2" s="931"/>
      <c r="EV2" s="931"/>
      <c r="EW2" s="931"/>
      <c r="EX2" s="931"/>
      <c r="EY2" s="931"/>
      <c r="EZ2" s="931"/>
      <c r="FA2" s="931"/>
      <c r="FB2" s="931"/>
      <c r="FC2" s="931"/>
      <c r="FD2" s="931"/>
      <c r="FE2" s="931"/>
      <c r="FF2" s="931"/>
      <c r="FG2" s="931"/>
      <c r="FH2" s="931"/>
      <c r="FI2" s="931"/>
      <c r="FJ2" s="931"/>
      <c r="FK2" s="931"/>
      <c r="FL2" s="931"/>
      <c r="FM2" s="931"/>
      <c r="FN2" s="931"/>
      <c r="FO2" s="931"/>
      <c r="FP2" s="931"/>
      <c r="FQ2" s="931"/>
      <c r="FR2" s="931"/>
      <c r="FS2" s="931"/>
      <c r="FT2" s="931"/>
      <c r="FU2" s="931"/>
      <c r="FV2" s="931"/>
      <c r="FW2" s="931"/>
      <c r="FX2" s="931"/>
      <c r="FY2" s="931"/>
      <c r="FZ2" s="931"/>
      <c r="GA2" s="931"/>
      <c r="GB2" s="931"/>
      <c r="GC2" s="931"/>
      <c r="GD2" s="931"/>
      <c r="GE2" s="931"/>
      <c r="GF2" s="931"/>
      <c r="GG2" s="931"/>
    </row>
    <row r="3" spans="1:189" ht="20.25" customHeight="1">
      <c r="A3" s="932" t="str">
        <f>'B48'!A3</f>
        <v>(Kèm theo Báo cáo số  289/BC-UBND ngày  17 /6 /2024 của UBND huyện Tuần Giáo)</v>
      </c>
      <c r="B3" s="932"/>
      <c r="C3" s="932"/>
      <c r="D3" s="932"/>
      <c r="E3" s="932"/>
      <c r="F3" s="932"/>
      <c r="G3" s="932"/>
      <c r="H3" s="932"/>
      <c r="I3" s="932"/>
      <c r="J3" s="932"/>
      <c r="K3" s="932"/>
      <c r="L3" s="932"/>
      <c r="M3" s="932"/>
      <c r="N3" s="932"/>
      <c r="O3" s="932"/>
      <c r="P3" s="932"/>
      <c r="Q3" s="932"/>
      <c r="R3" s="932"/>
      <c r="S3" s="932"/>
      <c r="T3" s="932"/>
      <c r="U3" s="932"/>
      <c r="V3" s="932"/>
      <c r="W3" s="932"/>
      <c r="X3" s="932"/>
      <c r="Y3" s="932"/>
      <c r="Z3" s="932"/>
      <c r="AA3" s="932"/>
      <c r="AB3" s="932"/>
      <c r="AC3" s="932"/>
      <c r="AD3" s="932"/>
      <c r="AE3" s="932"/>
      <c r="AF3" s="932"/>
      <c r="AG3" s="932"/>
      <c r="AH3" s="932"/>
      <c r="AI3" s="932"/>
      <c r="AJ3" s="932"/>
      <c r="AK3" s="932"/>
      <c r="AL3" s="932"/>
      <c r="AM3" s="932"/>
      <c r="AN3" s="932"/>
      <c r="AO3" s="932"/>
      <c r="AP3" s="932"/>
      <c r="AQ3" s="932"/>
      <c r="AR3" s="932"/>
      <c r="AS3" s="932"/>
      <c r="AT3" s="932"/>
      <c r="AU3" s="932"/>
      <c r="AV3" s="932"/>
      <c r="AW3" s="932"/>
      <c r="AX3" s="932"/>
      <c r="AY3" s="932"/>
      <c r="AZ3" s="932"/>
      <c r="BA3" s="932"/>
      <c r="BB3" s="932"/>
      <c r="BC3" s="932"/>
      <c r="BD3" s="932"/>
      <c r="BE3" s="932"/>
      <c r="BF3" s="932"/>
      <c r="BG3" s="932"/>
      <c r="BH3" s="932"/>
      <c r="BI3" s="932"/>
      <c r="BJ3" s="932"/>
      <c r="BK3" s="932"/>
      <c r="BL3" s="932"/>
      <c r="BM3" s="932"/>
      <c r="BN3" s="932"/>
      <c r="BO3" s="932"/>
      <c r="BP3" s="932"/>
      <c r="BQ3" s="932"/>
      <c r="BR3" s="932"/>
      <c r="BS3" s="932"/>
      <c r="BT3" s="932"/>
      <c r="BU3" s="932"/>
      <c r="BV3" s="932"/>
      <c r="BW3" s="932"/>
      <c r="BX3" s="932"/>
      <c r="BY3" s="932"/>
      <c r="BZ3" s="932"/>
      <c r="CA3" s="932"/>
      <c r="CB3" s="932"/>
      <c r="CC3" s="932"/>
      <c r="CD3" s="932"/>
      <c r="CE3" s="932"/>
      <c r="CF3" s="932"/>
      <c r="CG3" s="932"/>
      <c r="CH3" s="932"/>
      <c r="CI3" s="932"/>
      <c r="CJ3" s="932"/>
      <c r="CK3" s="932"/>
      <c r="CL3" s="932"/>
      <c r="CM3" s="932"/>
      <c r="CN3" s="932"/>
      <c r="CO3" s="932"/>
      <c r="CP3" s="932"/>
      <c r="CQ3" s="932"/>
      <c r="CR3" s="932"/>
      <c r="CS3" s="932"/>
      <c r="CT3" s="932"/>
      <c r="CU3" s="932"/>
      <c r="CV3" s="932"/>
      <c r="CW3" s="932"/>
      <c r="CX3" s="932"/>
      <c r="CY3" s="932"/>
      <c r="CZ3" s="932"/>
      <c r="DA3" s="932"/>
      <c r="DB3" s="932"/>
      <c r="DC3" s="932"/>
      <c r="DD3" s="932"/>
      <c r="DE3" s="932"/>
      <c r="DF3" s="932"/>
      <c r="DG3" s="932"/>
      <c r="DH3" s="932"/>
      <c r="DI3" s="932"/>
      <c r="DJ3" s="932"/>
      <c r="DK3" s="932"/>
      <c r="DL3" s="932"/>
      <c r="DM3" s="932"/>
      <c r="DN3" s="932"/>
      <c r="DO3" s="932"/>
      <c r="DP3" s="932"/>
      <c r="DQ3" s="932"/>
      <c r="DR3" s="932"/>
      <c r="DS3" s="932"/>
      <c r="DT3" s="932"/>
      <c r="DU3" s="932"/>
      <c r="DV3" s="932"/>
      <c r="DW3" s="932"/>
      <c r="DX3" s="932"/>
      <c r="DY3" s="932"/>
      <c r="DZ3" s="932"/>
      <c r="EA3" s="932"/>
      <c r="EB3" s="932"/>
      <c r="EC3" s="932"/>
      <c r="ED3" s="932"/>
      <c r="EE3" s="932"/>
      <c r="EF3" s="932"/>
      <c r="EG3" s="932"/>
      <c r="EH3" s="932"/>
      <c r="EI3" s="932"/>
      <c r="EJ3" s="932"/>
      <c r="EK3" s="932"/>
      <c r="EL3" s="932"/>
      <c r="EM3" s="932"/>
      <c r="EN3" s="932"/>
      <c r="EO3" s="932"/>
      <c r="EP3" s="932"/>
      <c r="EQ3" s="932"/>
      <c r="ER3" s="932"/>
      <c r="ES3" s="932"/>
      <c r="ET3" s="932"/>
      <c r="EU3" s="932"/>
      <c r="EV3" s="932"/>
      <c r="EW3" s="932"/>
      <c r="EX3" s="932"/>
      <c r="EY3" s="932"/>
      <c r="EZ3" s="932"/>
      <c r="FA3" s="932"/>
      <c r="FB3" s="932"/>
      <c r="FC3" s="932"/>
      <c r="FD3" s="932"/>
      <c r="FE3" s="932"/>
      <c r="FF3" s="932"/>
      <c r="FG3" s="932"/>
      <c r="FH3" s="932"/>
      <c r="FI3" s="932"/>
      <c r="FJ3" s="932"/>
      <c r="FK3" s="932"/>
      <c r="FL3" s="932"/>
      <c r="FM3" s="932"/>
      <c r="FN3" s="932"/>
      <c r="FO3" s="932"/>
      <c r="FP3" s="932"/>
      <c r="FQ3" s="932"/>
      <c r="FR3" s="932"/>
      <c r="FS3" s="932"/>
      <c r="FT3" s="932"/>
      <c r="FU3" s="932"/>
      <c r="FV3" s="932"/>
      <c r="FW3" s="932"/>
      <c r="FX3" s="932"/>
      <c r="FY3" s="932"/>
      <c r="FZ3" s="932"/>
      <c r="GA3" s="932"/>
      <c r="GB3" s="932"/>
      <c r="GC3" s="932"/>
      <c r="GD3" s="932"/>
      <c r="GE3" s="932"/>
      <c r="GF3" s="932"/>
      <c r="GG3" s="932"/>
    </row>
    <row r="4" spans="1:189" ht="18" customHeight="1">
      <c r="L4" s="148"/>
      <c r="Q4" s="149"/>
      <c r="R4" s="149"/>
      <c r="S4" s="149"/>
      <c r="U4" s="149"/>
      <c r="V4" s="147"/>
      <c r="W4" s="150"/>
      <c r="X4" s="150"/>
      <c r="Y4" s="150"/>
      <c r="Z4" s="150"/>
      <c r="CJ4" s="933"/>
      <c r="CK4" s="933"/>
      <c r="CP4" s="146"/>
      <c r="GD4" s="573"/>
      <c r="GE4" s="217" t="s">
        <v>427</v>
      </c>
    </row>
    <row r="5" spans="1:189" s="102" customFormat="1" ht="24.75" customHeight="1">
      <c r="A5" s="910" t="s">
        <v>51</v>
      </c>
      <c r="B5" s="910" t="s">
        <v>151</v>
      </c>
      <c r="C5" s="934" t="s">
        <v>359</v>
      </c>
      <c r="D5" s="935"/>
      <c r="E5" s="936"/>
      <c r="F5" s="936"/>
      <c r="G5" s="936"/>
      <c r="H5" s="936"/>
      <c r="I5" s="936"/>
      <c r="J5" s="936"/>
      <c r="K5" s="936"/>
      <c r="L5" s="936"/>
      <c r="M5" s="936"/>
      <c r="N5" s="936"/>
      <c r="O5" s="936"/>
      <c r="P5" s="936"/>
      <c r="Q5" s="936"/>
      <c r="R5" s="936"/>
      <c r="S5" s="936"/>
      <c r="T5" s="936"/>
      <c r="U5" s="936"/>
      <c r="V5" s="936"/>
      <c r="W5" s="936"/>
      <c r="X5" s="936"/>
      <c r="Y5" s="936"/>
      <c r="Z5" s="936"/>
      <c r="AA5" s="936"/>
      <c r="AB5" s="936"/>
      <c r="AC5" s="936"/>
      <c r="AD5" s="936"/>
      <c r="AE5" s="936"/>
      <c r="AF5" s="936"/>
      <c r="AG5" s="936"/>
      <c r="AH5" s="936"/>
      <c r="AI5" s="936"/>
      <c r="AJ5" s="936"/>
      <c r="AK5" s="936"/>
      <c r="AL5" s="936"/>
      <c r="AM5" s="936"/>
      <c r="AN5" s="936"/>
      <c r="AO5" s="936"/>
      <c r="AP5" s="936"/>
      <c r="AQ5" s="936"/>
      <c r="AR5" s="936"/>
      <c r="AS5" s="936"/>
      <c r="AT5" s="936"/>
      <c r="AU5" s="936"/>
      <c r="AV5" s="936"/>
      <c r="AW5" s="936"/>
      <c r="AX5" s="936"/>
      <c r="AY5" s="936"/>
      <c r="AZ5" s="936"/>
      <c r="BA5" s="936"/>
      <c r="BB5" s="936"/>
      <c r="BC5" s="936"/>
      <c r="BD5" s="936"/>
      <c r="BE5" s="936"/>
      <c r="BF5" s="936"/>
      <c r="BG5" s="936"/>
      <c r="BH5" s="936"/>
      <c r="BI5" s="936"/>
      <c r="BJ5" s="936"/>
      <c r="BK5" s="936"/>
      <c r="BL5" s="936"/>
      <c r="BM5" s="936"/>
      <c r="BN5" s="936"/>
      <c r="BO5" s="936"/>
      <c r="BP5" s="936"/>
      <c r="BQ5" s="936"/>
      <c r="BR5" s="936"/>
      <c r="BS5" s="936"/>
      <c r="BT5" s="936"/>
      <c r="BU5" s="936"/>
      <c r="BV5" s="936"/>
      <c r="BW5" s="936"/>
      <c r="BX5" s="936"/>
      <c r="BY5" s="936"/>
      <c r="BZ5" s="936"/>
      <c r="CA5" s="936"/>
      <c r="CB5" s="936"/>
      <c r="CC5" s="936"/>
      <c r="CD5" s="936"/>
      <c r="CE5" s="936"/>
      <c r="CF5" s="936"/>
      <c r="CG5" s="936"/>
      <c r="CH5" s="936"/>
      <c r="CI5" s="936"/>
      <c r="CJ5" s="936"/>
      <c r="CK5" s="936"/>
      <c r="CL5" s="936"/>
      <c r="CM5" s="936"/>
      <c r="CN5" s="937"/>
      <c r="CO5" s="910" t="s">
        <v>151</v>
      </c>
      <c r="CP5" s="934" t="s">
        <v>360</v>
      </c>
      <c r="CQ5" s="935"/>
      <c r="CR5" s="935"/>
      <c r="CS5" s="935"/>
      <c r="CT5" s="935"/>
      <c r="CU5" s="935"/>
      <c r="CV5" s="935"/>
      <c r="CW5" s="935"/>
      <c r="CX5" s="935"/>
      <c r="CY5" s="935"/>
      <c r="CZ5" s="935"/>
      <c r="DA5" s="935"/>
      <c r="DB5" s="935"/>
      <c r="DC5" s="935"/>
      <c r="DD5" s="935"/>
      <c r="DE5" s="935"/>
      <c r="DF5" s="935"/>
      <c r="DG5" s="935"/>
      <c r="DH5" s="935"/>
      <c r="DI5" s="935"/>
      <c r="DJ5" s="935"/>
      <c r="DK5" s="935"/>
      <c r="DL5" s="935"/>
      <c r="DM5" s="935"/>
      <c r="DN5" s="935"/>
      <c r="DO5" s="935"/>
      <c r="DP5" s="935"/>
      <c r="DQ5" s="935"/>
      <c r="DR5" s="935"/>
      <c r="DS5" s="935"/>
      <c r="DT5" s="935"/>
      <c r="DU5" s="935"/>
      <c r="DV5" s="935"/>
      <c r="DW5" s="935"/>
      <c r="DX5" s="935"/>
      <c r="DY5" s="935"/>
      <c r="DZ5" s="935"/>
      <c r="EA5" s="935"/>
      <c r="EB5" s="935"/>
      <c r="EC5" s="935"/>
      <c r="ED5" s="935"/>
      <c r="EE5" s="935"/>
      <c r="EF5" s="935"/>
      <c r="EG5" s="935"/>
      <c r="EH5" s="935"/>
      <c r="EI5" s="935"/>
      <c r="EJ5" s="935"/>
      <c r="EK5" s="935"/>
      <c r="EL5" s="935"/>
      <c r="EM5" s="935"/>
      <c r="EN5" s="935"/>
      <c r="EO5" s="935"/>
      <c r="EP5" s="935"/>
      <c r="EQ5" s="935"/>
      <c r="ER5" s="935"/>
      <c r="ES5" s="935"/>
      <c r="ET5" s="935"/>
      <c r="EU5" s="935"/>
      <c r="EV5" s="935"/>
      <c r="EW5" s="935"/>
      <c r="EX5" s="935"/>
      <c r="EY5" s="935"/>
      <c r="EZ5" s="935"/>
      <c r="FA5" s="935"/>
      <c r="FB5" s="935"/>
      <c r="FC5" s="935"/>
      <c r="FD5" s="935"/>
      <c r="FE5" s="935"/>
      <c r="FF5" s="935"/>
      <c r="FG5" s="935"/>
      <c r="FH5" s="935"/>
      <c r="FI5" s="935"/>
      <c r="FJ5" s="935"/>
      <c r="FK5" s="935"/>
      <c r="FL5" s="935"/>
      <c r="FM5" s="935"/>
      <c r="FN5" s="935"/>
      <c r="FO5" s="935"/>
      <c r="FP5" s="935"/>
      <c r="FQ5" s="935"/>
      <c r="FR5" s="935"/>
      <c r="FS5" s="935"/>
      <c r="FT5" s="935"/>
      <c r="FU5" s="935"/>
      <c r="FV5" s="935"/>
      <c r="FW5" s="935"/>
      <c r="FX5" s="935"/>
      <c r="FY5" s="935"/>
      <c r="FZ5" s="935"/>
      <c r="GA5" s="935"/>
      <c r="GB5" s="938"/>
      <c r="GC5" s="939" t="s">
        <v>75</v>
      </c>
      <c r="GD5" s="939"/>
      <c r="GE5" s="939"/>
      <c r="GF5" s="939"/>
      <c r="GG5" s="939"/>
    </row>
    <row r="6" spans="1:189" s="103" customFormat="1" ht="25.5" customHeight="1">
      <c r="A6" s="911"/>
      <c r="B6" s="911"/>
      <c r="C6" s="944" t="s">
        <v>382</v>
      </c>
      <c r="D6" s="948" t="s">
        <v>542</v>
      </c>
      <c r="E6" s="949"/>
      <c r="F6" s="949"/>
      <c r="G6" s="949"/>
      <c r="H6" s="949"/>
      <c r="I6" s="949"/>
      <c r="J6" s="950"/>
      <c r="K6" s="916" t="s">
        <v>310</v>
      </c>
      <c r="L6" s="916" t="s">
        <v>311</v>
      </c>
      <c r="M6" s="916" t="s">
        <v>152</v>
      </c>
      <c r="N6" s="916"/>
      <c r="O6" s="916"/>
      <c r="P6" s="916"/>
      <c r="Q6" s="916"/>
      <c r="R6" s="916"/>
      <c r="S6" s="916"/>
      <c r="T6" s="916"/>
      <c r="U6" s="916"/>
      <c r="V6" s="916"/>
      <c r="W6" s="916"/>
      <c r="X6" s="916"/>
      <c r="Y6" s="916"/>
      <c r="Z6" s="916"/>
      <c r="AA6" s="910" t="s">
        <v>746</v>
      </c>
      <c r="AB6" s="910" t="s">
        <v>202</v>
      </c>
      <c r="AC6" s="910" t="s">
        <v>153</v>
      </c>
      <c r="AD6" s="910" t="s">
        <v>154</v>
      </c>
      <c r="AE6" s="910" t="s">
        <v>155</v>
      </c>
      <c r="AF6" s="916" t="s">
        <v>384</v>
      </c>
      <c r="AG6" s="916"/>
      <c r="AH6" s="916"/>
      <c r="AI6" s="916"/>
      <c r="AJ6" s="916" t="s">
        <v>156</v>
      </c>
      <c r="AK6" s="916"/>
      <c r="AL6" s="916"/>
      <c r="AM6" s="916"/>
      <c r="AN6" s="916"/>
      <c r="AO6" s="916"/>
      <c r="AP6" s="916"/>
      <c r="AQ6" s="916"/>
      <c r="AR6" s="916"/>
      <c r="AS6" s="916"/>
      <c r="AT6" s="916"/>
      <c r="AU6" s="916"/>
      <c r="AV6" s="916"/>
      <c r="AW6" s="916"/>
      <c r="AX6" s="916"/>
      <c r="AY6" s="916"/>
      <c r="AZ6" s="910" t="s">
        <v>157</v>
      </c>
      <c r="BA6" s="910" t="s">
        <v>515</v>
      </c>
      <c r="BB6" s="910" t="s">
        <v>313</v>
      </c>
      <c r="BC6" s="910" t="s">
        <v>742</v>
      </c>
      <c r="BD6" s="910" t="s">
        <v>747</v>
      </c>
      <c r="BE6" s="916" t="s">
        <v>363</v>
      </c>
      <c r="BF6" s="916"/>
      <c r="BG6" s="916"/>
      <c r="BH6" s="916" t="s">
        <v>493</v>
      </c>
      <c r="BI6" s="916"/>
      <c r="BJ6" s="916" t="s">
        <v>516</v>
      </c>
      <c r="BK6" s="916"/>
      <c r="BL6" s="927" t="s">
        <v>533</v>
      </c>
      <c r="BM6" s="928"/>
      <c r="BN6" s="928"/>
      <c r="BO6" s="928"/>
      <c r="BP6" s="928"/>
      <c r="BQ6" s="928"/>
      <c r="BR6" s="928"/>
      <c r="BS6" s="928"/>
      <c r="BT6" s="928"/>
      <c r="BU6" s="928"/>
      <c r="BV6" s="947"/>
      <c r="BW6" s="916" t="s">
        <v>535</v>
      </c>
      <c r="BX6" s="916"/>
      <c r="BY6" s="916"/>
      <c r="BZ6" s="916"/>
      <c r="CA6" s="916"/>
      <c r="CB6" s="916"/>
      <c r="CC6" s="916"/>
      <c r="CD6" s="916"/>
      <c r="CE6" s="916" t="s">
        <v>536</v>
      </c>
      <c r="CF6" s="916"/>
      <c r="CG6" s="916"/>
      <c r="CH6" s="916"/>
      <c r="CI6" s="912" t="s">
        <v>362</v>
      </c>
      <c r="CJ6" s="940"/>
      <c r="CK6" s="941"/>
      <c r="CL6" s="423" t="s">
        <v>308</v>
      </c>
      <c r="CM6" s="919" t="s">
        <v>309</v>
      </c>
      <c r="CN6" s="919"/>
      <c r="CO6" s="911"/>
      <c r="CP6" s="944" t="s">
        <v>382</v>
      </c>
      <c r="CQ6" s="948" t="s">
        <v>542</v>
      </c>
      <c r="CR6" s="949"/>
      <c r="CS6" s="949"/>
      <c r="CT6" s="949"/>
      <c r="CU6" s="949"/>
      <c r="CV6" s="949"/>
      <c r="CW6" s="950"/>
      <c r="CX6" s="916" t="s">
        <v>310</v>
      </c>
      <c r="CY6" s="916" t="s">
        <v>311</v>
      </c>
      <c r="CZ6" s="916" t="s">
        <v>152</v>
      </c>
      <c r="DA6" s="916"/>
      <c r="DB6" s="916"/>
      <c r="DC6" s="916"/>
      <c r="DD6" s="916"/>
      <c r="DE6" s="916"/>
      <c r="DF6" s="916"/>
      <c r="DG6" s="916"/>
      <c r="DH6" s="916"/>
      <c r="DI6" s="916"/>
      <c r="DJ6" s="916"/>
      <c r="DK6" s="916"/>
      <c r="DL6" s="916"/>
      <c r="DM6" s="916"/>
      <c r="DN6" s="910" t="s">
        <v>746</v>
      </c>
      <c r="DO6" s="910" t="s">
        <v>202</v>
      </c>
      <c r="DP6" s="910" t="s">
        <v>153</v>
      </c>
      <c r="DQ6" s="910" t="s">
        <v>154</v>
      </c>
      <c r="DR6" s="910" t="s">
        <v>155</v>
      </c>
      <c r="DS6" s="916" t="s">
        <v>384</v>
      </c>
      <c r="DT6" s="916"/>
      <c r="DU6" s="916"/>
      <c r="DV6" s="916"/>
      <c r="DW6" s="916" t="s">
        <v>156</v>
      </c>
      <c r="DX6" s="916"/>
      <c r="DY6" s="916"/>
      <c r="DZ6" s="916"/>
      <c r="EA6" s="916"/>
      <c r="EB6" s="916"/>
      <c r="EC6" s="916"/>
      <c r="ED6" s="916"/>
      <c r="EE6" s="916"/>
      <c r="EF6" s="916"/>
      <c r="EG6" s="916"/>
      <c r="EH6" s="916"/>
      <c r="EI6" s="916"/>
      <c r="EJ6" s="916"/>
      <c r="EK6" s="916"/>
      <c r="EL6" s="916"/>
      <c r="EM6" s="910" t="s">
        <v>157</v>
      </c>
      <c r="EN6" s="910" t="s">
        <v>515</v>
      </c>
      <c r="EO6" s="910" t="s">
        <v>313</v>
      </c>
      <c r="EP6" s="910" t="s">
        <v>744</v>
      </c>
      <c r="EQ6" s="910" t="s">
        <v>747</v>
      </c>
      <c r="ER6" s="916" t="s">
        <v>363</v>
      </c>
      <c r="ES6" s="916"/>
      <c r="ET6" s="916"/>
      <c r="EU6" s="916" t="s">
        <v>493</v>
      </c>
      <c r="EV6" s="916"/>
      <c r="EW6" s="916" t="s">
        <v>516</v>
      </c>
      <c r="EX6" s="916"/>
      <c r="EY6" s="927" t="s">
        <v>533</v>
      </c>
      <c r="EZ6" s="928"/>
      <c r="FA6" s="928"/>
      <c r="FB6" s="928"/>
      <c r="FC6" s="928"/>
      <c r="FD6" s="928"/>
      <c r="FE6" s="928"/>
      <c r="FF6" s="928"/>
      <c r="FG6" s="928"/>
      <c r="FH6" s="928"/>
      <c r="FI6" s="947"/>
      <c r="FJ6" s="916" t="s">
        <v>535</v>
      </c>
      <c r="FK6" s="916"/>
      <c r="FL6" s="916"/>
      <c r="FM6" s="916"/>
      <c r="FN6" s="916"/>
      <c r="FO6" s="916"/>
      <c r="FP6" s="916"/>
      <c r="FQ6" s="916"/>
      <c r="FR6" s="916" t="s">
        <v>536</v>
      </c>
      <c r="FS6" s="916"/>
      <c r="FT6" s="916"/>
      <c r="FU6" s="916"/>
      <c r="FV6" s="912" t="s">
        <v>362</v>
      </c>
      <c r="FW6" s="940"/>
      <c r="FX6" s="941"/>
      <c r="FY6" s="423" t="s">
        <v>308</v>
      </c>
      <c r="FZ6" s="919" t="s">
        <v>309</v>
      </c>
      <c r="GA6" s="920"/>
      <c r="GB6" s="921" t="s">
        <v>361</v>
      </c>
      <c r="GC6" s="910" t="s">
        <v>67</v>
      </c>
      <c r="GD6" s="910" t="s">
        <v>428</v>
      </c>
      <c r="GE6" s="924" t="s">
        <v>429</v>
      </c>
      <c r="GF6" s="910" t="s">
        <v>431</v>
      </c>
      <c r="GG6" s="910" t="s">
        <v>430</v>
      </c>
    </row>
    <row r="7" spans="1:189" s="103" customFormat="1" ht="16.5" customHeight="1">
      <c r="A7" s="911"/>
      <c r="B7" s="911"/>
      <c r="C7" s="944"/>
      <c r="D7" s="951"/>
      <c r="E7" s="952"/>
      <c r="F7" s="952"/>
      <c r="G7" s="952"/>
      <c r="H7" s="952"/>
      <c r="I7" s="952"/>
      <c r="J7" s="953"/>
      <c r="K7" s="916"/>
      <c r="L7" s="916"/>
      <c r="M7" s="916" t="s">
        <v>161</v>
      </c>
      <c r="N7" s="916"/>
      <c r="O7" s="916"/>
      <c r="P7" s="916"/>
      <c r="Q7" s="916"/>
      <c r="R7" s="916"/>
      <c r="S7" s="916"/>
      <c r="T7" s="916"/>
      <c r="U7" s="916"/>
      <c r="V7" s="916" t="s">
        <v>162</v>
      </c>
      <c r="W7" s="916"/>
      <c r="X7" s="916"/>
      <c r="Y7" s="916"/>
      <c r="Z7" s="916"/>
      <c r="AA7" s="911"/>
      <c r="AB7" s="911"/>
      <c r="AC7" s="911"/>
      <c r="AD7" s="911" t="s">
        <v>163</v>
      </c>
      <c r="AE7" s="911" t="s">
        <v>163</v>
      </c>
      <c r="AF7" s="910" t="s">
        <v>164</v>
      </c>
      <c r="AG7" s="910" t="s">
        <v>165</v>
      </c>
      <c r="AH7" s="910" t="s">
        <v>519</v>
      </c>
      <c r="AI7" s="910" t="s">
        <v>166</v>
      </c>
      <c r="AJ7" s="916" t="s">
        <v>167</v>
      </c>
      <c r="AK7" s="916"/>
      <c r="AL7" s="916"/>
      <c r="AM7" s="916" t="s">
        <v>168</v>
      </c>
      <c r="AN7" s="916"/>
      <c r="AO7" s="420" t="s">
        <v>169</v>
      </c>
      <c r="AP7" s="422" t="s">
        <v>520</v>
      </c>
      <c r="AQ7" s="927" t="s">
        <v>170</v>
      </c>
      <c r="AR7" s="928"/>
      <c r="AS7" s="928"/>
      <c r="AT7" s="928"/>
      <c r="AU7" s="928"/>
      <c r="AV7" s="928"/>
      <c r="AW7" s="928"/>
      <c r="AX7" s="928"/>
      <c r="AY7" s="928"/>
      <c r="AZ7" s="911"/>
      <c r="BA7" s="911"/>
      <c r="BB7" s="911" t="s">
        <v>171</v>
      </c>
      <c r="BC7" s="911"/>
      <c r="BD7" s="911"/>
      <c r="BE7" s="916"/>
      <c r="BF7" s="916"/>
      <c r="BG7" s="916"/>
      <c r="BH7" s="919" t="s">
        <v>308</v>
      </c>
      <c r="BI7" s="919"/>
      <c r="BJ7" s="423" t="s">
        <v>308</v>
      </c>
      <c r="BK7" s="422" t="s">
        <v>492</v>
      </c>
      <c r="BL7" s="920" t="s">
        <v>308</v>
      </c>
      <c r="BM7" s="929"/>
      <c r="BN7" s="930"/>
      <c r="BO7" s="919" t="s">
        <v>309</v>
      </c>
      <c r="BP7" s="919"/>
      <c r="BQ7" s="919"/>
      <c r="BR7" s="919"/>
      <c r="BS7" s="919"/>
      <c r="BT7" s="919"/>
      <c r="BU7" s="919"/>
      <c r="BV7" s="919"/>
      <c r="BW7" s="422" t="s">
        <v>308</v>
      </c>
      <c r="BX7" s="919" t="s">
        <v>309</v>
      </c>
      <c r="BY7" s="919"/>
      <c r="BZ7" s="919"/>
      <c r="CA7" s="919"/>
      <c r="CB7" s="919"/>
      <c r="CC7" s="919"/>
      <c r="CD7" s="919"/>
      <c r="CE7" s="422" t="s">
        <v>308</v>
      </c>
      <c r="CF7" s="919" t="s">
        <v>309</v>
      </c>
      <c r="CG7" s="919"/>
      <c r="CH7" s="919"/>
      <c r="CI7" s="914"/>
      <c r="CJ7" s="942"/>
      <c r="CK7" s="943"/>
      <c r="CL7" s="910" t="s">
        <v>540</v>
      </c>
      <c r="CM7" s="912" t="s">
        <v>541</v>
      </c>
      <c r="CN7" s="910" t="s">
        <v>312</v>
      </c>
      <c r="CO7" s="911"/>
      <c r="CP7" s="944"/>
      <c r="CQ7" s="951"/>
      <c r="CR7" s="952"/>
      <c r="CS7" s="952"/>
      <c r="CT7" s="952"/>
      <c r="CU7" s="952"/>
      <c r="CV7" s="952"/>
      <c r="CW7" s="953"/>
      <c r="CX7" s="916"/>
      <c r="CY7" s="916"/>
      <c r="CZ7" s="916" t="s">
        <v>161</v>
      </c>
      <c r="DA7" s="916"/>
      <c r="DB7" s="916"/>
      <c r="DC7" s="916"/>
      <c r="DD7" s="916"/>
      <c r="DE7" s="916"/>
      <c r="DF7" s="916"/>
      <c r="DG7" s="916"/>
      <c r="DH7" s="916"/>
      <c r="DI7" s="916" t="s">
        <v>162</v>
      </c>
      <c r="DJ7" s="916"/>
      <c r="DK7" s="916"/>
      <c r="DL7" s="916"/>
      <c r="DM7" s="916"/>
      <c r="DN7" s="911"/>
      <c r="DO7" s="911"/>
      <c r="DP7" s="911"/>
      <c r="DQ7" s="911" t="s">
        <v>163</v>
      </c>
      <c r="DR7" s="911" t="s">
        <v>163</v>
      </c>
      <c r="DS7" s="910" t="s">
        <v>164</v>
      </c>
      <c r="DT7" s="910" t="s">
        <v>165</v>
      </c>
      <c r="DU7" s="910" t="s">
        <v>519</v>
      </c>
      <c r="DV7" s="910" t="s">
        <v>166</v>
      </c>
      <c r="DW7" s="916" t="s">
        <v>167</v>
      </c>
      <c r="DX7" s="916"/>
      <c r="DY7" s="916"/>
      <c r="DZ7" s="916" t="s">
        <v>168</v>
      </c>
      <c r="EA7" s="916"/>
      <c r="EB7" s="424" t="s">
        <v>169</v>
      </c>
      <c r="EC7" s="422" t="s">
        <v>520</v>
      </c>
      <c r="ED7" s="927" t="s">
        <v>170</v>
      </c>
      <c r="EE7" s="928"/>
      <c r="EF7" s="928"/>
      <c r="EG7" s="928"/>
      <c r="EH7" s="928"/>
      <c r="EI7" s="928"/>
      <c r="EJ7" s="928"/>
      <c r="EK7" s="928"/>
      <c r="EL7" s="928"/>
      <c r="EM7" s="911"/>
      <c r="EN7" s="911"/>
      <c r="EO7" s="911" t="s">
        <v>171</v>
      </c>
      <c r="EP7" s="911"/>
      <c r="EQ7" s="911"/>
      <c r="ER7" s="916"/>
      <c r="ES7" s="916"/>
      <c r="ET7" s="916"/>
      <c r="EU7" s="919" t="s">
        <v>308</v>
      </c>
      <c r="EV7" s="919"/>
      <c r="EW7" s="423" t="s">
        <v>308</v>
      </c>
      <c r="EX7" s="422" t="s">
        <v>492</v>
      </c>
      <c r="EY7" s="920" t="s">
        <v>308</v>
      </c>
      <c r="EZ7" s="929"/>
      <c r="FA7" s="930"/>
      <c r="FB7" s="919" t="s">
        <v>309</v>
      </c>
      <c r="FC7" s="919"/>
      <c r="FD7" s="919"/>
      <c r="FE7" s="919"/>
      <c r="FF7" s="919"/>
      <c r="FG7" s="919"/>
      <c r="FH7" s="919"/>
      <c r="FI7" s="919"/>
      <c r="FJ7" s="422" t="s">
        <v>308</v>
      </c>
      <c r="FK7" s="919" t="s">
        <v>309</v>
      </c>
      <c r="FL7" s="919"/>
      <c r="FM7" s="919"/>
      <c r="FN7" s="919"/>
      <c r="FO7" s="919"/>
      <c r="FP7" s="919"/>
      <c r="FQ7" s="919"/>
      <c r="FR7" s="422" t="s">
        <v>308</v>
      </c>
      <c r="FS7" s="919" t="s">
        <v>309</v>
      </c>
      <c r="FT7" s="919"/>
      <c r="FU7" s="919"/>
      <c r="FV7" s="914"/>
      <c r="FW7" s="942"/>
      <c r="FX7" s="943"/>
      <c r="FY7" s="910" t="s">
        <v>540</v>
      </c>
      <c r="FZ7" s="912" t="s">
        <v>541</v>
      </c>
      <c r="GA7" s="912" t="s">
        <v>312</v>
      </c>
      <c r="GB7" s="922"/>
      <c r="GC7" s="911"/>
      <c r="GD7" s="911"/>
      <c r="GE7" s="925"/>
      <c r="GF7" s="911"/>
      <c r="GG7" s="911"/>
    </row>
    <row r="8" spans="1:189" s="103" customFormat="1" ht="27" customHeight="1">
      <c r="A8" s="911"/>
      <c r="B8" s="911"/>
      <c r="C8" s="944"/>
      <c r="D8" s="917" t="s">
        <v>67</v>
      </c>
      <c r="E8" s="917" t="s">
        <v>357</v>
      </c>
      <c r="F8" s="917" t="s">
        <v>502</v>
      </c>
      <c r="G8" s="917" t="s">
        <v>511</v>
      </c>
      <c r="H8" s="917" t="s">
        <v>743</v>
      </c>
      <c r="I8" s="917" t="s">
        <v>512</v>
      </c>
      <c r="J8" s="917" t="s">
        <v>358</v>
      </c>
      <c r="K8" s="916"/>
      <c r="L8" s="916"/>
      <c r="M8" s="910" t="s">
        <v>19</v>
      </c>
      <c r="N8" s="916" t="s">
        <v>518</v>
      </c>
      <c r="O8" s="916"/>
      <c r="P8" s="910" t="s">
        <v>338</v>
      </c>
      <c r="Q8" s="910" t="s">
        <v>307</v>
      </c>
      <c r="R8" s="920" t="s">
        <v>517</v>
      </c>
      <c r="S8" s="929"/>
      <c r="T8" s="930"/>
      <c r="U8" s="910" t="s">
        <v>339</v>
      </c>
      <c r="V8" s="910" t="s">
        <v>173</v>
      </c>
      <c r="W8" s="916" t="s">
        <v>518</v>
      </c>
      <c r="X8" s="916"/>
      <c r="Y8" s="910" t="s">
        <v>307</v>
      </c>
      <c r="Z8" s="910" t="s">
        <v>315</v>
      </c>
      <c r="AA8" s="911"/>
      <c r="AB8" s="911"/>
      <c r="AC8" s="911"/>
      <c r="AD8" s="911" t="s">
        <v>174</v>
      </c>
      <c r="AE8" s="911" t="s">
        <v>175</v>
      </c>
      <c r="AF8" s="911"/>
      <c r="AG8" s="911"/>
      <c r="AH8" s="911"/>
      <c r="AI8" s="911"/>
      <c r="AJ8" s="910" t="s">
        <v>176</v>
      </c>
      <c r="AK8" s="910" t="s">
        <v>336</v>
      </c>
      <c r="AL8" s="910" t="s">
        <v>545</v>
      </c>
      <c r="AM8" s="910" t="s">
        <v>177</v>
      </c>
      <c r="AN8" s="910" t="s">
        <v>419</v>
      </c>
      <c r="AO8" s="916" t="s">
        <v>546</v>
      </c>
      <c r="AP8" s="910" t="s">
        <v>514</v>
      </c>
      <c r="AQ8" s="910" t="s">
        <v>521</v>
      </c>
      <c r="AR8" s="910" t="s">
        <v>420</v>
      </c>
      <c r="AS8" s="910" t="s">
        <v>745</v>
      </c>
      <c r="AT8" s="910" t="s">
        <v>316</v>
      </c>
      <c r="AU8" s="910" t="s">
        <v>418</v>
      </c>
      <c r="AV8" s="910" t="s">
        <v>754</v>
      </c>
      <c r="AW8" s="910" t="s">
        <v>549</v>
      </c>
      <c r="AX8" s="910" t="s">
        <v>523</v>
      </c>
      <c r="AY8" s="910" t="s">
        <v>522</v>
      </c>
      <c r="AZ8" s="911"/>
      <c r="BA8" s="911"/>
      <c r="BB8" s="911" t="s">
        <v>178</v>
      </c>
      <c r="BC8" s="911"/>
      <c r="BD8" s="911"/>
      <c r="BE8" s="910" t="s">
        <v>67</v>
      </c>
      <c r="BF8" s="910" t="s">
        <v>308</v>
      </c>
      <c r="BG8" s="910" t="s">
        <v>309</v>
      </c>
      <c r="BH8" s="910" t="s">
        <v>387</v>
      </c>
      <c r="BI8" s="910" t="s">
        <v>396</v>
      </c>
      <c r="BJ8" s="910" t="s">
        <v>60</v>
      </c>
      <c r="BK8" s="910" t="s">
        <v>337</v>
      </c>
      <c r="BL8" s="910" t="s">
        <v>524</v>
      </c>
      <c r="BM8" s="910" t="s">
        <v>526</v>
      </c>
      <c r="BN8" s="945" t="s">
        <v>527</v>
      </c>
      <c r="BO8" s="911" t="s">
        <v>524</v>
      </c>
      <c r="BP8" s="911" t="s">
        <v>525</v>
      </c>
      <c r="BQ8" s="911" t="s">
        <v>526</v>
      </c>
      <c r="BR8" s="911" t="s">
        <v>527</v>
      </c>
      <c r="BS8" s="911" t="s">
        <v>528</v>
      </c>
      <c r="BT8" s="911" t="s">
        <v>529</v>
      </c>
      <c r="BU8" s="911" t="s">
        <v>530</v>
      </c>
      <c r="BV8" s="911" t="s">
        <v>532</v>
      </c>
      <c r="BW8" s="919" t="s">
        <v>524</v>
      </c>
      <c r="BX8" s="919" t="s">
        <v>524</v>
      </c>
      <c r="BY8" s="919" t="s">
        <v>531</v>
      </c>
      <c r="BZ8" s="919" t="s">
        <v>525</v>
      </c>
      <c r="CA8" s="919" t="s">
        <v>526</v>
      </c>
      <c r="CB8" s="919" t="s">
        <v>527</v>
      </c>
      <c r="CC8" s="919" t="s">
        <v>528</v>
      </c>
      <c r="CD8" s="919" t="s">
        <v>534</v>
      </c>
      <c r="CE8" s="916" t="s">
        <v>543</v>
      </c>
      <c r="CF8" s="916" t="s">
        <v>537</v>
      </c>
      <c r="CG8" s="916" t="s">
        <v>538</v>
      </c>
      <c r="CH8" s="916" t="s">
        <v>539</v>
      </c>
      <c r="CI8" s="910" t="s">
        <v>67</v>
      </c>
      <c r="CJ8" s="910" t="s">
        <v>308</v>
      </c>
      <c r="CK8" s="910" t="s">
        <v>309</v>
      </c>
      <c r="CL8" s="911"/>
      <c r="CM8" s="913"/>
      <c r="CN8" s="911"/>
      <c r="CO8" s="911"/>
      <c r="CP8" s="944"/>
      <c r="CQ8" s="917" t="s">
        <v>67</v>
      </c>
      <c r="CR8" s="917" t="s">
        <v>357</v>
      </c>
      <c r="CS8" s="917" t="s">
        <v>502</v>
      </c>
      <c r="CT8" s="917" t="s">
        <v>511</v>
      </c>
      <c r="CU8" s="917" t="s">
        <v>743</v>
      </c>
      <c r="CV8" s="917" t="s">
        <v>512</v>
      </c>
      <c r="CW8" s="917" t="s">
        <v>358</v>
      </c>
      <c r="CX8" s="916"/>
      <c r="CY8" s="916"/>
      <c r="CZ8" s="910" t="s">
        <v>19</v>
      </c>
      <c r="DA8" s="916" t="s">
        <v>518</v>
      </c>
      <c r="DB8" s="916"/>
      <c r="DC8" s="910" t="s">
        <v>338</v>
      </c>
      <c r="DD8" s="910" t="s">
        <v>307</v>
      </c>
      <c r="DE8" s="920" t="s">
        <v>517</v>
      </c>
      <c r="DF8" s="929"/>
      <c r="DG8" s="930"/>
      <c r="DH8" s="910" t="s">
        <v>339</v>
      </c>
      <c r="DI8" s="910" t="s">
        <v>173</v>
      </c>
      <c r="DJ8" s="916" t="s">
        <v>518</v>
      </c>
      <c r="DK8" s="916"/>
      <c r="DL8" s="910" t="s">
        <v>307</v>
      </c>
      <c r="DM8" s="910" t="s">
        <v>315</v>
      </c>
      <c r="DN8" s="911"/>
      <c r="DO8" s="911"/>
      <c r="DP8" s="911"/>
      <c r="DQ8" s="911" t="s">
        <v>174</v>
      </c>
      <c r="DR8" s="911" t="s">
        <v>175</v>
      </c>
      <c r="DS8" s="911"/>
      <c r="DT8" s="911"/>
      <c r="DU8" s="911"/>
      <c r="DV8" s="911"/>
      <c r="DW8" s="910" t="s">
        <v>176</v>
      </c>
      <c r="DX8" s="910" t="s">
        <v>336</v>
      </c>
      <c r="DY8" s="910" t="s">
        <v>544</v>
      </c>
      <c r="DZ8" s="910" t="s">
        <v>177</v>
      </c>
      <c r="EA8" s="910" t="s">
        <v>419</v>
      </c>
      <c r="EB8" s="911" t="s">
        <v>547</v>
      </c>
      <c r="EC8" s="910" t="s">
        <v>514</v>
      </c>
      <c r="ED8" s="910" t="s">
        <v>521</v>
      </c>
      <c r="EE8" s="910" t="s">
        <v>420</v>
      </c>
      <c r="EF8" s="910" t="s">
        <v>745</v>
      </c>
      <c r="EG8" s="910" t="s">
        <v>316</v>
      </c>
      <c r="EH8" s="910" t="s">
        <v>418</v>
      </c>
      <c r="EI8" s="910" t="s">
        <v>753</v>
      </c>
      <c r="EJ8" s="910" t="s">
        <v>549</v>
      </c>
      <c r="EK8" s="910" t="s">
        <v>523</v>
      </c>
      <c r="EL8" s="910" t="s">
        <v>522</v>
      </c>
      <c r="EM8" s="911"/>
      <c r="EN8" s="911"/>
      <c r="EO8" s="911" t="s">
        <v>178</v>
      </c>
      <c r="EP8" s="911"/>
      <c r="EQ8" s="911"/>
      <c r="ER8" s="910" t="s">
        <v>67</v>
      </c>
      <c r="ES8" s="910" t="s">
        <v>308</v>
      </c>
      <c r="ET8" s="910" t="s">
        <v>309</v>
      </c>
      <c r="EU8" s="910" t="s">
        <v>387</v>
      </c>
      <c r="EV8" s="910" t="s">
        <v>396</v>
      </c>
      <c r="EW8" s="910" t="s">
        <v>60</v>
      </c>
      <c r="EX8" s="910" t="s">
        <v>337</v>
      </c>
      <c r="EY8" s="945" t="s">
        <v>524</v>
      </c>
      <c r="EZ8" s="945" t="s">
        <v>526</v>
      </c>
      <c r="FA8" s="945" t="s">
        <v>527</v>
      </c>
      <c r="FB8" s="911" t="s">
        <v>524</v>
      </c>
      <c r="FC8" s="911" t="s">
        <v>525</v>
      </c>
      <c r="FD8" s="911" t="s">
        <v>526</v>
      </c>
      <c r="FE8" s="911" t="s">
        <v>527</v>
      </c>
      <c r="FF8" s="911" t="s">
        <v>528</v>
      </c>
      <c r="FG8" s="911" t="s">
        <v>529</v>
      </c>
      <c r="FH8" s="911" t="s">
        <v>530</v>
      </c>
      <c r="FI8" s="911" t="s">
        <v>532</v>
      </c>
      <c r="FJ8" s="919" t="s">
        <v>524</v>
      </c>
      <c r="FK8" s="919" t="s">
        <v>524</v>
      </c>
      <c r="FL8" s="919" t="s">
        <v>531</v>
      </c>
      <c r="FM8" s="919" t="s">
        <v>525</v>
      </c>
      <c r="FN8" s="919" t="s">
        <v>526</v>
      </c>
      <c r="FO8" s="919" t="s">
        <v>527</v>
      </c>
      <c r="FP8" s="919" t="s">
        <v>528</v>
      </c>
      <c r="FQ8" s="919" t="s">
        <v>534</v>
      </c>
      <c r="FR8" s="916" t="s">
        <v>543</v>
      </c>
      <c r="FS8" s="916" t="s">
        <v>537</v>
      </c>
      <c r="FT8" s="916" t="s">
        <v>538</v>
      </c>
      <c r="FU8" s="916" t="s">
        <v>539</v>
      </c>
      <c r="FV8" s="910" t="s">
        <v>67</v>
      </c>
      <c r="FW8" s="910" t="s">
        <v>308</v>
      </c>
      <c r="FX8" s="910" t="s">
        <v>309</v>
      </c>
      <c r="FY8" s="911"/>
      <c r="FZ8" s="913"/>
      <c r="GA8" s="914"/>
      <c r="GB8" s="922"/>
      <c r="GC8" s="911"/>
      <c r="GD8" s="911"/>
      <c r="GE8" s="925"/>
      <c r="GF8" s="911"/>
      <c r="GG8" s="911"/>
    </row>
    <row r="9" spans="1:189" s="103" customFormat="1" ht="29.25" customHeight="1">
      <c r="A9" s="911"/>
      <c r="B9" s="911"/>
      <c r="C9" s="944"/>
      <c r="D9" s="918"/>
      <c r="E9" s="918"/>
      <c r="F9" s="918"/>
      <c r="G9" s="918"/>
      <c r="H9" s="918"/>
      <c r="I9" s="918"/>
      <c r="J9" s="918"/>
      <c r="K9" s="916"/>
      <c r="L9" s="916"/>
      <c r="M9" s="911"/>
      <c r="N9" s="421" t="s">
        <v>388</v>
      </c>
      <c r="O9" s="421" t="s">
        <v>389</v>
      </c>
      <c r="P9" s="911"/>
      <c r="Q9" s="911"/>
      <c r="R9" s="419" t="s">
        <v>394</v>
      </c>
      <c r="S9" s="419" t="s">
        <v>513</v>
      </c>
      <c r="T9" s="419" t="s">
        <v>490</v>
      </c>
      <c r="U9" s="911"/>
      <c r="V9" s="911"/>
      <c r="W9" s="421" t="s">
        <v>388</v>
      </c>
      <c r="X9" s="421" t="s">
        <v>389</v>
      </c>
      <c r="Y9" s="911"/>
      <c r="Z9" s="911"/>
      <c r="AA9" s="911"/>
      <c r="AB9" s="911"/>
      <c r="AC9" s="915"/>
      <c r="AD9" s="911"/>
      <c r="AE9" s="911" t="s">
        <v>179</v>
      </c>
      <c r="AF9" s="911"/>
      <c r="AG9" s="911"/>
      <c r="AH9" s="911"/>
      <c r="AI9" s="911"/>
      <c r="AJ9" s="911"/>
      <c r="AK9" s="911"/>
      <c r="AL9" s="911"/>
      <c r="AM9" s="911"/>
      <c r="AN9" s="911"/>
      <c r="AO9" s="916"/>
      <c r="AP9" s="911"/>
      <c r="AQ9" s="911"/>
      <c r="AR9" s="911"/>
      <c r="AS9" s="911"/>
      <c r="AT9" s="911"/>
      <c r="AU9" s="911"/>
      <c r="AV9" s="911"/>
      <c r="AW9" s="911"/>
      <c r="AX9" s="911"/>
      <c r="AY9" s="911"/>
      <c r="AZ9" s="911"/>
      <c r="BA9" s="911"/>
      <c r="BB9" s="911" t="s">
        <v>180</v>
      </c>
      <c r="BC9" s="915"/>
      <c r="BD9" s="911"/>
      <c r="BE9" s="911"/>
      <c r="BF9" s="911"/>
      <c r="BG9" s="911"/>
      <c r="BH9" s="915"/>
      <c r="BI9" s="915"/>
      <c r="BJ9" s="915"/>
      <c r="BK9" s="911"/>
      <c r="BL9" s="915"/>
      <c r="BM9" s="915"/>
      <c r="BN9" s="946"/>
      <c r="BO9" s="915"/>
      <c r="BP9" s="915"/>
      <c r="BQ9" s="915"/>
      <c r="BR9" s="915"/>
      <c r="BS9" s="915"/>
      <c r="BT9" s="915"/>
      <c r="BU9" s="915"/>
      <c r="BV9" s="915"/>
      <c r="BW9" s="919"/>
      <c r="BX9" s="919"/>
      <c r="BY9" s="919"/>
      <c r="BZ9" s="919"/>
      <c r="CA9" s="919"/>
      <c r="CB9" s="919"/>
      <c r="CC9" s="919"/>
      <c r="CD9" s="919"/>
      <c r="CE9" s="916"/>
      <c r="CF9" s="916"/>
      <c r="CG9" s="916"/>
      <c r="CH9" s="916"/>
      <c r="CI9" s="911"/>
      <c r="CJ9" s="911"/>
      <c r="CK9" s="911"/>
      <c r="CL9" s="911"/>
      <c r="CM9" s="419" t="s">
        <v>390</v>
      </c>
      <c r="CN9" s="911"/>
      <c r="CO9" s="911"/>
      <c r="CP9" s="944"/>
      <c r="CQ9" s="918"/>
      <c r="CR9" s="918"/>
      <c r="CS9" s="918"/>
      <c r="CT9" s="918"/>
      <c r="CU9" s="918"/>
      <c r="CV9" s="918"/>
      <c r="CW9" s="918"/>
      <c r="CX9" s="916"/>
      <c r="CY9" s="916"/>
      <c r="CZ9" s="911"/>
      <c r="DA9" s="421" t="s">
        <v>388</v>
      </c>
      <c r="DB9" s="421" t="s">
        <v>389</v>
      </c>
      <c r="DC9" s="911"/>
      <c r="DD9" s="911"/>
      <c r="DE9" s="419" t="s">
        <v>394</v>
      </c>
      <c r="DF9" s="419" t="s">
        <v>513</v>
      </c>
      <c r="DG9" s="419" t="s">
        <v>490</v>
      </c>
      <c r="DH9" s="911"/>
      <c r="DI9" s="911"/>
      <c r="DJ9" s="421" t="s">
        <v>388</v>
      </c>
      <c r="DK9" s="421" t="s">
        <v>389</v>
      </c>
      <c r="DL9" s="911"/>
      <c r="DM9" s="911"/>
      <c r="DN9" s="911"/>
      <c r="DO9" s="911"/>
      <c r="DP9" s="911"/>
      <c r="DQ9" s="911"/>
      <c r="DR9" s="911" t="s">
        <v>179</v>
      </c>
      <c r="DS9" s="911"/>
      <c r="DT9" s="911"/>
      <c r="DU9" s="911"/>
      <c r="DV9" s="911"/>
      <c r="DW9" s="911"/>
      <c r="DX9" s="911"/>
      <c r="DY9" s="911"/>
      <c r="DZ9" s="911"/>
      <c r="EA9" s="911"/>
      <c r="EB9" s="915"/>
      <c r="EC9" s="911"/>
      <c r="ED9" s="911"/>
      <c r="EE9" s="911"/>
      <c r="EF9" s="911"/>
      <c r="EG9" s="911"/>
      <c r="EH9" s="911"/>
      <c r="EI9" s="911"/>
      <c r="EJ9" s="911"/>
      <c r="EK9" s="911"/>
      <c r="EL9" s="911"/>
      <c r="EM9" s="911"/>
      <c r="EN9" s="911"/>
      <c r="EO9" s="911" t="s">
        <v>180</v>
      </c>
      <c r="EP9" s="915"/>
      <c r="EQ9" s="911"/>
      <c r="ER9" s="911"/>
      <c r="ES9" s="911"/>
      <c r="ET9" s="911"/>
      <c r="EU9" s="915"/>
      <c r="EV9" s="915"/>
      <c r="EW9" s="915"/>
      <c r="EX9" s="911"/>
      <c r="EY9" s="946"/>
      <c r="EZ9" s="946"/>
      <c r="FA9" s="946"/>
      <c r="FB9" s="915"/>
      <c r="FC9" s="915"/>
      <c r="FD9" s="915"/>
      <c r="FE9" s="915"/>
      <c r="FF9" s="915"/>
      <c r="FG9" s="915"/>
      <c r="FH9" s="915"/>
      <c r="FI9" s="915"/>
      <c r="FJ9" s="919"/>
      <c r="FK9" s="919"/>
      <c r="FL9" s="919"/>
      <c r="FM9" s="919"/>
      <c r="FN9" s="919"/>
      <c r="FO9" s="919"/>
      <c r="FP9" s="919"/>
      <c r="FQ9" s="919"/>
      <c r="FR9" s="916"/>
      <c r="FS9" s="916"/>
      <c r="FT9" s="916"/>
      <c r="FU9" s="916"/>
      <c r="FV9" s="911"/>
      <c r="FW9" s="911"/>
      <c r="FX9" s="911"/>
      <c r="FY9" s="911"/>
      <c r="FZ9" s="419" t="s">
        <v>390</v>
      </c>
      <c r="GA9" s="914"/>
      <c r="GB9" s="923"/>
      <c r="GC9" s="915"/>
      <c r="GD9" s="915"/>
      <c r="GE9" s="926"/>
      <c r="GF9" s="915"/>
      <c r="GG9" s="915"/>
    </row>
    <row r="10" spans="1:189" s="130" customFormat="1" ht="13.5" customHeight="1">
      <c r="A10" s="129" t="s">
        <v>3</v>
      </c>
      <c r="B10" s="129" t="s">
        <v>181</v>
      </c>
      <c r="C10" s="129">
        <v>1</v>
      </c>
      <c r="D10" s="129">
        <v>2</v>
      </c>
      <c r="E10" s="129">
        <v>3</v>
      </c>
      <c r="F10" s="129">
        <v>4</v>
      </c>
      <c r="G10" s="129">
        <v>5</v>
      </c>
      <c r="H10" s="129">
        <v>6</v>
      </c>
      <c r="I10" s="129">
        <v>7</v>
      </c>
      <c r="J10" s="129">
        <v>4</v>
      </c>
      <c r="K10" s="129">
        <v>9</v>
      </c>
      <c r="L10" s="129">
        <v>10</v>
      </c>
      <c r="M10" s="129">
        <v>11</v>
      </c>
      <c r="N10" s="129">
        <v>12</v>
      </c>
      <c r="O10" s="129">
        <v>13</v>
      </c>
      <c r="P10" s="129">
        <v>14</v>
      </c>
      <c r="Q10" s="129">
        <v>15</v>
      </c>
      <c r="R10" s="129">
        <v>16</v>
      </c>
      <c r="S10" s="129">
        <v>17</v>
      </c>
      <c r="T10" s="129">
        <v>18</v>
      </c>
      <c r="U10" s="129">
        <v>19</v>
      </c>
      <c r="V10" s="129">
        <v>20</v>
      </c>
      <c r="W10" s="129">
        <v>21</v>
      </c>
      <c r="X10" s="129">
        <v>22</v>
      </c>
      <c r="Y10" s="129">
        <v>23</v>
      </c>
      <c r="Z10" s="129">
        <v>24</v>
      </c>
      <c r="AA10" s="129">
        <v>25</v>
      </c>
      <c r="AB10" s="129">
        <v>26</v>
      </c>
      <c r="AC10" s="129">
        <v>27</v>
      </c>
      <c r="AD10" s="129">
        <v>28</v>
      </c>
      <c r="AE10" s="129">
        <v>29</v>
      </c>
      <c r="AF10" s="129">
        <v>30</v>
      </c>
      <c r="AG10" s="129">
        <v>31</v>
      </c>
      <c r="AH10" s="129">
        <v>32</v>
      </c>
      <c r="AI10" s="129">
        <v>33</v>
      </c>
      <c r="AJ10" s="129">
        <v>34</v>
      </c>
      <c r="AK10" s="129">
        <v>35</v>
      </c>
      <c r="AL10" s="129">
        <v>36</v>
      </c>
      <c r="AM10" s="129">
        <v>37</v>
      </c>
      <c r="AN10" s="129">
        <v>38</v>
      </c>
      <c r="AO10" s="129">
        <v>39</v>
      </c>
      <c r="AP10" s="129">
        <v>40</v>
      </c>
      <c r="AQ10" s="129">
        <v>41</v>
      </c>
      <c r="AR10" s="129">
        <v>42</v>
      </c>
      <c r="AS10" s="129">
        <v>43</v>
      </c>
      <c r="AT10" s="129">
        <v>44</v>
      </c>
      <c r="AU10" s="129">
        <v>45</v>
      </c>
      <c r="AV10" s="129">
        <v>46</v>
      </c>
      <c r="AW10" s="129">
        <v>47</v>
      </c>
      <c r="AX10" s="129">
        <v>48</v>
      </c>
      <c r="AY10" s="129">
        <v>49</v>
      </c>
      <c r="AZ10" s="129">
        <v>50</v>
      </c>
      <c r="BA10" s="129">
        <v>51</v>
      </c>
      <c r="BB10" s="129">
        <v>52</v>
      </c>
      <c r="BC10" s="129">
        <v>53</v>
      </c>
      <c r="BD10" s="129">
        <v>54</v>
      </c>
      <c r="BE10" s="129">
        <v>5</v>
      </c>
      <c r="BF10" s="129">
        <v>6</v>
      </c>
      <c r="BG10" s="129">
        <v>7</v>
      </c>
      <c r="BH10" s="129">
        <v>58</v>
      </c>
      <c r="BI10" s="129">
        <v>59</v>
      </c>
      <c r="BJ10" s="129">
        <v>60</v>
      </c>
      <c r="BK10" s="129">
        <v>61</v>
      </c>
      <c r="BL10" s="129">
        <v>62</v>
      </c>
      <c r="BM10" s="129">
        <v>63</v>
      </c>
      <c r="BN10" s="129">
        <v>64</v>
      </c>
      <c r="BO10" s="129">
        <v>65</v>
      </c>
      <c r="BP10" s="129">
        <v>66</v>
      </c>
      <c r="BQ10" s="129">
        <v>67</v>
      </c>
      <c r="BR10" s="129">
        <v>68</v>
      </c>
      <c r="BS10" s="129">
        <v>69</v>
      </c>
      <c r="BT10" s="129">
        <v>70</v>
      </c>
      <c r="BU10" s="129">
        <v>71</v>
      </c>
      <c r="BV10" s="129">
        <v>72</v>
      </c>
      <c r="BW10" s="129">
        <v>73</v>
      </c>
      <c r="BX10" s="129">
        <v>74</v>
      </c>
      <c r="BY10" s="129">
        <v>75</v>
      </c>
      <c r="BZ10" s="129">
        <v>76</v>
      </c>
      <c r="CA10" s="129">
        <v>77</v>
      </c>
      <c r="CB10" s="129">
        <v>78</v>
      </c>
      <c r="CC10" s="129">
        <v>79</v>
      </c>
      <c r="CD10" s="129">
        <v>80</v>
      </c>
      <c r="CE10" s="129">
        <v>81</v>
      </c>
      <c r="CF10" s="129">
        <v>82</v>
      </c>
      <c r="CG10" s="129">
        <v>83</v>
      </c>
      <c r="CH10" s="129">
        <v>84</v>
      </c>
      <c r="CI10" s="129">
        <v>8</v>
      </c>
      <c r="CJ10" s="129">
        <v>9</v>
      </c>
      <c r="CK10" s="129">
        <v>10</v>
      </c>
      <c r="CL10" s="129">
        <v>88</v>
      </c>
      <c r="CM10" s="129">
        <v>89</v>
      </c>
      <c r="CN10" s="129">
        <v>90</v>
      </c>
      <c r="CO10" s="129"/>
      <c r="CP10" s="129">
        <v>11</v>
      </c>
      <c r="CQ10" s="129">
        <v>12</v>
      </c>
      <c r="CR10" s="129">
        <v>13</v>
      </c>
      <c r="CS10" s="129">
        <v>4</v>
      </c>
      <c r="CT10" s="129">
        <v>5</v>
      </c>
      <c r="CU10" s="129">
        <v>6</v>
      </c>
      <c r="CV10" s="129">
        <v>7</v>
      </c>
      <c r="CW10" s="129">
        <v>14</v>
      </c>
      <c r="CX10" s="129">
        <v>9</v>
      </c>
      <c r="CY10" s="129">
        <v>10</v>
      </c>
      <c r="CZ10" s="129">
        <v>11</v>
      </c>
      <c r="DA10" s="129">
        <v>12</v>
      </c>
      <c r="DB10" s="129">
        <v>13</v>
      </c>
      <c r="DC10" s="129">
        <v>14</v>
      </c>
      <c r="DD10" s="129">
        <v>15</v>
      </c>
      <c r="DE10" s="129">
        <v>16</v>
      </c>
      <c r="DF10" s="129">
        <v>17</v>
      </c>
      <c r="DG10" s="129">
        <v>18</v>
      </c>
      <c r="DH10" s="129">
        <v>19</v>
      </c>
      <c r="DI10" s="129">
        <v>20</v>
      </c>
      <c r="DJ10" s="129">
        <v>21</v>
      </c>
      <c r="DK10" s="129">
        <v>22</v>
      </c>
      <c r="DL10" s="129">
        <v>23</v>
      </c>
      <c r="DM10" s="129">
        <v>24</v>
      </c>
      <c r="DN10" s="129">
        <v>25</v>
      </c>
      <c r="DO10" s="129">
        <v>26</v>
      </c>
      <c r="DP10" s="129">
        <v>27</v>
      </c>
      <c r="DQ10" s="129">
        <v>28</v>
      </c>
      <c r="DR10" s="129">
        <v>29</v>
      </c>
      <c r="DS10" s="129">
        <v>30</v>
      </c>
      <c r="DT10" s="129">
        <v>31</v>
      </c>
      <c r="DU10" s="129">
        <v>32</v>
      </c>
      <c r="DV10" s="129">
        <v>33</v>
      </c>
      <c r="DW10" s="129">
        <v>34</v>
      </c>
      <c r="DX10" s="129">
        <v>35</v>
      </c>
      <c r="DY10" s="129">
        <v>36</v>
      </c>
      <c r="DZ10" s="129">
        <v>37</v>
      </c>
      <c r="EA10" s="129">
        <v>38</v>
      </c>
      <c r="EB10" s="129">
        <v>39</v>
      </c>
      <c r="EC10" s="129">
        <v>40</v>
      </c>
      <c r="ED10" s="129">
        <v>41</v>
      </c>
      <c r="EE10" s="129">
        <v>42</v>
      </c>
      <c r="EF10" s="129">
        <v>43</v>
      </c>
      <c r="EG10" s="129">
        <v>44</v>
      </c>
      <c r="EH10" s="129">
        <v>45</v>
      </c>
      <c r="EI10" s="129">
        <v>46</v>
      </c>
      <c r="EJ10" s="129">
        <v>47</v>
      </c>
      <c r="EK10" s="129">
        <v>48</v>
      </c>
      <c r="EL10" s="129">
        <v>49</v>
      </c>
      <c r="EM10" s="129">
        <v>50</v>
      </c>
      <c r="EN10" s="129">
        <v>51</v>
      </c>
      <c r="EO10" s="129">
        <v>52</v>
      </c>
      <c r="EP10" s="129">
        <v>53</v>
      </c>
      <c r="EQ10" s="129">
        <v>54</v>
      </c>
      <c r="ER10" s="129">
        <v>15</v>
      </c>
      <c r="ES10" s="129">
        <v>16</v>
      </c>
      <c r="ET10" s="129">
        <v>17</v>
      </c>
      <c r="EU10" s="129">
        <v>58</v>
      </c>
      <c r="EV10" s="129">
        <v>59</v>
      </c>
      <c r="EW10" s="129">
        <v>60</v>
      </c>
      <c r="EX10" s="129">
        <v>61</v>
      </c>
      <c r="EY10" s="129">
        <v>62</v>
      </c>
      <c r="EZ10" s="129">
        <v>63</v>
      </c>
      <c r="FA10" s="129">
        <v>64</v>
      </c>
      <c r="FB10" s="129">
        <v>65</v>
      </c>
      <c r="FC10" s="129">
        <v>66</v>
      </c>
      <c r="FD10" s="129">
        <v>67</v>
      </c>
      <c r="FE10" s="129">
        <v>68</v>
      </c>
      <c r="FF10" s="129">
        <v>69</v>
      </c>
      <c r="FG10" s="129">
        <v>70</v>
      </c>
      <c r="FH10" s="129">
        <v>71</v>
      </c>
      <c r="FI10" s="129">
        <v>72</v>
      </c>
      <c r="FJ10" s="129">
        <v>73</v>
      </c>
      <c r="FK10" s="129">
        <v>74</v>
      </c>
      <c r="FL10" s="129">
        <v>75</v>
      </c>
      <c r="FM10" s="129">
        <v>76</v>
      </c>
      <c r="FN10" s="129">
        <v>77</v>
      </c>
      <c r="FO10" s="129">
        <v>78</v>
      </c>
      <c r="FP10" s="129">
        <v>79</v>
      </c>
      <c r="FQ10" s="129">
        <v>80</v>
      </c>
      <c r="FR10" s="129">
        <v>81</v>
      </c>
      <c r="FS10" s="129">
        <v>82</v>
      </c>
      <c r="FT10" s="129">
        <v>83</v>
      </c>
      <c r="FU10" s="129">
        <v>84</v>
      </c>
      <c r="FV10" s="129">
        <v>18</v>
      </c>
      <c r="FW10" s="129">
        <v>19</v>
      </c>
      <c r="FX10" s="129">
        <v>20</v>
      </c>
      <c r="FY10" s="129">
        <v>88</v>
      </c>
      <c r="FZ10" s="129">
        <v>89</v>
      </c>
      <c r="GA10" s="129">
        <v>90</v>
      </c>
      <c r="GB10" s="129">
        <v>21</v>
      </c>
      <c r="GC10" s="129">
        <v>22</v>
      </c>
      <c r="GD10" s="129">
        <v>23</v>
      </c>
      <c r="GE10" s="129">
        <v>24</v>
      </c>
      <c r="GF10" s="129">
        <v>25</v>
      </c>
      <c r="GG10" s="129">
        <v>26</v>
      </c>
    </row>
    <row r="11" spans="1:189" s="91" customFormat="1" ht="17.25" customHeight="1">
      <c r="A11" s="574"/>
      <c r="B11" s="575" t="s">
        <v>21</v>
      </c>
      <c r="C11" s="576">
        <f>C17+C14+C65+C23+C29+C47+C53+C26+C32+C38+C50+C41+C59+C35+C62+C74+C20+C56+C44+C80+C83+C77+C86+C89+C92+C95+C68+C71</f>
        <v>973232630424</v>
      </c>
      <c r="D11" s="576">
        <f t="shared" ref="D11:Y11" si="0">D17+D14+D65+D23+D29+D47+D53+D26+D32+D38+D50+D41+D59+D35+D62+D74+D20+D56+D44+D80+D83+D77+D86+D89+D92+D95+D68+D71</f>
        <v>723619577172</v>
      </c>
      <c r="E11" s="576">
        <f t="shared" si="0"/>
        <v>54190254995</v>
      </c>
      <c r="F11" s="576">
        <f t="shared" si="0"/>
        <v>32885614000</v>
      </c>
      <c r="G11" s="576">
        <f t="shared" si="0"/>
        <v>16369090765</v>
      </c>
      <c r="H11" s="576">
        <f t="shared" si="0"/>
        <v>3770952821</v>
      </c>
      <c r="I11" s="576">
        <f t="shared" si="0"/>
        <v>1164597409</v>
      </c>
      <c r="J11" s="576">
        <f t="shared" si="0"/>
        <v>669429322177</v>
      </c>
      <c r="K11" s="576">
        <f t="shared" si="0"/>
        <v>6991600000</v>
      </c>
      <c r="L11" s="576">
        <f t="shared" si="0"/>
        <v>3249020000</v>
      </c>
      <c r="M11" s="576">
        <f t="shared" si="0"/>
        <v>382976553509</v>
      </c>
      <c r="N11" s="576">
        <f t="shared" si="0"/>
        <v>28317225000</v>
      </c>
      <c r="O11" s="576">
        <f t="shared" si="0"/>
        <v>1615790000</v>
      </c>
      <c r="P11" s="576">
        <f t="shared" si="0"/>
        <v>29515801000</v>
      </c>
      <c r="Q11" s="576">
        <f t="shared" si="0"/>
        <v>5060180000</v>
      </c>
      <c r="R11" s="576">
        <f t="shared" si="0"/>
        <v>7279200000</v>
      </c>
      <c r="S11" s="576">
        <f t="shared" si="0"/>
        <v>1096200000</v>
      </c>
      <c r="T11" s="576">
        <f t="shared" si="0"/>
        <v>1524000000</v>
      </c>
      <c r="U11" s="576">
        <f t="shared" si="0"/>
        <v>21714000</v>
      </c>
      <c r="V11" s="576">
        <f t="shared" si="0"/>
        <v>0</v>
      </c>
      <c r="W11" s="576">
        <f t="shared" si="0"/>
        <v>193800000</v>
      </c>
      <c r="X11" s="576">
        <f t="shared" si="0"/>
        <v>0</v>
      </c>
      <c r="Y11" s="576">
        <f t="shared" si="0"/>
        <v>47080000</v>
      </c>
      <c r="Z11" s="576">
        <f>Z17+Z14+Z65+Z23+Z29+Z47+Z53+Z26+Z32+Z38+Z50+Z41+Z59+Z35+Z62+Z74+Z20+Z56+Z44+Z80+Z83+Z77+Z86+Z89+Z92+Z95+Z68+Z71</f>
        <v>6183518100</v>
      </c>
      <c r="AA11" s="576">
        <f t="shared" ref="AA11:CL13" si="1">AA17+AA14+AA65+AA23+AA29+AA47+AA53+AA26+AA32+AA38+AA50+AA41+AA59+AA35+AA62+AA74+AA20+AA56+AA44+AA80+AA83+AA77+AA86+AA89+AA92+AA95+AA68+AA71</f>
        <v>184571400</v>
      </c>
      <c r="AB11" s="576">
        <f t="shared" si="1"/>
        <v>715480070</v>
      </c>
      <c r="AC11" s="576">
        <f t="shared" si="1"/>
        <v>1972350420</v>
      </c>
      <c r="AD11" s="576">
        <f t="shared" si="1"/>
        <v>3658549728</v>
      </c>
      <c r="AE11" s="576">
        <f t="shared" si="1"/>
        <v>616506600</v>
      </c>
      <c r="AF11" s="576">
        <f t="shared" si="1"/>
        <v>5645407000</v>
      </c>
      <c r="AG11" s="576">
        <f t="shared" si="1"/>
        <v>103600000</v>
      </c>
      <c r="AH11" s="576">
        <f t="shared" si="1"/>
        <v>46170780000</v>
      </c>
      <c r="AI11" s="576">
        <f t="shared" si="1"/>
        <v>3962284576</v>
      </c>
      <c r="AJ11" s="576">
        <f t="shared" si="1"/>
        <v>3764450220</v>
      </c>
      <c r="AK11" s="576">
        <f t="shared" si="1"/>
        <v>6889055047</v>
      </c>
      <c r="AL11" s="576">
        <f t="shared" si="1"/>
        <v>1388629280</v>
      </c>
      <c r="AM11" s="576">
        <f t="shared" si="1"/>
        <v>3258968792</v>
      </c>
      <c r="AN11" s="576">
        <f t="shared" si="1"/>
        <v>6409237000</v>
      </c>
      <c r="AO11" s="576">
        <f t="shared" si="1"/>
        <v>24061571000</v>
      </c>
      <c r="AP11" s="576">
        <f t="shared" si="1"/>
        <v>1314429823</v>
      </c>
      <c r="AQ11" s="576">
        <f t="shared" si="1"/>
        <v>700000000</v>
      </c>
      <c r="AR11" s="576">
        <f t="shared" si="1"/>
        <v>2229647805</v>
      </c>
      <c r="AS11" s="576">
        <f t="shared" si="1"/>
        <v>920222000</v>
      </c>
      <c r="AT11" s="576">
        <f t="shared" si="1"/>
        <v>3429191152</v>
      </c>
      <c r="AU11" s="576">
        <f t="shared" si="1"/>
        <v>1174088000</v>
      </c>
      <c r="AV11" s="576">
        <f t="shared" si="1"/>
        <v>6632000000</v>
      </c>
      <c r="AW11" s="576">
        <f t="shared" si="1"/>
        <v>5000000000</v>
      </c>
      <c r="AX11" s="576">
        <f t="shared" si="1"/>
        <v>3000000000</v>
      </c>
      <c r="AY11" s="576">
        <f t="shared" si="1"/>
        <v>2150000000</v>
      </c>
      <c r="AZ11" s="576">
        <f t="shared" si="1"/>
        <v>4420850000</v>
      </c>
      <c r="BA11" s="576">
        <f t="shared" si="1"/>
        <v>44022614329</v>
      </c>
      <c r="BB11" s="576">
        <f t="shared" si="1"/>
        <v>459444450</v>
      </c>
      <c r="BC11" s="576">
        <f t="shared" si="1"/>
        <v>170000000</v>
      </c>
      <c r="BD11" s="576">
        <f t="shared" si="1"/>
        <v>10933711876</v>
      </c>
      <c r="BE11" s="576">
        <f t="shared" si="1"/>
        <v>249511386752</v>
      </c>
      <c r="BF11" s="576">
        <f>BF17+BF14+BF65+BF23+BF29+BF47+BF53+BF26+BF32+BF38+BF50+BF41+BF59+BF35+BF62+BF74+BF20+BF56+BF44+BF80+BF83+BF77+BF86+BF89+BF92+BF95+BF68+BF71</f>
        <v>107110673000</v>
      </c>
      <c r="BG11" s="576">
        <f t="shared" si="1"/>
        <v>142400713752</v>
      </c>
      <c r="BH11" s="576">
        <f t="shared" si="1"/>
        <v>139952000</v>
      </c>
      <c r="BI11" s="576">
        <f t="shared" si="1"/>
        <v>0</v>
      </c>
      <c r="BJ11" s="576">
        <f t="shared" si="1"/>
        <v>12663000</v>
      </c>
      <c r="BK11" s="576">
        <f t="shared" si="1"/>
        <v>0</v>
      </c>
      <c r="BL11" s="576">
        <f t="shared" si="1"/>
        <v>3500000000</v>
      </c>
      <c r="BM11" s="576">
        <f t="shared" si="1"/>
        <v>53000296000</v>
      </c>
      <c r="BN11" s="576">
        <f t="shared" si="1"/>
        <v>40500000000</v>
      </c>
      <c r="BO11" s="576">
        <f t="shared" si="1"/>
        <v>4451000000</v>
      </c>
      <c r="BP11" s="576">
        <f t="shared" si="1"/>
        <v>69162000000</v>
      </c>
      <c r="BQ11" s="576">
        <f t="shared" si="1"/>
        <v>0</v>
      </c>
      <c r="BR11" s="576">
        <f t="shared" si="1"/>
        <v>17382724000</v>
      </c>
      <c r="BS11" s="576">
        <f t="shared" si="1"/>
        <v>753000000</v>
      </c>
      <c r="BT11" s="576">
        <f t="shared" si="1"/>
        <v>1111000000</v>
      </c>
      <c r="BU11" s="576">
        <f t="shared" si="1"/>
        <v>1007000000</v>
      </c>
      <c r="BV11" s="576">
        <f t="shared" si="1"/>
        <v>2129000000</v>
      </c>
      <c r="BW11" s="576">
        <f t="shared" si="1"/>
        <v>0</v>
      </c>
      <c r="BX11" s="576">
        <f t="shared" si="1"/>
        <v>10714000000</v>
      </c>
      <c r="BY11" s="576">
        <f t="shared" si="1"/>
        <v>15539000000</v>
      </c>
      <c r="BZ11" s="576">
        <f t="shared" si="1"/>
        <v>8495000000</v>
      </c>
      <c r="CA11" s="576">
        <f t="shared" si="1"/>
        <v>7541580900</v>
      </c>
      <c r="CB11" s="576">
        <f t="shared" si="1"/>
        <v>20000000</v>
      </c>
      <c r="CC11" s="576">
        <f t="shared" si="1"/>
        <v>2577000000</v>
      </c>
      <c r="CD11" s="576">
        <f t="shared" si="1"/>
        <v>1281398476</v>
      </c>
      <c r="CE11" s="576">
        <f t="shared" si="1"/>
        <v>9957762000</v>
      </c>
      <c r="CF11" s="576">
        <f t="shared" si="1"/>
        <v>0</v>
      </c>
      <c r="CG11" s="576">
        <f t="shared" si="1"/>
        <v>200000000</v>
      </c>
      <c r="CH11" s="576">
        <f t="shared" si="1"/>
        <v>37010376</v>
      </c>
      <c r="CI11" s="576">
        <f t="shared" si="1"/>
        <v>101666500</v>
      </c>
      <c r="CJ11" s="576">
        <f t="shared" si="1"/>
        <v>0</v>
      </c>
      <c r="CK11" s="576">
        <f t="shared" si="1"/>
        <v>101666500</v>
      </c>
      <c r="CL11" s="576">
        <f t="shared" si="1"/>
        <v>0</v>
      </c>
      <c r="CM11" s="576">
        <f t="shared" ref="CM11:CN13" si="2">CM17+CM14+CM65+CM23+CM29+CM47+CM53+CM26+CM32+CM38+CM50+CM41+CM59+CM35+CM62+CM74+CM20+CM56+CM44+CM80+CM83+CM77+CM86+CM89+CM92+CM95+CM68+CM71</f>
        <v>6666500</v>
      </c>
      <c r="CN11" s="576">
        <f t="shared" si="2"/>
        <v>95000000</v>
      </c>
      <c r="CO11" s="575" t="s">
        <v>21</v>
      </c>
      <c r="CP11" s="576">
        <f>CP17+CP14+CP65+CP23+CP29+CP47+CP53+CP26+CP32+CP38+CP50+CP41+CP59+CP35+CP62+CP74+CP20+CP56+CP44+CP80+CP83+CP77+CP86+CP89+CP92+CP95+CP68+CP71</f>
        <v>964772504530</v>
      </c>
      <c r="CQ11" s="576">
        <f t="shared" ref="CQ11:ER13" si="3">CQ17+CQ14+CQ65+CQ23+CQ29+CQ47+CQ53+CQ26+CQ32+CQ38+CQ50+CQ41+CQ59+CQ35+CQ62+CQ74+CQ20+CQ56+CQ44+CQ80+CQ83+CQ77+CQ86+CQ89+CQ92+CQ95+CQ68+CQ71</f>
        <v>689352513091</v>
      </c>
      <c r="CR11" s="576">
        <f t="shared" si="3"/>
        <v>47411463409</v>
      </c>
      <c r="CS11" s="576">
        <f t="shared" si="3"/>
        <v>31353532000</v>
      </c>
      <c r="CT11" s="576">
        <f t="shared" si="3"/>
        <v>12303977000</v>
      </c>
      <c r="CU11" s="576">
        <f t="shared" si="3"/>
        <v>2589357000</v>
      </c>
      <c r="CV11" s="576">
        <f t="shared" si="3"/>
        <v>1164597409</v>
      </c>
      <c r="CW11" s="576">
        <f t="shared" si="3"/>
        <v>641941049682</v>
      </c>
      <c r="CX11" s="576">
        <f t="shared" si="3"/>
        <v>6991600000</v>
      </c>
      <c r="CY11" s="576">
        <f t="shared" si="3"/>
        <v>3249020000</v>
      </c>
      <c r="CZ11" s="576">
        <f t="shared" si="3"/>
        <v>381712057509</v>
      </c>
      <c r="DA11" s="576">
        <f t="shared" si="3"/>
        <v>28029225000</v>
      </c>
      <c r="DB11" s="576">
        <f t="shared" si="3"/>
        <v>1615790000</v>
      </c>
      <c r="DC11" s="576">
        <f t="shared" si="3"/>
        <v>29515801000</v>
      </c>
      <c r="DD11" s="576">
        <f t="shared" si="3"/>
        <v>5060180000</v>
      </c>
      <c r="DE11" s="576">
        <f t="shared" si="3"/>
        <v>7279200000</v>
      </c>
      <c r="DF11" s="576">
        <f t="shared" si="3"/>
        <v>1096200000</v>
      </c>
      <c r="DG11" s="576">
        <f t="shared" si="3"/>
        <v>1524000000</v>
      </c>
      <c r="DH11" s="576">
        <f t="shared" si="3"/>
        <v>21714000</v>
      </c>
      <c r="DI11" s="576">
        <f t="shared" si="3"/>
        <v>0</v>
      </c>
      <c r="DJ11" s="576">
        <f t="shared" si="3"/>
        <v>193800000</v>
      </c>
      <c r="DK11" s="576">
        <f t="shared" si="3"/>
        <v>0</v>
      </c>
      <c r="DL11" s="576">
        <f t="shared" si="3"/>
        <v>47080000</v>
      </c>
      <c r="DM11" s="576">
        <f>DM17+DM14+DM65+DM23+DM29+DM47+DM53+DM26+DM32+DM38+DM50+DM41+DM59+DM35+DM62+DM74+DM20+DM56+DM44+DM80+DM83+DM77+DM86+DM89+DM92+DM95+DM68+DM71</f>
        <v>3995189118</v>
      </c>
      <c r="DN11" s="576">
        <f t="shared" si="3"/>
        <v>184571400</v>
      </c>
      <c r="DO11" s="576">
        <f t="shared" si="3"/>
        <v>430480670</v>
      </c>
      <c r="DP11" s="576">
        <f t="shared" si="3"/>
        <v>1652350420</v>
      </c>
      <c r="DQ11" s="576">
        <f t="shared" si="3"/>
        <v>3658549728</v>
      </c>
      <c r="DR11" s="576">
        <f t="shared" si="3"/>
        <v>616506600</v>
      </c>
      <c r="DS11" s="576">
        <f t="shared" si="3"/>
        <v>5645407000</v>
      </c>
      <c r="DT11" s="576">
        <f t="shared" si="3"/>
        <v>103600000</v>
      </c>
      <c r="DU11" s="576">
        <f t="shared" si="3"/>
        <v>45329040000</v>
      </c>
      <c r="DV11" s="576">
        <f t="shared" si="3"/>
        <v>3962284576</v>
      </c>
      <c r="DW11" s="576">
        <f t="shared" si="3"/>
        <v>3764450220</v>
      </c>
      <c r="DX11" s="576">
        <f t="shared" si="3"/>
        <v>5139055047</v>
      </c>
      <c r="DY11" s="576">
        <f t="shared" si="3"/>
        <v>1388629280</v>
      </c>
      <c r="DZ11" s="576">
        <f t="shared" si="3"/>
        <v>3217746000</v>
      </c>
      <c r="EA11" s="576">
        <f t="shared" si="3"/>
        <v>6409237000</v>
      </c>
      <c r="EB11" s="576">
        <f t="shared" si="3"/>
        <v>22735963000</v>
      </c>
      <c r="EC11" s="576">
        <f t="shared" si="3"/>
        <v>1314429823</v>
      </c>
      <c r="ED11" s="576">
        <f t="shared" si="3"/>
        <v>700000000</v>
      </c>
      <c r="EE11" s="576">
        <f t="shared" si="3"/>
        <v>0</v>
      </c>
      <c r="EF11" s="576">
        <f t="shared" si="3"/>
        <v>920222000</v>
      </c>
      <c r="EG11" s="576">
        <f t="shared" si="3"/>
        <v>3429191152</v>
      </c>
      <c r="EH11" s="576">
        <f t="shared" si="3"/>
        <v>1174088000</v>
      </c>
      <c r="EI11" s="576">
        <f t="shared" si="3"/>
        <v>5611482360</v>
      </c>
      <c r="EJ11" s="576">
        <f t="shared" si="3"/>
        <v>0</v>
      </c>
      <c r="EK11" s="576">
        <f t="shared" si="3"/>
        <v>3000000000</v>
      </c>
      <c r="EL11" s="576">
        <f t="shared" si="3"/>
        <v>2150000000</v>
      </c>
      <c r="EM11" s="576">
        <f t="shared" si="3"/>
        <v>4420850000</v>
      </c>
      <c r="EN11" s="576">
        <f t="shared" si="3"/>
        <v>44022614329</v>
      </c>
      <c r="EO11" s="576">
        <f t="shared" si="3"/>
        <v>459444450</v>
      </c>
      <c r="EP11" s="576">
        <f t="shared" si="3"/>
        <v>170000000</v>
      </c>
      <c r="EQ11" s="576">
        <f t="shared" si="3"/>
        <v>0</v>
      </c>
      <c r="ER11" s="576">
        <f t="shared" si="3"/>
        <v>142202640013</v>
      </c>
      <c r="ES11" s="576">
        <f>ES17+ES14+ES65+ES23+ES29+ES47+ES53+ES26+ES32+ES38+ES50+ES41+ES59+ES35+ES62+ES74+ES20+ES56+ES44+ES80+ES83+ES77+ES86+ES89+ES92+ES95+ES68+ES71</f>
        <v>82449311000</v>
      </c>
      <c r="ET11" s="576">
        <f t="shared" ref="ET11:GB13" si="4">ET17+ET14+ET65+ET23+ET29+ET47+ET53+ET26+ET32+ET38+ET50+ET41+ET59+ET35+ET62+ET74+ET20+ET56+ET44+ET80+ET83+ET77+ET86+ET89+ET92+ET95+ET68+ET71</f>
        <v>59753329013</v>
      </c>
      <c r="EU11" s="576">
        <f t="shared" si="4"/>
        <v>0</v>
      </c>
      <c r="EV11" s="576">
        <f t="shared" si="4"/>
        <v>0</v>
      </c>
      <c r="EW11" s="576">
        <f t="shared" si="4"/>
        <v>12663000</v>
      </c>
      <c r="EX11" s="576">
        <f t="shared" si="4"/>
        <v>0</v>
      </c>
      <c r="EY11" s="576">
        <f t="shared" si="4"/>
        <v>2687805000</v>
      </c>
      <c r="EZ11" s="576">
        <f t="shared" si="4"/>
        <v>39996321000</v>
      </c>
      <c r="FA11" s="576">
        <f t="shared" si="4"/>
        <v>31769484000</v>
      </c>
      <c r="FB11" s="576">
        <f t="shared" si="4"/>
        <v>4191536000</v>
      </c>
      <c r="FC11" s="576">
        <f t="shared" si="4"/>
        <v>34884499547</v>
      </c>
      <c r="FD11" s="576">
        <f t="shared" si="4"/>
        <v>0</v>
      </c>
      <c r="FE11" s="576">
        <f t="shared" si="4"/>
        <v>1323768000</v>
      </c>
      <c r="FF11" s="576">
        <f t="shared" si="4"/>
        <v>685210000</v>
      </c>
      <c r="FG11" s="576">
        <f t="shared" si="4"/>
        <v>340256510</v>
      </c>
      <c r="FH11" s="576">
        <f t="shared" si="4"/>
        <v>255129180</v>
      </c>
      <c r="FI11" s="576">
        <f t="shared" si="4"/>
        <v>1783879000</v>
      </c>
      <c r="FJ11" s="576">
        <f t="shared" si="4"/>
        <v>0</v>
      </c>
      <c r="FK11" s="576">
        <f t="shared" si="4"/>
        <v>9300129000</v>
      </c>
      <c r="FL11" s="576">
        <f t="shared" si="4"/>
        <v>0</v>
      </c>
      <c r="FM11" s="576">
        <f t="shared" si="4"/>
        <v>1796150000</v>
      </c>
      <c r="FN11" s="576">
        <f t="shared" si="4"/>
        <v>1785544700</v>
      </c>
      <c r="FO11" s="576">
        <f t="shared" si="4"/>
        <v>0</v>
      </c>
      <c r="FP11" s="576">
        <f t="shared" si="4"/>
        <v>2066149600</v>
      </c>
      <c r="FQ11" s="576">
        <f t="shared" si="4"/>
        <v>1104127476</v>
      </c>
      <c r="FR11" s="576">
        <f t="shared" si="4"/>
        <v>7983038000</v>
      </c>
      <c r="FS11" s="576">
        <f t="shared" si="4"/>
        <v>0</v>
      </c>
      <c r="FT11" s="576">
        <f t="shared" si="4"/>
        <v>200000000</v>
      </c>
      <c r="FU11" s="576">
        <f t="shared" si="4"/>
        <v>36950000</v>
      </c>
      <c r="FV11" s="576">
        <f t="shared" si="4"/>
        <v>101666500</v>
      </c>
      <c r="FW11" s="576">
        <f t="shared" si="4"/>
        <v>0</v>
      </c>
      <c r="FX11" s="576">
        <f t="shared" si="4"/>
        <v>101666500</v>
      </c>
      <c r="FY11" s="576">
        <f t="shared" si="4"/>
        <v>0</v>
      </c>
      <c r="FZ11" s="576">
        <f t="shared" si="4"/>
        <v>6666500</v>
      </c>
      <c r="GA11" s="576">
        <f t="shared" si="4"/>
        <v>95000000</v>
      </c>
      <c r="GB11" s="576">
        <f t="shared" si="4"/>
        <v>133115684926</v>
      </c>
      <c r="GC11" s="577">
        <f>CP11/C11</f>
        <v>0.99130719046039972</v>
      </c>
      <c r="GD11" s="577">
        <f>CR11/E11</f>
        <v>0.87490755327456082</v>
      </c>
      <c r="GE11" s="577">
        <f>CW11/J11</f>
        <v>0.9589377525238848</v>
      </c>
      <c r="GF11" s="577">
        <f>ER11/BE11</f>
        <v>0.56992445059968855</v>
      </c>
      <c r="GG11" s="577">
        <f>FV11/CI11</f>
        <v>1</v>
      </c>
    </row>
    <row r="12" spans="1:189" s="91" customFormat="1" ht="17.25" customHeight="1">
      <c r="A12" s="578"/>
      <c r="B12" s="579" t="s">
        <v>17</v>
      </c>
      <c r="C12" s="580">
        <f t="shared" ref="C12:Y13" si="5">C18+C15+C66+C24+C30+C48+C54+C27+C33+C39+C51+C42+C60+C36+C63+C75+C21+C57+C45+C81+C84+C78+C87+C90+C93+C96+C69+C72</f>
        <v>161300927995</v>
      </c>
      <c r="D12" s="580">
        <f>D18+D15+D66+D24+D30+D48+D54+D27+D33+D39+D51+D42+D60+D36+D63+D75+D21+D57+D45+D81+D84+D78+D87+D90+D93+D96+D69+D72</f>
        <v>54190254995</v>
      </c>
      <c r="E12" s="580">
        <f t="shared" si="5"/>
        <v>54190254995</v>
      </c>
      <c r="F12" s="580">
        <f t="shared" si="5"/>
        <v>32885614000</v>
      </c>
      <c r="G12" s="580">
        <f t="shared" si="5"/>
        <v>16369090765</v>
      </c>
      <c r="H12" s="580">
        <f t="shared" si="5"/>
        <v>3770952821</v>
      </c>
      <c r="I12" s="580">
        <f t="shared" si="5"/>
        <v>1164597409</v>
      </c>
      <c r="J12" s="580">
        <f t="shared" si="5"/>
        <v>0</v>
      </c>
      <c r="K12" s="580">
        <f t="shared" si="5"/>
        <v>0</v>
      </c>
      <c r="L12" s="580">
        <f t="shared" si="5"/>
        <v>0</v>
      </c>
      <c r="M12" s="580">
        <f t="shared" si="5"/>
        <v>0</v>
      </c>
      <c r="N12" s="580">
        <f t="shared" si="5"/>
        <v>0</v>
      </c>
      <c r="O12" s="580">
        <f t="shared" si="5"/>
        <v>0</v>
      </c>
      <c r="P12" s="580">
        <f t="shared" si="5"/>
        <v>0</v>
      </c>
      <c r="Q12" s="580">
        <f t="shared" si="5"/>
        <v>0</v>
      </c>
      <c r="R12" s="580">
        <f t="shared" si="5"/>
        <v>0</v>
      </c>
      <c r="S12" s="580">
        <f t="shared" si="5"/>
        <v>0</v>
      </c>
      <c r="T12" s="580">
        <f t="shared" si="5"/>
        <v>0</v>
      </c>
      <c r="U12" s="580">
        <f t="shared" si="5"/>
        <v>0</v>
      </c>
      <c r="V12" s="580">
        <f t="shared" si="5"/>
        <v>0</v>
      </c>
      <c r="W12" s="580">
        <f t="shared" si="5"/>
        <v>0</v>
      </c>
      <c r="X12" s="580">
        <f t="shared" si="5"/>
        <v>0</v>
      </c>
      <c r="Y12" s="580">
        <f t="shared" si="5"/>
        <v>0</v>
      </c>
      <c r="Z12" s="580">
        <f>Z18+Z15+Z66+Z24+Z30+Z48+Z54+Z27+Z33+Z39+Z51+Z42+Z60+Z36+Z63+Z75+Z21+Z57+Z45+Z81+Z84+Z78+Z87+Z90+Z93+Z96+Z69+Z72</f>
        <v>0</v>
      </c>
      <c r="AA12" s="580">
        <f t="shared" si="1"/>
        <v>0</v>
      </c>
      <c r="AB12" s="580">
        <f t="shared" si="1"/>
        <v>0</v>
      </c>
      <c r="AC12" s="580">
        <f t="shared" si="1"/>
        <v>0</v>
      </c>
      <c r="AD12" s="580">
        <f t="shared" si="1"/>
        <v>0</v>
      </c>
      <c r="AE12" s="580">
        <f t="shared" si="1"/>
        <v>0</v>
      </c>
      <c r="AF12" s="580">
        <f t="shared" si="1"/>
        <v>0</v>
      </c>
      <c r="AG12" s="580">
        <f t="shared" si="1"/>
        <v>0</v>
      </c>
      <c r="AH12" s="580">
        <f t="shared" si="1"/>
        <v>0</v>
      </c>
      <c r="AI12" s="580">
        <f t="shared" si="1"/>
        <v>0</v>
      </c>
      <c r="AJ12" s="580">
        <f t="shared" si="1"/>
        <v>0</v>
      </c>
      <c r="AK12" s="580">
        <f t="shared" si="1"/>
        <v>0</v>
      </c>
      <c r="AL12" s="580">
        <f t="shared" si="1"/>
        <v>0</v>
      </c>
      <c r="AM12" s="580">
        <f t="shared" si="1"/>
        <v>0</v>
      </c>
      <c r="AN12" s="580">
        <f t="shared" si="1"/>
        <v>0</v>
      </c>
      <c r="AO12" s="580">
        <f t="shared" si="1"/>
        <v>0</v>
      </c>
      <c r="AP12" s="580">
        <f t="shared" si="1"/>
        <v>0</v>
      </c>
      <c r="AQ12" s="580">
        <f t="shared" si="1"/>
        <v>0</v>
      </c>
      <c r="AR12" s="580">
        <f t="shared" si="1"/>
        <v>0</v>
      </c>
      <c r="AS12" s="580">
        <f t="shared" si="1"/>
        <v>0</v>
      </c>
      <c r="AT12" s="580">
        <f t="shared" si="1"/>
        <v>0</v>
      </c>
      <c r="AU12" s="580">
        <f t="shared" si="1"/>
        <v>0</v>
      </c>
      <c r="AV12" s="580">
        <f t="shared" si="1"/>
        <v>0</v>
      </c>
      <c r="AW12" s="580">
        <f t="shared" si="1"/>
        <v>0</v>
      </c>
      <c r="AX12" s="580">
        <f t="shared" si="1"/>
        <v>0</v>
      </c>
      <c r="AY12" s="580">
        <f t="shared" si="1"/>
        <v>0</v>
      </c>
      <c r="AZ12" s="580">
        <f t="shared" si="1"/>
        <v>0</v>
      </c>
      <c r="BA12" s="580">
        <f t="shared" si="1"/>
        <v>0</v>
      </c>
      <c r="BB12" s="580">
        <f t="shared" si="1"/>
        <v>0</v>
      </c>
      <c r="BC12" s="580">
        <f t="shared" si="1"/>
        <v>0</v>
      </c>
      <c r="BD12" s="580">
        <f t="shared" si="1"/>
        <v>0</v>
      </c>
      <c r="BE12" s="580">
        <f t="shared" si="1"/>
        <v>107110673000</v>
      </c>
      <c r="BF12" s="580">
        <f>BF18+BF15+BF66+BF24+BF30+BF48+BF54+BF27+BF33+BF39+BF51+BF42+BF60+BF36+BF63+BF75+BF21+BF57+BF45+BF81+BF84+BF78+BF87+BF90+BF93+BF96+BF69+BF72</f>
        <v>107110673000</v>
      </c>
      <c r="BG12" s="580">
        <f t="shared" si="1"/>
        <v>0</v>
      </c>
      <c r="BH12" s="580">
        <f t="shared" si="1"/>
        <v>139952000</v>
      </c>
      <c r="BI12" s="580">
        <f t="shared" si="1"/>
        <v>0</v>
      </c>
      <c r="BJ12" s="580">
        <f t="shared" si="1"/>
        <v>12663000</v>
      </c>
      <c r="BK12" s="580">
        <f t="shared" si="1"/>
        <v>0</v>
      </c>
      <c r="BL12" s="580">
        <f t="shared" si="1"/>
        <v>3500000000</v>
      </c>
      <c r="BM12" s="580">
        <f t="shared" si="1"/>
        <v>53000296000</v>
      </c>
      <c r="BN12" s="580">
        <f t="shared" si="1"/>
        <v>40500000000</v>
      </c>
      <c r="BO12" s="580">
        <f t="shared" si="1"/>
        <v>0</v>
      </c>
      <c r="BP12" s="580">
        <f t="shared" si="1"/>
        <v>0</v>
      </c>
      <c r="BQ12" s="580">
        <f t="shared" si="1"/>
        <v>0</v>
      </c>
      <c r="BR12" s="580">
        <f t="shared" si="1"/>
        <v>0</v>
      </c>
      <c r="BS12" s="580">
        <f t="shared" si="1"/>
        <v>0</v>
      </c>
      <c r="BT12" s="580">
        <f t="shared" si="1"/>
        <v>0</v>
      </c>
      <c r="BU12" s="580">
        <f t="shared" si="1"/>
        <v>0</v>
      </c>
      <c r="BV12" s="580">
        <f t="shared" si="1"/>
        <v>0</v>
      </c>
      <c r="BW12" s="580">
        <f t="shared" si="1"/>
        <v>0</v>
      </c>
      <c r="BX12" s="580">
        <f t="shared" si="1"/>
        <v>0</v>
      </c>
      <c r="BY12" s="580">
        <f t="shared" si="1"/>
        <v>0</v>
      </c>
      <c r="BZ12" s="580">
        <f t="shared" si="1"/>
        <v>0</v>
      </c>
      <c r="CA12" s="580">
        <f t="shared" si="1"/>
        <v>0</v>
      </c>
      <c r="CB12" s="580">
        <f t="shared" si="1"/>
        <v>0</v>
      </c>
      <c r="CC12" s="580">
        <f t="shared" si="1"/>
        <v>0</v>
      </c>
      <c r="CD12" s="580">
        <f t="shared" si="1"/>
        <v>0</v>
      </c>
      <c r="CE12" s="580">
        <f t="shared" si="1"/>
        <v>9957762000</v>
      </c>
      <c r="CF12" s="580">
        <f t="shared" si="1"/>
        <v>0</v>
      </c>
      <c r="CG12" s="580">
        <f t="shared" si="1"/>
        <v>0</v>
      </c>
      <c r="CH12" s="580">
        <f t="shared" si="1"/>
        <v>0</v>
      </c>
      <c r="CI12" s="580">
        <f t="shared" si="1"/>
        <v>0</v>
      </c>
      <c r="CJ12" s="580">
        <f t="shared" si="1"/>
        <v>0</v>
      </c>
      <c r="CK12" s="580">
        <f t="shared" si="1"/>
        <v>0</v>
      </c>
      <c r="CL12" s="580">
        <f t="shared" si="1"/>
        <v>0</v>
      </c>
      <c r="CM12" s="580">
        <f t="shared" si="2"/>
        <v>0</v>
      </c>
      <c r="CN12" s="580">
        <f t="shared" si="2"/>
        <v>0</v>
      </c>
      <c r="CO12" s="579" t="s">
        <v>17</v>
      </c>
      <c r="CP12" s="580">
        <f t="shared" ref="CP12:DS13" si="6">CP18+CP15+CP66+CP24+CP30+CP48+CP54+CP27+CP33+CP39+CP51+CP42+CP60+CP36+CP63+CP75+CP21+CP57+CP45+CP81+CP84+CP78+CP87+CP90+CP93+CP96+CP69+CP72</f>
        <v>157970436409</v>
      </c>
      <c r="CQ12" s="580">
        <f t="shared" si="6"/>
        <v>47411463409</v>
      </c>
      <c r="CR12" s="580">
        <f t="shared" si="6"/>
        <v>47411463409</v>
      </c>
      <c r="CS12" s="580">
        <f t="shared" si="6"/>
        <v>31353532000</v>
      </c>
      <c r="CT12" s="580">
        <f t="shared" si="6"/>
        <v>12303977000</v>
      </c>
      <c r="CU12" s="580">
        <f t="shared" si="6"/>
        <v>2589357000</v>
      </c>
      <c r="CV12" s="580">
        <f t="shared" si="6"/>
        <v>1164597409</v>
      </c>
      <c r="CW12" s="580">
        <f t="shared" si="6"/>
        <v>0</v>
      </c>
      <c r="CX12" s="580">
        <f t="shared" si="6"/>
        <v>0</v>
      </c>
      <c r="CY12" s="580">
        <f t="shared" si="6"/>
        <v>0</v>
      </c>
      <c r="CZ12" s="580">
        <f t="shared" si="6"/>
        <v>0</v>
      </c>
      <c r="DA12" s="580">
        <f t="shared" si="6"/>
        <v>0</v>
      </c>
      <c r="DB12" s="580">
        <f t="shared" si="6"/>
        <v>0</v>
      </c>
      <c r="DC12" s="580">
        <f t="shared" si="6"/>
        <v>0</v>
      </c>
      <c r="DD12" s="580">
        <f t="shared" si="6"/>
        <v>0</v>
      </c>
      <c r="DE12" s="580">
        <f t="shared" si="6"/>
        <v>0</v>
      </c>
      <c r="DF12" s="580">
        <f t="shared" si="6"/>
        <v>0</v>
      </c>
      <c r="DG12" s="580">
        <f t="shared" si="6"/>
        <v>0</v>
      </c>
      <c r="DH12" s="580">
        <f t="shared" si="6"/>
        <v>0</v>
      </c>
      <c r="DI12" s="580">
        <f t="shared" si="6"/>
        <v>0</v>
      </c>
      <c r="DJ12" s="580">
        <f t="shared" si="6"/>
        <v>0</v>
      </c>
      <c r="DK12" s="580">
        <f t="shared" si="6"/>
        <v>0</v>
      </c>
      <c r="DL12" s="580">
        <f t="shared" si="6"/>
        <v>0</v>
      </c>
      <c r="DM12" s="580">
        <f>DM18+DM15+DM66+DM24+DM30+DM48+DM54+DM27+DM33+DM39+DM51+DM42+DM60+DM36+DM63+DM75+DM21+DM57+DM45+DM81+DM84+DM78+DM87+DM90+DM93+DM96+DM69+DM72</f>
        <v>0</v>
      </c>
      <c r="DN12" s="580">
        <f t="shared" si="6"/>
        <v>0</v>
      </c>
      <c r="DO12" s="580">
        <f t="shared" si="6"/>
        <v>0</v>
      </c>
      <c r="DP12" s="580">
        <f t="shared" si="6"/>
        <v>0</v>
      </c>
      <c r="DQ12" s="580">
        <f t="shared" si="6"/>
        <v>0</v>
      </c>
      <c r="DR12" s="580">
        <f t="shared" si="6"/>
        <v>0</v>
      </c>
      <c r="DS12" s="580">
        <f t="shared" si="6"/>
        <v>0</v>
      </c>
      <c r="DT12" s="580">
        <f t="shared" si="3"/>
        <v>0</v>
      </c>
      <c r="DU12" s="580">
        <f t="shared" si="3"/>
        <v>0</v>
      </c>
      <c r="DV12" s="580">
        <f t="shared" si="3"/>
        <v>0</v>
      </c>
      <c r="DW12" s="580">
        <f t="shared" si="3"/>
        <v>0</v>
      </c>
      <c r="DX12" s="580">
        <f t="shared" si="3"/>
        <v>0</v>
      </c>
      <c r="DY12" s="580">
        <f t="shared" si="3"/>
        <v>0</v>
      </c>
      <c r="DZ12" s="580">
        <f t="shared" si="3"/>
        <v>0</v>
      </c>
      <c r="EA12" s="580">
        <f t="shared" si="3"/>
        <v>0</v>
      </c>
      <c r="EB12" s="580">
        <f t="shared" si="3"/>
        <v>0</v>
      </c>
      <c r="EC12" s="580">
        <f t="shared" si="3"/>
        <v>0</v>
      </c>
      <c r="ED12" s="580">
        <f t="shared" si="3"/>
        <v>0</v>
      </c>
      <c r="EE12" s="580">
        <f t="shared" si="3"/>
        <v>0</v>
      </c>
      <c r="EF12" s="580">
        <f t="shared" si="3"/>
        <v>0</v>
      </c>
      <c r="EG12" s="580">
        <f t="shared" si="3"/>
        <v>0</v>
      </c>
      <c r="EH12" s="580">
        <f t="shared" si="3"/>
        <v>0</v>
      </c>
      <c r="EI12" s="580">
        <f t="shared" si="3"/>
        <v>0</v>
      </c>
      <c r="EJ12" s="580">
        <f t="shared" si="3"/>
        <v>0</v>
      </c>
      <c r="EK12" s="580">
        <f t="shared" si="3"/>
        <v>0</v>
      </c>
      <c r="EL12" s="580">
        <f t="shared" si="3"/>
        <v>0</v>
      </c>
      <c r="EM12" s="580">
        <f t="shared" si="3"/>
        <v>0</v>
      </c>
      <c r="EN12" s="580">
        <f t="shared" si="3"/>
        <v>0</v>
      </c>
      <c r="EO12" s="580">
        <f t="shared" si="3"/>
        <v>0</v>
      </c>
      <c r="EP12" s="580">
        <f t="shared" si="3"/>
        <v>0</v>
      </c>
      <c r="EQ12" s="580">
        <f t="shared" si="3"/>
        <v>0</v>
      </c>
      <c r="ER12" s="580">
        <f t="shared" si="3"/>
        <v>82449311000</v>
      </c>
      <c r="ES12" s="580">
        <f>ES18+ES15+ES66+ES24+ES30+ES48+ES54+ES27+ES33+ES39+ES51+ES42+ES60+ES36+ES63+ES75+ES21+ES57+ES45+ES81+ES84+ES78+ES87+ES90+ES93+ES96+ES69+ES72</f>
        <v>82449311000</v>
      </c>
      <c r="ET12" s="580">
        <f t="shared" si="4"/>
        <v>0</v>
      </c>
      <c r="EU12" s="580">
        <f t="shared" si="4"/>
        <v>0</v>
      </c>
      <c r="EV12" s="580">
        <f t="shared" si="4"/>
        <v>0</v>
      </c>
      <c r="EW12" s="580">
        <f t="shared" si="4"/>
        <v>12663000</v>
      </c>
      <c r="EX12" s="580">
        <f t="shared" si="4"/>
        <v>0</v>
      </c>
      <c r="EY12" s="580">
        <f t="shared" si="4"/>
        <v>2687805000</v>
      </c>
      <c r="EZ12" s="580">
        <f t="shared" si="4"/>
        <v>39996321000</v>
      </c>
      <c r="FA12" s="580">
        <f t="shared" si="4"/>
        <v>31769484000</v>
      </c>
      <c r="FB12" s="580">
        <f t="shared" si="4"/>
        <v>0</v>
      </c>
      <c r="FC12" s="580">
        <f t="shared" si="4"/>
        <v>0</v>
      </c>
      <c r="FD12" s="580">
        <f t="shared" si="4"/>
        <v>0</v>
      </c>
      <c r="FE12" s="580">
        <f t="shared" si="4"/>
        <v>0</v>
      </c>
      <c r="FF12" s="580">
        <f t="shared" si="4"/>
        <v>0</v>
      </c>
      <c r="FG12" s="580">
        <f t="shared" si="4"/>
        <v>0</v>
      </c>
      <c r="FH12" s="580">
        <f t="shared" si="4"/>
        <v>0</v>
      </c>
      <c r="FI12" s="580">
        <f t="shared" si="4"/>
        <v>0</v>
      </c>
      <c r="FJ12" s="580">
        <f t="shared" si="4"/>
        <v>0</v>
      </c>
      <c r="FK12" s="580">
        <f t="shared" si="4"/>
        <v>0</v>
      </c>
      <c r="FL12" s="580">
        <f t="shared" si="4"/>
        <v>0</v>
      </c>
      <c r="FM12" s="580">
        <f t="shared" si="4"/>
        <v>0</v>
      </c>
      <c r="FN12" s="580">
        <f t="shared" si="4"/>
        <v>0</v>
      </c>
      <c r="FO12" s="580">
        <f t="shared" si="4"/>
        <v>0</v>
      </c>
      <c r="FP12" s="580">
        <f t="shared" si="4"/>
        <v>0</v>
      </c>
      <c r="FQ12" s="580">
        <f t="shared" si="4"/>
        <v>0</v>
      </c>
      <c r="FR12" s="580">
        <f t="shared" si="4"/>
        <v>7983038000</v>
      </c>
      <c r="FS12" s="580">
        <f t="shared" si="4"/>
        <v>0</v>
      </c>
      <c r="FT12" s="580">
        <f t="shared" si="4"/>
        <v>0</v>
      </c>
      <c r="FU12" s="580">
        <f t="shared" si="4"/>
        <v>0</v>
      </c>
      <c r="FV12" s="580">
        <f t="shared" si="4"/>
        <v>0</v>
      </c>
      <c r="FW12" s="580">
        <f t="shared" si="4"/>
        <v>0</v>
      </c>
      <c r="FX12" s="580">
        <f t="shared" si="4"/>
        <v>0</v>
      </c>
      <c r="FY12" s="580">
        <f t="shared" si="4"/>
        <v>0</v>
      </c>
      <c r="FZ12" s="580">
        <f t="shared" si="4"/>
        <v>0</v>
      </c>
      <c r="GA12" s="580">
        <f t="shared" si="4"/>
        <v>0</v>
      </c>
      <c r="GB12" s="580">
        <f t="shared" si="4"/>
        <v>28109662000</v>
      </c>
      <c r="GC12" s="581">
        <f>CP12/C12</f>
        <v>0.97935230982612054</v>
      </c>
      <c r="GD12" s="581">
        <f>CR12/E12</f>
        <v>0.87490755327456082</v>
      </c>
      <c r="GE12" s="581"/>
      <c r="GF12" s="581">
        <f>ER12/BE12</f>
        <v>0.76975812671814692</v>
      </c>
      <c r="GG12" s="581"/>
    </row>
    <row r="13" spans="1:189" s="91" customFormat="1" ht="17.25" customHeight="1">
      <c r="A13" s="578"/>
      <c r="B13" s="579" t="s">
        <v>19</v>
      </c>
      <c r="C13" s="580">
        <f t="shared" si="5"/>
        <v>811931702429</v>
      </c>
      <c r="D13" s="580">
        <f t="shared" si="5"/>
        <v>669429322177</v>
      </c>
      <c r="E13" s="580">
        <f t="shared" si="5"/>
        <v>0</v>
      </c>
      <c r="F13" s="580">
        <f t="shared" si="5"/>
        <v>0</v>
      </c>
      <c r="G13" s="580">
        <f t="shared" si="5"/>
        <v>0</v>
      </c>
      <c r="H13" s="580">
        <f t="shared" si="5"/>
        <v>0</v>
      </c>
      <c r="I13" s="580">
        <f t="shared" si="5"/>
        <v>0</v>
      </c>
      <c r="J13" s="580">
        <f t="shared" si="5"/>
        <v>669429322177</v>
      </c>
      <c r="K13" s="580">
        <f t="shared" si="5"/>
        <v>6991600000</v>
      </c>
      <c r="L13" s="580">
        <f t="shared" si="5"/>
        <v>3249020000</v>
      </c>
      <c r="M13" s="580">
        <f t="shared" si="5"/>
        <v>382976553509</v>
      </c>
      <c r="N13" s="580">
        <f t="shared" si="5"/>
        <v>28317225000</v>
      </c>
      <c r="O13" s="580">
        <f t="shared" si="5"/>
        <v>1615790000</v>
      </c>
      <c r="P13" s="580">
        <f t="shared" si="5"/>
        <v>29515801000</v>
      </c>
      <c r="Q13" s="580">
        <f t="shared" si="5"/>
        <v>5060180000</v>
      </c>
      <c r="R13" s="580">
        <f t="shared" si="5"/>
        <v>7279200000</v>
      </c>
      <c r="S13" s="580">
        <f t="shared" si="5"/>
        <v>1096200000</v>
      </c>
      <c r="T13" s="580">
        <f t="shared" si="5"/>
        <v>1524000000</v>
      </c>
      <c r="U13" s="580">
        <f t="shared" si="5"/>
        <v>21714000</v>
      </c>
      <c r="V13" s="580">
        <f t="shared" si="5"/>
        <v>0</v>
      </c>
      <c r="W13" s="580">
        <f t="shared" si="5"/>
        <v>193800000</v>
      </c>
      <c r="X13" s="580">
        <f t="shared" si="5"/>
        <v>0</v>
      </c>
      <c r="Y13" s="580">
        <f t="shared" si="5"/>
        <v>47080000</v>
      </c>
      <c r="Z13" s="580">
        <f>Z19+Z16+Z67+Z25+Z31+Z49+Z55+Z28+Z34+Z40+Z52+Z43+Z61+Z37+Z64+Z76+Z22+Z58+Z46+Z82+Z85+Z79+Z88+Z91+Z94+Z97+Z70+Z73</f>
        <v>6183518100</v>
      </c>
      <c r="AA13" s="580">
        <f t="shared" si="1"/>
        <v>184571400</v>
      </c>
      <c r="AB13" s="580">
        <f t="shared" si="1"/>
        <v>715480070</v>
      </c>
      <c r="AC13" s="580">
        <f t="shared" si="1"/>
        <v>1972350420</v>
      </c>
      <c r="AD13" s="580">
        <f t="shared" si="1"/>
        <v>3658549728</v>
      </c>
      <c r="AE13" s="580">
        <f t="shared" si="1"/>
        <v>616506600</v>
      </c>
      <c r="AF13" s="580">
        <f t="shared" si="1"/>
        <v>5645407000</v>
      </c>
      <c r="AG13" s="580">
        <f t="shared" si="1"/>
        <v>103600000</v>
      </c>
      <c r="AH13" s="580">
        <f t="shared" si="1"/>
        <v>46170780000</v>
      </c>
      <c r="AI13" s="580">
        <f t="shared" si="1"/>
        <v>3962284576</v>
      </c>
      <c r="AJ13" s="580">
        <f t="shared" si="1"/>
        <v>3764450220</v>
      </c>
      <c r="AK13" s="580">
        <f t="shared" si="1"/>
        <v>6889055047</v>
      </c>
      <c r="AL13" s="580">
        <f t="shared" si="1"/>
        <v>1388629280</v>
      </c>
      <c r="AM13" s="580">
        <f t="shared" si="1"/>
        <v>3258968792</v>
      </c>
      <c r="AN13" s="580">
        <f t="shared" si="1"/>
        <v>6409237000</v>
      </c>
      <c r="AO13" s="580">
        <f t="shared" si="1"/>
        <v>24061571000</v>
      </c>
      <c r="AP13" s="580">
        <f t="shared" si="1"/>
        <v>1314429823</v>
      </c>
      <c r="AQ13" s="580">
        <f t="shared" si="1"/>
        <v>700000000</v>
      </c>
      <c r="AR13" s="580">
        <f t="shared" si="1"/>
        <v>2229647805</v>
      </c>
      <c r="AS13" s="580">
        <f t="shared" si="1"/>
        <v>920222000</v>
      </c>
      <c r="AT13" s="580">
        <f t="shared" si="1"/>
        <v>3429191152</v>
      </c>
      <c r="AU13" s="580">
        <f t="shared" si="1"/>
        <v>1174088000</v>
      </c>
      <c r="AV13" s="580">
        <f t="shared" si="1"/>
        <v>6632000000</v>
      </c>
      <c r="AW13" s="580">
        <f t="shared" si="1"/>
        <v>5000000000</v>
      </c>
      <c r="AX13" s="580">
        <f t="shared" si="1"/>
        <v>3000000000</v>
      </c>
      <c r="AY13" s="580">
        <f t="shared" si="1"/>
        <v>2150000000</v>
      </c>
      <c r="AZ13" s="580">
        <f t="shared" si="1"/>
        <v>4420850000</v>
      </c>
      <c r="BA13" s="580">
        <f t="shared" si="1"/>
        <v>44022614329</v>
      </c>
      <c r="BB13" s="580">
        <f t="shared" si="1"/>
        <v>459444450</v>
      </c>
      <c r="BC13" s="580">
        <f t="shared" si="1"/>
        <v>170000000</v>
      </c>
      <c r="BD13" s="580">
        <f t="shared" si="1"/>
        <v>10933711876</v>
      </c>
      <c r="BE13" s="580">
        <f t="shared" si="1"/>
        <v>142400713752</v>
      </c>
      <c r="BF13" s="580">
        <f>BF19+BF16+BF67+BF25+BF31+BF49+BF55+BF28+BF34+BF40+BF52+BF43+BF61+BF37+BF64+BF76+BF22+BF58+BF46+BF82+BF85+BF79+BF88+BF91+BF94+BF97+BF70+BF73</f>
        <v>0</v>
      </c>
      <c r="BG13" s="580">
        <f t="shared" si="1"/>
        <v>142400713752</v>
      </c>
      <c r="BH13" s="580">
        <f t="shared" si="1"/>
        <v>0</v>
      </c>
      <c r="BI13" s="580">
        <f t="shared" si="1"/>
        <v>0</v>
      </c>
      <c r="BJ13" s="580">
        <f t="shared" si="1"/>
        <v>0</v>
      </c>
      <c r="BK13" s="580">
        <f t="shared" si="1"/>
        <v>0</v>
      </c>
      <c r="BL13" s="580">
        <f t="shared" si="1"/>
        <v>0</v>
      </c>
      <c r="BM13" s="580">
        <f t="shared" si="1"/>
        <v>0</v>
      </c>
      <c r="BN13" s="580">
        <f t="shared" si="1"/>
        <v>0</v>
      </c>
      <c r="BO13" s="580">
        <f t="shared" si="1"/>
        <v>4451000000</v>
      </c>
      <c r="BP13" s="580">
        <f t="shared" si="1"/>
        <v>69162000000</v>
      </c>
      <c r="BQ13" s="580">
        <f t="shared" si="1"/>
        <v>0</v>
      </c>
      <c r="BR13" s="580">
        <f t="shared" si="1"/>
        <v>17382724000</v>
      </c>
      <c r="BS13" s="580">
        <f t="shared" si="1"/>
        <v>753000000</v>
      </c>
      <c r="BT13" s="580">
        <f t="shared" si="1"/>
        <v>1111000000</v>
      </c>
      <c r="BU13" s="580">
        <f t="shared" si="1"/>
        <v>1007000000</v>
      </c>
      <c r="BV13" s="580">
        <f t="shared" si="1"/>
        <v>2129000000</v>
      </c>
      <c r="BW13" s="580">
        <f t="shared" si="1"/>
        <v>0</v>
      </c>
      <c r="BX13" s="580">
        <f t="shared" si="1"/>
        <v>10714000000</v>
      </c>
      <c r="BY13" s="580">
        <f t="shared" si="1"/>
        <v>15539000000</v>
      </c>
      <c r="BZ13" s="580">
        <f t="shared" si="1"/>
        <v>8495000000</v>
      </c>
      <c r="CA13" s="580">
        <f t="shared" si="1"/>
        <v>7541580900</v>
      </c>
      <c r="CB13" s="580">
        <f t="shared" si="1"/>
        <v>20000000</v>
      </c>
      <c r="CC13" s="580">
        <f t="shared" si="1"/>
        <v>2577000000</v>
      </c>
      <c r="CD13" s="580">
        <f t="shared" si="1"/>
        <v>1281398476</v>
      </c>
      <c r="CE13" s="580">
        <f t="shared" si="1"/>
        <v>0</v>
      </c>
      <c r="CF13" s="580">
        <f t="shared" si="1"/>
        <v>0</v>
      </c>
      <c r="CG13" s="580">
        <f t="shared" si="1"/>
        <v>200000000</v>
      </c>
      <c r="CH13" s="580">
        <f t="shared" si="1"/>
        <v>37010376</v>
      </c>
      <c r="CI13" s="580">
        <f t="shared" si="1"/>
        <v>101666500</v>
      </c>
      <c r="CJ13" s="580">
        <f t="shared" si="1"/>
        <v>0</v>
      </c>
      <c r="CK13" s="580">
        <f t="shared" si="1"/>
        <v>101666500</v>
      </c>
      <c r="CL13" s="580">
        <f t="shared" si="1"/>
        <v>0</v>
      </c>
      <c r="CM13" s="580">
        <f t="shared" si="2"/>
        <v>6666500</v>
      </c>
      <c r="CN13" s="580">
        <f t="shared" si="2"/>
        <v>95000000</v>
      </c>
      <c r="CO13" s="579" t="s">
        <v>19</v>
      </c>
      <c r="CP13" s="580">
        <f>CP19+CP16+CP67+CP25+CP31+CP49+CP55+CP28+CP34+CP40+CP52+CP43+CP61+CP37+CP64+CP76+CP22+CP58+CP46+CP82+CP85+CP79+CP88+CP91+CP94+CP97+CP70+CP73</f>
        <v>806802068121</v>
      </c>
      <c r="CQ13" s="580">
        <f t="shared" si="6"/>
        <v>641941049682</v>
      </c>
      <c r="CR13" s="580">
        <f t="shared" si="6"/>
        <v>0</v>
      </c>
      <c r="CS13" s="580">
        <f>CS19+CS16+CS67+CS25+CS31+CS49+CS55+CS28+CS34+CS40+CS52+CS43+CS61+CS37+CS64+CS76+CS22+CS58+CS46+CS82+CS85+CS79+CS88+CS91+CS94+CS97+CS70+CS73</f>
        <v>0</v>
      </c>
      <c r="CT13" s="580">
        <f t="shared" si="6"/>
        <v>0</v>
      </c>
      <c r="CU13" s="580">
        <f t="shared" si="6"/>
        <v>0</v>
      </c>
      <c r="CV13" s="580">
        <f t="shared" si="6"/>
        <v>0</v>
      </c>
      <c r="CW13" s="580">
        <f t="shared" si="6"/>
        <v>641941049682</v>
      </c>
      <c r="CX13" s="580">
        <f t="shared" si="6"/>
        <v>6991600000</v>
      </c>
      <c r="CY13" s="580">
        <f t="shared" si="6"/>
        <v>3249020000</v>
      </c>
      <c r="CZ13" s="580">
        <f t="shared" si="6"/>
        <v>381712057509</v>
      </c>
      <c r="DA13" s="580">
        <f t="shared" si="6"/>
        <v>28029225000</v>
      </c>
      <c r="DB13" s="580">
        <f t="shared" si="6"/>
        <v>1615790000</v>
      </c>
      <c r="DC13" s="580">
        <f t="shared" si="6"/>
        <v>29515801000</v>
      </c>
      <c r="DD13" s="580">
        <f t="shared" si="6"/>
        <v>5060180000</v>
      </c>
      <c r="DE13" s="580">
        <f t="shared" si="6"/>
        <v>7279200000</v>
      </c>
      <c r="DF13" s="580">
        <f t="shared" si="6"/>
        <v>1096200000</v>
      </c>
      <c r="DG13" s="580">
        <f t="shared" si="6"/>
        <v>1524000000</v>
      </c>
      <c r="DH13" s="580">
        <f t="shared" si="6"/>
        <v>21714000</v>
      </c>
      <c r="DI13" s="580">
        <f t="shared" si="6"/>
        <v>0</v>
      </c>
      <c r="DJ13" s="580">
        <f t="shared" si="6"/>
        <v>193800000</v>
      </c>
      <c r="DK13" s="580">
        <f t="shared" si="6"/>
        <v>0</v>
      </c>
      <c r="DL13" s="580">
        <f t="shared" si="6"/>
        <v>47080000</v>
      </c>
      <c r="DM13" s="580">
        <f>DM19+DM16+DM67+DM25+DM31+DM49+DM55+DM28+DM34+DM40+DM52+DM43+DM61+DM37+DM64+DM76+DM22+DM58+DM46+DM82+DM85+DM79+DM88+DM91+DM94+DM97+DM70+DM73</f>
        <v>3995189118</v>
      </c>
      <c r="DN13" s="580">
        <f t="shared" si="6"/>
        <v>184571400</v>
      </c>
      <c r="DO13" s="580">
        <f t="shared" si="6"/>
        <v>430480670</v>
      </c>
      <c r="DP13" s="580">
        <f t="shared" si="6"/>
        <v>1652350420</v>
      </c>
      <c r="DQ13" s="580">
        <f t="shared" si="6"/>
        <v>3658549728</v>
      </c>
      <c r="DR13" s="580">
        <f t="shared" si="6"/>
        <v>616506600</v>
      </c>
      <c r="DS13" s="580">
        <f>DS19+DS16+DS67+DS25+DS31+DS49+DS55+DS28+DS34+DS40+DS52+DS43+DS61+DS37+DS64+DS76+DS22+DS58+DS46+DS82+DS85+DS79+DS88+DS91+DS94+DS97+DS70+DS73</f>
        <v>5645407000</v>
      </c>
      <c r="DT13" s="580">
        <f t="shared" si="3"/>
        <v>103600000</v>
      </c>
      <c r="DU13" s="580">
        <f t="shared" si="3"/>
        <v>45329040000</v>
      </c>
      <c r="DV13" s="580">
        <f t="shared" si="3"/>
        <v>3962284576</v>
      </c>
      <c r="DW13" s="580">
        <f t="shared" si="3"/>
        <v>3764450220</v>
      </c>
      <c r="DX13" s="580">
        <f t="shared" si="3"/>
        <v>5139055047</v>
      </c>
      <c r="DY13" s="580">
        <f t="shared" si="3"/>
        <v>1388629280</v>
      </c>
      <c r="DZ13" s="580">
        <f t="shared" si="3"/>
        <v>3217746000</v>
      </c>
      <c r="EA13" s="580">
        <f t="shared" si="3"/>
        <v>6409237000</v>
      </c>
      <c r="EB13" s="580">
        <f t="shared" si="3"/>
        <v>22735963000</v>
      </c>
      <c r="EC13" s="580">
        <f t="shared" si="3"/>
        <v>1314429823</v>
      </c>
      <c r="ED13" s="580">
        <f t="shared" si="3"/>
        <v>700000000</v>
      </c>
      <c r="EE13" s="580">
        <f t="shared" si="3"/>
        <v>0</v>
      </c>
      <c r="EF13" s="580">
        <f t="shared" si="3"/>
        <v>920222000</v>
      </c>
      <c r="EG13" s="580">
        <f t="shared" si="3"/>
        <v>3429191152</v>
      </c>
      <c r="EH13" s="580">
        <f t="shared" si="3"/>
        <v>1174088000</v>
      </c>
      <c r="EI13" s="580">
        <f t="shared" si="3"/>
        <v>5611482360</v>
      </c>
      <c r="EJ13" s="580">
        <f t="shared" si="3"/>
        <v>0</v>
      </c>
      <c r="EK13" s="580">
        <f>EK19+EK16+EK67+EK25+EK31+EK49+EK55+EK28+EK34+EK40+EK52+EK43+EK61+EK37+EK64+EK76+EK22+EK58+EK46+EK82+EK85+EK79+EK88+EK91+EK94+EK97+EK70+EK73</f>
        <v>3000000000</v>
      </c>
      <c r="EL13" s="580">
        <f t="shared" si="3"/>
        <v>2150000000</v>
      </c>
      <c r="EM13" s="580">
        <f>EM19+EM16+EM67+EM25+EM31+EM49+EM55+EM28+EM34+EM40+EM52+EM43+EM61+EM37+EM64+EM76+EM22+EM58+EM46+EM82+EM85+EM79+EM88+EM91+EM94+EM97+EM70+EM73</f>
        <v>4420850000</v>
      </c>
      <c r="EN13" s="580">
        <f t="shared" si="3"/>
        <v>44022614329</v>
      </c>
      <c r="EO13" s="580">
        <f t="shared" si="3"/>
        <v>459444450</v>
      </c>
      <c r="EP13" s="580">
        <f t="shared" si="3"/>
        <v>170000000</v>
      </c>
      <c r="EQ13" s="580">
        <f t="shared" si="3"/>
        <v>0</v>
      </c>
      <c r="ER13" s="580">
        <f t="shared" si="3"/>
        <v>59753329013</v>
      </c>
      <c r="ES13" s="580">
        <f>ES19+ES16+ES67+ES25+ES31+ES49+ES55+ES28+ES34+ES40+ES52+ES43+ES61+ES37+ES64+ES76+ES22+ES58+ES46+ES82+ES85+ES79+ES88+ES91+ES94+ES97+ES70+ES73</f>
        <v>0</v>
      </c>
      <c r="ET13" s="580">
        <f t="shared" si="4"/>
        <v>59753329013</v>
      </c>
      <c r="EU13" s="580">
        <f t="shared" si="4"/>
        <v>0</v>
      </c>
      <c r="EV13" s="580">
        <f t="shared" si="4"/>
        <v>0</v>
      </c>
      <c r="EW13" s="580">
        <f t="shared" si="4"/>
        <v>0</v>
      </c>
      <c r="EX13" s="580">
        <f t="shared" si="4"/>
        <v>0</v>
      </c>
      <c r="EY13" s="580">
        <f t="shared" si="4"/>
        <v>0</v>
      </c>
      <c r="EZ13" s="580">
        <f t="shared" si="4"/>
        <v>0</v>
      </c>
      <c r="FA13" s="580">
        <f t="shared" si="4"/>
        <v>0</v>
      </c>
      <c r="FB13" s="580">
        <f t="shared" si="4"/>
        <v>4191536000</v>
      </c>
      <c r="FC13" s="580">
        <f t="shared" si="4"/>
        <v>34884499547</v>
      </c>
      <c r="FD13" s="580">
        <f t="shared" si="4"/>
        <v>0</v>
      </c>
      <c r="FE13" s="580">
        <f t="shared" si="4"/>
        <v>1323768000</v>
      </c>
      <c r="FF13" s="580">
        <f t="shared" si="4"/>
        <v>685210000</v>
      </c>
      <c r="FG13" s="580">
        <f t="shared" si="4"/>
        <v>340256510</v>
      </c>
      <c r="FH13" s="580">
        <f t="shared" si="4"/>
        <v>255129180</v>
      </c>
      <c r="FI13" s="580">
        <f t="shared" si="4"/>
        <v>1783879000</v>
      </c>
      <c r="FJ13" s="580">
        <f t="shared" si="4"/>
        <v>0</v>
      </c>
      <c r="FK13" s="580">
        <f t="shared" si="4"/>
        <v>9300129000</v>
      </c>
      <c r="FL13" s="580">
        <f t="shared" si="4"/>
        <v>0</v>
      </c>
      <c r="FM13" s="580">
        <f t="shared" si="4"/>
        <v>1796150000</v>
      </c>
      <c r="FN13" s="580">
        <f t="shared" si="4"/>
        <v>1785544700</v>
      </c>
      <c r="FO13" s="580">
        <f t="shared" si="4"/>
        <v>0</v>
      </c>
      <c r="FP13" s="580">
        <f t="shared" si="4"/>
        <v>2066149600</v>
      </c>
      <c r="FQ13" s="580">
        <f t="shared" si="4"/>
        <v>1104127476</v>
      </c>
      <c r="FR13" s="580">
        <f t="shared" si="4"/>
        <v>0</v>
      </c>
      <c r="FS13" s="580">
        <f t="shared" si="4"/>
        <v>0</v>
      </c>
      <c r="FT13" s="580">
        <f t="shared" si="4"/>
        <v>200000000</v>
      </c>
      <c r="FU13" s="580">
        <f t="shared" si="4"/>
        <v>36950000</v>
      </c>
      <c r="FV13" s="580">
        <f t="shared" si="4"/>
        <v>101666500</v>
      </c>
      <c r="FW13" s="580">
        <f t="shared" si="4"/>
        <v>0</v>
      </c>
      <c r="FX13" s="580">
        <f t="shared" si="4"/>
        <v>101666500</v>
      </c>
      <c r="FY13" s="580">
        <f t="shared" si="4"/>
        <v>0</v>
      </c>
      <c r="FZ13" s="580">
        <f t="shared" si="4"/>
        <v>6666500</v>
      </c>
      <c r="GA13" s="580">
        <f t="shared" si="4"/>
        <v>95000000</v>
      </c>
      <c r="GB13" s="580">
        <f t="shared" si="4"/>
        <v>105006022926</v>
      </c>
      <c r="GC13" s="581">
        <f>CP13/C13</f>
        <v>0.99368218497608352</v>
      </c>
      <c r="GD13" s="581"/>
      <c r="GE13" s="581">
        <f>CW13/J13</f>
        <v>0.9589377525238848</v>
      </c>
      <c r="GF13" s="581">
        <f>ER13/BE13</f>
        <v>0.41961397129697164</v>
      </c>
      <c r="GG13" s="581">
        <f>FV13/CI13</f>
        <v>1</v>
      </c>
    </row>
    <row r="14" spans="1:189" s="92" customFormat="1" ht="17.25" customHeight="1">
      <c r="A14" s="582">
        <v>1</v>
      </c>
      <c r="B14" s="583" t="s">
        <v>185</v>
      </c>
      <c r="C14" s="584">
        <f t="shared" ref="C14:AU14" si="7">C15+C16</f>
        <v>9684375287</v>
      </c>
      <c r="D14" s="585">
        <f t="shared" si="7"/>
        <v>9684375287</v>
      </c>
      <c r="E14" s="584">
        <f t="shared" si="7"/>
        <v>0</v>
      </c>
      <c r="F14" s="584">
        <f t="shared" si="7"/>
        <v>0</v>
      </c>
      <c r="G14" s="584">
        <f t="shared" si="7"/>
        <v>0</v>
      </c>
      <c r="H14" s="584">
        <f t="shared" si="7"/>
        <v>0</v>
      </c>
      <c r="I14" s="584">
        <f t="shared" si="7"/>
        <v>0</v>
      </c>
      <c r="J14" s="584">
        <f t="shared" si="7"/>
        <v>9684375287</v>
      </c>
      <c r="K14" s="584">
        <f t="shared" si="7"/>
        <v>0</v>
      </c>
      <c r="L14" s="584">
        <f t="shared" si="7"/>
        <v>0</v>
      </c>
      <c r="M14" s="584">
        <f t="shared" si="7"/>
        <v>0</v>
      </c>
      <c r="N14" s="584">
        <f t="shared" si="7"/>
        <v>0</v>
      </c>
      <c r="O14" s="584">
        <f t="shared" si="7"/>
        <v>0</v>
      </c>
      <c r="P14" s="584">
        <f t="shared" si="7"/>
        <v>0</v>
      </c>
      <c r="Q14" s="584">
        <f t="shared" si="7"/>
        <v>0</v>
      </c>
      <c r="R14" s="584">
        <f t="shared" si="7"/>
        <v>0</v>
      </c>
      <c r="S14" s="584">
        <f t="shared" si="7"/>
        <v>0</v>
      </c>
      <c r="T14" s="584">
        <f t="shared" si="7"/>
        <v>0</v>
      </c>
      <c r="U14" s="584">
        <f t="shared" si="7"/>
        <v>0</v>
      </c>
      <c r="V14" s="584">
        <f t="shared" si="7"/>
        <v>0</v>
      </c>
      <c r="W14" s="584">
        <f t="shared" si="7"/>
        <v>0</v>
      </c>
      <c r="X14" s="584">
        <f t="shared" si="7"/>
        <v>0</v>
      </c>
      <c r="Y14" s="584">
        <f t="shared" si="7"/>
        <v>0</v>
      </c>
      <c r="Z14" s="584">
        <f t="shared" si="7"/>
        <v>45005000</v>
      </c>
      <c r="AA14" s="584">
        <f t="shared" si="7"/>
        <v>184571400</v>
      </c>
      <c r="AB14" s="584">
        <f t="shared" si="7"/>
        <v>0</v>
      </c>
      <c r="AC14" s="584">
        <f t="shared" si="7"/>
        <v>0</v>
      </c>
      <c r="AD14" s="584">
        <f t="shared" si="7"/>
        <v>0</v>
      </c>
      <c r="AE14" s="584">
        <f t="shared" si="7"/>
        <v>0</v>
      </c>
      <c r="AF14" s="584">
        <f t="shared" si="7"/>
        <v>0</v>
      </c>
      <c r="AG14" s="584">
        <f t="shared" si="7"/>
        <v>0</v>
      </c>
      <c r="AH14" s="584">
        <f t="shared" si="7"/>
        <v>0</v>
      </c>
      <c r="AI14" s="584">
        <f t="shared" si="7"/>
        <v>0</v>
      </c>
      <c r="AJ14" s="584">
        <f t="shared" si="7"/>
        <v>0</v>
      </c>
      <c r="AK14" s="584">
        <f t="shared" si="7"/>
        <v>0</v>
      </c>
      <c r="AL14" s="584">
        <f t="shared" si="7"/>
        <v>0</v>
      </c>
      <c r="AM14" s="584">
        <f t="shared" si="7"/>
        <v>0</v>
      </c>
      <c r="AN14" s="584">
        <f t="shared" si="7"/>
        <v>0</v>
      </c>
      <c r="AO14" s="584">
        <f t="shared" si="7"/>
        <v>0</v>
      </c>
      <c r="AP14" s="584">
        <f t="shared" si="7"/>
        <v>0</v>
      </c>
      <c r="AQ14" s="584">
        <f t="shared" si="7"/>
        <v>0</v>
      </c>
      <c r="AR14" s="584">
        <f t="shared" si="7"/>
        <v>0</v>
      </c>
      <c r="AS14" s="584">
        <f t="shared" si="7"/>
        <v>0</v>
      </c>
      <c r="AT14" s="584">
        <f t="shared" si="7"/>
        <v>0</v>
      </c>
      <c r="AU14" s="584">
        <f t="shared" si="7"/>
        <v>0</v>
      </c>
      <c r="AV14" s="584">
        <f>AV15+AV16</f>
        <v>0</v>
      </c>
      <c r="AW14" s="584">
        <f>AW15+AW16</f>
        <v>0</v>
      </c>
      <c r="AX14" s="584">
        <f t="shared" ref="AX14:BE14" si="8">AX15+AX16</f>
        <v>0</v>
      </c>
      <c r="AY14" s="584">
        <f t="shared" si="8"/>
        <v>0</v>
      </c>
      <c r="AZ14" s="584">
        <f t="shared" si="8"/>
        <v>0</v>
      </c>
      <c r="BA14" s="584">
        <f t="shared" si="8"/>
        <v>9454798887</v>
      </c>
      <c r="BB14" s="584">
        <f t="shared" si="8"/>
        <v>0</v>
      </c>
      <c r="BC14" s="584">
        <f t="shared" si="8"/>
        <v>0</v>
      </c>
      <c r="BD14" s="584">
        <f t="shared" si="8"/>
        <v>0</v>
      </c>
      <c r="BE14" s="584">
        <f t="shared" si="8"/>
        <v>0</v>
      </c>
      <c r="BF14" s="584">
        <f>BF15+BF16</f>
        <v>0</v>
      </c>
      <c r="BG14" s="584">
        <f>BG15+BG16</f>
        <v>0</v>
      </c>
      <c r="BH14" s="584">
        <f t="shared" ref="BH14:CN14" si="9">BH15+BH16</f>
        <v>0</v>
      </c>
      <c r="BI14" s="584">
        <f t="shared" si="9"/>
        <v>0</v>
      </c>
      <c r="BJ14" s="584">
        <f t="shared" si="9"/>
        <v>0</v>
      </c>
      <c r="BK14" s="584">
        <f t="shared" si="9"/>
        <v>0</v>
      </c>
      <c r="BL14" s="584">
        <f>BL15+BL16</f>
        <v>0</v>
      </c>
      <c r="BM14" s="584">
        <f>BM15+BM16</f>
        <v>0</v>
      </c>
      <c r="BN14" s="584">
        <f t="shared" si="9"/>
        <v>0</v>
      </c>
      <c r="BO14" s="584">
        <f t="shared" si="9"/>
        <v>0</v>
      </c>
      <c r="BP14" s="584">
        <f t="shared" si="9"/>
        <v>0</v>
      </c>
      <c r="BQ14" s="584">
        <f t="shared" si="9"/>
        <v>0</v>
      </c>
      <c r="BR14" s="584">
        <f t="shared" si="9"/>
        <v>0</v>
      </c>
      <c r="BS14" s="584">
        <f t="shared" si="9"/>
        <v>0</v>
      </c>
      <c r="BT14" s="584">
        <f t="shared" si="9"/>
        <v>0</v>
      </c>
      <c r="BU14" s="584">
        <f t="shared" si="9"/>
        <v>0</v>
      </c>
      <c r="BV14" s="584">
        <f t="shared" si="9"/>
        <v>0</v>
      </c>
      <c r="BW14" s="584">
        <f t="shared" si="9"/>
        <v>0</v>
      </c>
      <c r="BX14" s="584">
        <f t="shared" si="9"/>
        <v>0</v>
      </c>
      <c r="BY14" s="584">
        <f t="shared" si="9"/>
        <v>0</v>
      </c>
      <c r="BZ14" s="584">
        <f t="shared" si="9"/>
        <v>0</v>
      </c>
      <c r="CA14" s="584">
        <f t="shared" si="9"/>
        <v>0</v>
      </c>
      <c r="CB14" s="584">
        <f t="shared" si="9"/>
        <v>0</v>
      </c>
      <c r="CC14" s="584">
        <f t="shared" si="9"/>
        <v>0</v>
      </c>
      <c r="CD14" s="584">
        <f t="shared" si="9"/>
        <v>0</v>
      </c>
      <c r="CE14" s="584">
        <f t="shared" si="9"/>
        <v>0</v>
      </c>
      <c r="CF14" s="584">
        <f t="shared" si="9"/>
        <v>0</v>
      </c>
      <c r="CG14" s="584">
        <f t="shared" si="9"/>
        <v>0</v>
      </c>
      <c r="CH14" s="584">
        <f t="shared" si="9"/>
        <v>0</v>
      </c>
      <c r="CI14" s="584">
        <f t="shared" si="9"/>
        <v>0</v>
      </c>
      <c r="CJ14" s="584">
        <f t="shared" si="9"/>
        <v>0</v>
      </c>
      <c r="CK14" s="584">
        <f t="shared" si="9"/>
        <v>0</v>
      </c>
      <c r="CL14" s="584">
        <f t="shared" si="9"/>
        <v>0</v>
      </c>
      <c r="CM14" s="584">
        <f t="shared" si="9"/>
        <v>0</v>
      </c>
      <c r="CN14" s="584">
        <f t="shared" si="9"/>
        <v>0</v>
      </c>
      <c r="CO14" s="583" t="s">
        <v>185</v>
      </c>
      <c r="CP14" s="584">
        <f>CP15+CP16</f>
        <v>9684375287</v>
      </c>
      <c r="CQ14" s="584">
        <f t="shared" ref="CQ14:ER14" si="10">CQ15+CQ16</f>
        <v>9684375287</v>
      </c>
      <c r="CR14" s="584">
        <f t="shared" si="10"/>
        <v>0</v>
      </c>
      <c r="CS14" s="584">
        <f t="shared" si="10"/>
        <v>0</v>
      </c>
      <c r="CT14" s="584">
        <f t="shared" si="10"/>
        <v>0</v>
      </c>
      <c r="CU14" s="584">
        <f t="shared" si="10"/>
        <v>0</v>
      </c>
      <c r="CV14" s="584">
        <f t="shared" si="10"/>
        <v>0</v>
      </c>
      <c r="CW14" s="584">
        <f t="shared" si="10"/>
        <v>9684375287</v>
      </c>
      <c r="CX14" s="584">
        <f t="shared" si="10"/>
        <v>0</v>
      </c>
      <c r="CY14" s="584">
        <f t="shared" si="10"/>
        <v>0</v>
      </c>
      <c r="CZ14" s="584">
        <f t="shared" si="10"/>
        <v>0</v>
      </c>
      <c r="DA14" s="584">
        <f t="shared" si="10"/>
        <v>0</v>
      </c>
      <c r="DB14" s="584">
        <f t="shared" si="10"/>
        <v>0</v>
      </c>
      <c r="DC14" s="584">
        <f t="shared" si="10"/>
        <v>0</v>
      </c>
      <c r="DD14" s="584">
        <f t="shared" si="10"/>
        <v>0</v>
      </c>
      <c r="DE14" s="584">
        <f t="shared" si="10"/>
        <v>0</v>
      </c>
      <c r="DF14" s="584">
        <f t="shared" si="10"/>
        <v>0</v>
      </c>
      <c r="DG14" s="584">
        <f t="shared" si="10"/>
        <v>0</v>
      </c>
      <c r="DH14" s="584">
        <f t="shared" si="10"/>
        <v>0</v>
      </c>
      <c r="DI14" s="584">
        <f t="shared" si="10"/>
        <v>0</v>
      </c>
      <c r="DJ14" s="584">
        <f t="shared" si="10"/>
        <v>0</v>
      </c>
      <c r="DK14" s="584">
        <f t="shared" si="10"/>
        <v>0</v>
      </c>
      <c r="DL14" s="584">
        <f t="shared" si="10"/>
        <v>0</v>
      </c>
      <c r="DM14" s="584">
        <f>DM15+DM16</f>
        <v>45005000</v>
      </c>
      <c r="DN14" s="584">
        <f t="shared" si="10"/>
        <v>184571400</v>
      </c>
      <c r="DO14" s="584">
        <f t="shared" si="10"/>
        <v>0</v>
      </c>
      <c r="DP14" s="584">
        <f t="shared" si="10"/>
        <v>0</v>
      </c>
      <c r="DQ14" s="584">
        <f t="shared" si="10"/>
        <v>0</v>
      </c>
      <c r="DR14" s="584">
        <f t="shared" si="10"/>
        <v>0</v>
      </c>
      <c r="DS14" s="584">
        <f t="shared" si="10"/>
        <v>0</v>
      </c>
      <c r="DT14" s="584">
        <f t="shared" si="10"/>
        <v>0</v>
      </c>
      <c r="DU14" s="584">
        <f t="shared" si="10"/>
        <v>0</v>
      </c>
      <c r="DV14" s="584">
        <f t="shared" si="10"/>
        <v>0</v>
      </c>
      <c r="DW14" s="584">
        <f t="shared" si="10"/>
        <v>0</v>
      </c>
      <c r="DX14" s="584">
        <f t="shared" si="10"/>
        <v>0</v>
      </c>
      <c r="DY14" s="584">
        <f t="shared" si="10"/>
        <v>0</v>
      </c>
      <c r="DZ14" s="584">
        <f t="shared" si="10"/>
        <v>0</v>
      </c>
      <c r="EA14" s="584">
        <f t="shared" si="10"/>
        <v>0</v>
      </c>
      <c r="EB14" s="584">
        <f t="shared" si="10"/>
        <v>0</v>
      </c>
      <c r="EC14" s="584">
        <f t="shared" si="10"/>
        <v>0</v>
      </c>
      <c r="ED14" s="584">
        <f t="shared" si="10"/>
        <v>0</v>
      </c>
      <c r="EE14" s="584">
        <f t="shared" si="10"/>
        <v>0</v>
      </c>
      <c r="EF14" s="584">
        <f t="shared" si="10"/>
        <v>0</v>
      </c>
      <c r="EG14" s="584">
        <f t="shared" si="10"/>
        <v>0</v>
      </c>
      <c r="EH14" s="584">
        <f t="shared" si="10"/>
        <v>0</v>
      </c>
      <c r="EI14" s="584">
        <f>EI15+EI16</f>
        <v>0</v>
      </c>
      <c r="EJ14" s="584">
        <f>EJ15+EJ16</f>
        <v>0</v>
      </c>
      <c r="EK14" s="584">
        <f t="shared" si="10"/>
        <v>0</v>
      </c>
      <c r="EL14" s="584">
        <f t="shared" si="10"/>
        <v>0</v>
      </c>
      <c r="EM14" s="584">
        <f t="shared" si="10"/>
        <v>0</v>
      </c>
      <c r="EN14" s="584">
        <f t="shared" si="10"/>
        <v>9454798887</v>
      </c>
      <c r="EO14" s="584">
        <f t="shared" si="10"/>
        <v>0</v>
      </c>
      <c r="EP14" s="584">
        <f t="shared" si="10"/>
        <v>0</v>
      </c>
      <c r="EQ14" s="584">
        <f t="shared" si="10"/>
        <v>0</v>
      </c>
      <c r="ER14" s="584">
        <f t="shared" si="10"/>
        <v>0</v>
      </c>
      <c r="ES14" s="584">
        <f>ES15+ES16</f>
        <v>0</v>
      </c>
      <c r="ET14" s="584">
        <f>ET15+ET16</f>
        <v>0</v>
      </c>
      <c r="EU14" s="584">
        <f t="shared" ref="EU14:GA14" si="11">EU15+EU16</f>
        <v>0</v>
      </c>
      <c r="EV14" s="584">
        <f t="shared" si="11"/>
        <v>0</v>
      </c>
      <c r="EW14" s="584">
        <f t="shared" si="11"/>
        <v>0</v>
      </c>
      <c r="EX14" s="584">
        <f t="shared" si="11"/>
        <v>0</v>
      </c>
      <c r="EY14" s="584">
        <f>EY15+EY16</f>
        <v>0</v>
      </c>
      <c r="EZ14" s="584">
        <f>EZ15+EZ16</f>
        <v>0</v>
      </c>
      <c r="FA14" s="584">
        <f t="shared" si="11"/>
        <v>0</v>
      </c>
      <c r="FB14" s="584">
        <f t="shared" si="11"/>
        <v>0</v>
      </c>
      <c r="FC14" s="584">
        <f t="shared" si="11"/>
        <v>0</v>
      </c>
      <c r="FD14" s="584">
        <f t="shared" si="11"/>
        <v>0</v>
      </c>
      <c r="FE14" s="584">
        <f t="shared" si="11"/>
        <v>0</v>
      </c>
      <c r="FF14" s="584">
        <f t="shared" si="11"/>
        <v>0</v>
      </c>
      <c r="FG14" s="584">
        <f t="shared" si="11"/>
        <v>0</v>
      </c>
      <c r="FH14" s="584">
        <f t="shared" si="11"/>
        <v>0</v>
      </c>
      <c r="FI14" s="584">
        <f t="shared" si="11"/>
        <v>0</v>
      </c>
      <c r="FJ14" s="584">
        <f t="shared" si="11"/>
        <v>0</v>
      </c>
      <c r="FK14" s="584">
        <f t="shared" si="11"/>
        <v>0</v>
      </c>
      <c r="FL14" s="584">
        <f t="shared" si="11"/>
        <v>0</v>
      </c>
      <c r="FM14" s="584">
        <f t="shared" si="11"/>
        <v>0</v>
      </c>
      <c r="FN14" s="584">
        <f t="shared" si="11"/>
        <v>0</v>
      </c>
      <c r="FO14" s="584">
        <f t="shared" si="11"/>
        <v>0</v>
      </c>
      <c r="FP14" s="584">
        <f t="shared" si="11"/>
        <v>0</v>
      </c>
      <c r="FQ14" s="584">
        <f t="shared" si="11"/>
        <v>0</v>
      </c>
      <c r="FR14" s="584">
        <f t="shared" si="11"/>
        <v>0</v>
      </c>
      <c r="FS14" s="584">
        <f t="shared" si="11"/>
        <v>0</v>
      </c>
      <c r="FT14" s="584">
        <f t="shared" si="11"/>
        <v>0</v>
      </c>
      <c r="FU14" s="584">
        <f t="shared" si="11"/>
        <v>0</v>
      </c>
      <c r="FV14" s="584">
        <f t="shared" si="11"/>
        <v>0</v>
      </c>
      <c r="FW14" s="584">
        <f t="shared" si="11"/>
        <v>0</v>
      </c>
      <c r="FX14" s="584">
        <f t="shared" si="11"/>
        <v>0</v>
      </c>
      <c r="FY14" s="584">
        <f t="shared" si="11"/>
        <v>0</v>
      </c>
      <c r="FZ14" s="584">
        <f t="shared" si="11"/>
        <v>0</v>
      </c>
      <c r="GA14" s="584">
        <f t="shared" si="11"/>
        <v>0</v>
      </c>
      <c r="GB14" s="584">
        <f>GB15+GB16</f>
        <v>0</v>
      </c>
      <c r="GC14" s="586">
        <f>CP14/C14</f>
        <v>1</v>
      </c>
      <c r="GD14" s="581"/>
      <c r="GE14" s="586">
        <f>CW14/J14</f>
        <v>1</v>
      </c>
      <c r="GF14" s="586"/>
      <c r="GG14" s="586"/>
    </row>
    <row r="15" spans="1:189" s="92" customFormat="1" ht="17.25" hidden="1" customHeight="1">
      <c r="A15" s="582"/>
      <c r="B15" s="583" t="s">
        <v>183</v>
      </c>
      <c r="C15" s="584">
        <f>D15+BE15+CI15</f>
        <v>0</v>
      </c>
      <c r="D15" s="584">
        <f>E15+J15</f>
        <v>0</v>
      </c>
      <c r="E15" s="584">
        <f>SUM(F15:I15)</f>
        <v>0</v>
      </c>
      <c r="F15" s="584"/>
      <c r="G15" s="584"/>
      <c r="H15" s="584"/>
      <c r="I15" s="584"/>
      <c r="J15" s="584">
        <f>SUM(K15:BD15)</f>
        <v>0</v>
      </c>
      <c r="K15" s="584"/>
      <c r="L15" s="584"/>
      <c r="M15" s="584"/>
      <c r="N15" s="584"/>
      <c r="O15" s="584"/>
      <c r="P15" s="584"/>
      <c r="Q15" s="584"/>
      <c r="R15" s="584"/>
      <c r="S15" s="584"/>
      <c r="T15" s="584"/>
      <c r="U15" s="584"/>
      <c r="V15" s="584"/>
      <c r="W15" s="584"/>
      <c r="X15" s="584"/>
      <c r="Y15" s="584"/>
      <c r="Z15" s="584"/>
      <c r="AA15" s="584"/>
      <c r="AB15" s="584"/>
      <c r="AC15" s="584"/>
      <c r="AD15" s="584"/>
      <c r="AE15" s="584"/>
      <c r="AF15" s="584"/>
      <c r="AG15" s="584"/>
      <c r="AH15" s="584"/>
      <c r="AI15" s="584"/>
      <c r="AJ15" s="584"/>
      <c r="AK15" s="584"/>
      <c r="AL15" s="584"/>
      <c r="AM15" s="584"/>
      <c r="AN15" s="584"/>
      <c r="AO15" s="584"/>
      <c r="AP15" s="584"/>
      <c r="AQ15" s="584"/>
      <c r="AR15" s="584"/>
      <c r="AS15" s="584"/>
      <c r="AT15" s="584"/>
      <c r="AU15" s="584"/>
      <c r="AV15" s="584"/>
      <c r="AW15" s="584"/>
      <c r="AX15" s="584"/>
      <c r="AY15" s="584"/>
      <c r="AZ15" s="584"/>
      <c r="BA15" s="584"/>
      <c r="BB15" s="584"/>
      <c r="BC15" s="584"/>
      <c r="BD15" s="584"/>
      <c r="BE15" s="584">
        <f>SUM(BF15:BG15)</f>
        <v>0</v>
      </c>
      <c r="BF15" s="584">
        <f>SUM(BH15:BI15)+BJ15+SUM(BL15:BN15)+BW15+CE15</f>
        <v>0</v>
      </c>
      <c r="BG15" s="584">
        <f>BK15+SUM(BO15:BV15)+SUM(BX15:CD15)+SUM(CF15:CH15)</f>
        <v>0</v>
      </c>
      <c r="BH15" s="584"/>
      <c r="BI15" s="584"/>
      <c r="BJ15" s="584"/>
      <c r="BK15" s="584"/>
      <c r="BL15" s="584"/>
      <c r="BM15" s="584"/>
      <c r="BN15" s="584"/>
      <c r="BO15" s="584"/>
      <c r="BP15" s="584"/>
      <c r="BQ15" s="584"/>
      <c r="BR15" s="584"/>
      <c r="BS15" s="584"/>
      <c r="BT15" s="584"/>
      <c r="BU15" s="584"/>
      <c r="BV15" s="584"/>
      <c r="BW15" s="584"/>
      <c r="BX15" s="584"/>
      <c r="BY15" s="584"/>
      <c r="BZ15" s="584"/>
      <c r="CA15" s="584"/>
      <c r="CB15" s="584"/>
      <c r="CC15" s="584"/>
      <c r="CD15" s="584"/>
      <c r="CE15" s="584"/>
      <c r="CF15" s="584"/>
      <c r="CG15" s="584"/>
      <c r="CH15" s="584"/>
      <c r="CI15" s="584">
        <f>SUM(CJ15:CK15)</f>
        <v>0</v>
      </c>
      <c r="CJ15" s="584">
        <f>SUM(CL15:CL15)</f>
        <v>0</v>
      </c>
      <c r="CK15" s="584">
        <f>SUM(CM15:CN15)</f>
        <v>0</v>
      </c>
      <c r="CL15" s="584"/>
      <c r="CM15" s="584"/>
      <c r="CN15" s="584"/>
      <c r="CO15" s="583" t="s">
        <v>183</v>
      </c>
      <c r="CP15" s="584">
        <f>CQ15+ER15+FV15+GB15</f>
        <v>0</v>
      </c>
      <c r="CQ15" s="584">
        <f>CR15+CW15</f>
        <v>0</v>
      </c>
      <c r="CR15" s="584">
        <f>SUM(CS15:CV15)</f>
        <v>0</v>
      </c>
      <c r="CS15" s="584"/>
      <c r="CT15" s="584"/>
      <c r="CU15" s="584"/>
      <c r="CV15" s="584"/>
      <c r="CW15" s="584">
        <f>SUM(CX15:EQ15)</f>
        <v>0</v>
      </c>
      <c r="CX15" s="584"/>
      <c r="CY15" s="584"/>
      <c r="CZ15" s="584"/>
      <c r="DA15" s="584"/>
      <c r="DB15" s="584"/>
      <c r="DC15" s="584"/>
      <c r="DD15" s="584"/>
      <c r="DE15" s="584"/>
      <c r="DF15" s="584"/>
      <c r="DG15" s="584"/>
      <c r="DH15" s="584"/>
      <c r="DI15" s="584"/>
      <c r="DJ15" s="584"/>
      <c r="DK15" s="584"/>
      <c r="DL15" s="584"/>
      <c r="DM15" s="584"/>
      <c r="DN15" s="584"/>
      <c r="DO15" s="584"/>
      <c r="DP15" s="584"/>
      <c r="DQ15" s="584"/>
      <c r="DR15" s="584"/>
      <c r="DS15" s="584"/>
      <c r="DT15" s="584"/>
      <c r="DU15" s="584"/>
      <c r="DV15" s="584"/>
      <c r="DW15" s="584"/>
      <c r="DX15" s="584"/>
      <c r="DY15" s="584"/>
      <c r="DZ15" s="584"/>
      <c r="EA15" s="584"/>
      <c r="EB15" s="584"/>
      <c r="EC15" s="584"/>
      <c r="ED15" s="584"/>
      <c r="EE15" s="584"/>
      <c r="EF15" s="584"/>
      <c r="EG15" s="584"/>
      <c r="EH15" s="584"/>
      <c r="EI15" s="584"/>
      <c r="EJ15" s="584"/>
      <c r="EK15" s="584"/>
      <c r="EL15" s="584"/>
      <c r="EM15" s="584"/>
      <c r="EN15" s="584"/>
      <c r="EO15" s="584"/>
      <c r="EP15" s="584"/>
      <c r="EQ15" s="584"/>
      <c r="ER15" s="584">
        <f>SUM(ES15:ET15)</f>
        <v>0</v>
      </c>
      <c r="ES15" s="584">
        <f>SUM(EU15:EV15)+EW15+SUM(EY15:FA15)+FJ15+FR15</f>
        <v>0</v>
      </c>
      <c r="ET15" s="584">
        <f>EX15+SUM(FB15:FI15)+SUM(FK15:FQ15)+SUM(FS15:FU15)</f>
        <v>0</v>
      </c>
      <c r="EU15" s="584"/>
      <c r="EV15" s="584"/>
      <c r="EW15" s="584"/>
      <c r="EX15" s="584"/>
      <c r="EY15" s="584"/>
      <c r="EZ15" s="584"/>
      <c r="FA15" s="584"/>
      <c r="FB15" s="584"/>
      <c r="FC15" s="584"/>
      <c r="FD15" s="584"/>
      <c r="FE15" s="584"/>
      <c r="FF15" s="584"/>
      <c r="FG15" s="584"/>
      <c r="FH15" s="584"/>
      <c r="FI15" s="584"/>
      <c r="FJ15" s="584"/>
      <c r="FK15" s="584"/>
      <c r="FL15" s="584"/>
      <c r="FM15" s="584"/>
      <c r="FN15" s="584"/>
      <c r="FO15" s="584"/>
      <c r="FP15" s="584"/>
      <c r="FQ15" s="584"/>
      <c r="FR15" s="584"/>
      <c r="FS15" s="584"/>
      <c r="FT15" s="584"/>
      <c r="FU15" s="584"/>
      <c r="FV15" s="584">
        <f>SUM(FW15:FX15)</f>
        <v>0</v>
      </c>
      <c r="FW15" s="584">
        <f>SUM(FY15:FY15)</f>
        <v>0</v>
      </c>
      <c r="FX15" s="584">
        <f>SUM(FZ15:GA15)</f>
        <v>0</v>
      </c>
      <c r="FY15" s="584"/>
      <c r="FZ15" s="584"/>
      <c r="GA15" s="584"/>
      <c r="GB15" s="584"/>
      <c r="GC15" s="586"/>
      <c r="GD15" s="581"/>
      <c r="GE15" s="586"/>
      <c r="GF15" s="586"/>
      <c r="GG15" s="586"/>
    </row>
    <row r="16" spans="1:189" s="92" customFormat="1" ht="17.25" hidden="1" customHeight="1">
      <c r="A16" s="582"/>
      <c r="B16" s="583" t="s">
        <v>184</v>
      </c>
      <c r="C16" s="584">
        <f>D16+BE16+CI16</f>
        <v>9684375287</v>
      </c>
      <c r="D16" s="584">
        <f>E16+J16</f>
        <v>9684375287</v>
      </c>
      <c r="E16" s="584">
        <f>SUM(F16:I16)</f>
        <v>0</v>
      </c>
      <c r="F16" s="584"/>
      <c r="G16" s="584"/>
      <c r="H16" s="584"/>
      <c r="I16" s="584"/>
      <c r="J16" s="584">
        <f>SUM(K16:BD16)</f>
        <v>9684375287</v>
      </c>
      <c r="K16" s="584"/>
      <c r="L16" s="584"/>
      <c r="M16" s="584"/>
      <c r="N16" s="584"/>
      <c r="O16" s="584"/>
      <c r="P16" s="584"/>
      <c r="Q16" s="584"/>
      <c r="R16" s="584"/>
      <c r="S16" s="584"/>
      <c r="T16" s="584"/>
      <c r="U16" s="584"/>
      <c r="V16" s="584"/>
      <c r="W16" s="584"/>
      <c r="X16" s="584"/>
      <c r="Y16" s="584"/>
      <c r="Z16" s="584">
        <v>45005000</v>
      </c>
      <c r="AA16" s="584">
        <v>184571400</v>
      </c>
      <c r="AB16" s="584"/>
      <c r="AC16" s="584"/>
      <c r="AD16" s="584"/>
      <c r="AE16" s="584"/>
      <c r="AF16" s="584"/>
      <c r="AG16" s="584"/>
      <c r="AH16" s="584"/>
      <c r="AI16" s="584"/>
      <c r="AJ16" s="584"/>
      <c r="AK16" s="584"/>
      <c r="AL16" s="584"/>
      <c r="AM16" s="584"/>
      <c r="AN16" s="584"/>
      <c r="AO16" s="584"/>
      <c r="AP16" s="584"/>
      <c r="AQ16" s="584"/>
      <c r="AR16" s="584"/>
      <c r="AS16" s="584"/>
      <c r="AT16" s="584"/>
      <c r="AU16" s="584"/>
      <c r="AV16" s="584"/>
      <c r="AW16" s="584"/>
      <c r="AX16" s="584"/>
      <c r="AY16" s="584"/>
      <c r="AZ16" s="584"/>
      <c r="BA16" s="584">
        <v>9454798887</v>
      </c>
      <c r="BB16" s="584"/>
      <c r="BC16" s="584"/>
      <c r="BD16" s="584"/>
      <c r="BE16" s="584">
        <f>SUM(BF16:BG16)</f>
        <v>0</v>
      </c>
      <c r="BF16" s="584">
        <f>SUM(BH16:BI16)+BJ16+SUM(BL16:BN16)+BW16+CE16</f>
        <v>0</v>
      </c>
      <c r="BG16" s="584">
        <f>BK16+SUM(BO16:BV16)+SUM(BX16:CD16)+SUM(CF16:CH16)</f>
        <v>0</v>
      </c>
      <c r="BH16" s="584"/>
      <c r="BI16" s="584"/>
      <c r="BJ16" s="584"/>
      <c r="BK16" s="584"/>
      <c r="BL16" s="584"/>
      <c r="BM16" s="584"/>
      <c r="BN16" s="584"/>
      <c r="BO16" s="584"/>
      <c r="BP16" s="584"/>
      <c r="BQ16" s="584"/>
      <c r="BR16" s="584"/>
      <c r="BS16" s="584"/>
      <c r="BT16" s="584"/>
      <c r="BU16" s="584"/>
      <c r="BV16" s="584"/>
      <c r="BW16" s="584"/>
      <c r="BX16" s="584"/>
      <c r="BY16" s="584"/>
      <c r="BZ16" s="584"/>
      <c r="CA16" s="584"/>
      <c r="CB16" s="584"/>
      <c r="CC16" s="584"/>
      <c r="CD16" s="584"/>
      <c r="CE16" s="584"/>
      <c r="CF16" s="584"/>
      <c r="CG16" s="584"/>
      <c r="CH16" s="584"/>
      <c r="CI16" s="584">
        <f>SUM(CJ16:CK16)</f>
        <v>0</v>
      </c>
      <c r="CJ16" s="584">
        <f>SUM(CL16:CL16)</f>
        <v>0</v>
      </c>
      <c r="CK16" s="584">
        <f>SUM(CM16:CN16)</f>
        <v>0</v>
      </c>
      <c r="CL16" s="584"/>
      <c r="CM16" s="584"/>
      <c r="CN16" s="584"/>
      <c r="CO16" s="583" t="s">
        <v>184</v>
      </c>
      <c r="CP16" s="584">
        <f>CQ16+ER16+FV16+GB16</f>
        <v>9684375287</v>
      </c>
      <c r="CQ16" s="584">
        <f>CR16+CW16</f>
        <v>9684375287</v>
      </c>
      <c r="CR16" s="584">
        <f>SUM(CS16:CV16)</f>
        <v>0</v>
      </c>
      <c r="CS16" s="584"/>
      <c r="CT16" s="584"/>
      <c r="CU16" s="584"/>
      <c r="CV16" s="584"/>
      <c r="CW16" s="584">
        <f>SUM(CX16:EQ16)</f>
        <v>9684375287</v>
      </c>
      <c r="CX16" s="584"/>
      <c r="CY16" s="584"/>
      <c r="CZ16" s="584"/>
      <c r="DA16" s="584"/>
      <c r="DB16" s="584"/>
      <c r="DC16" s="584"/>
      <c r="DD16" s="584"/>
      <c r="DE16" s="584"/>
      <c r="DF16" s="584"/>
      <c r="DG16" s="584"/>
      <c r="DH16" s="584"/>
      <c r="DI16" s="584"/>
      <c r="DJ16" s="584"/>
      <c r="DK16" s="584"/>
      <c r="DL16" s="584"/>
      <c r="DM16" s="584">
        <v>45005000</v>
      </c>
      <c r="DN16" s="584">
        <v>184571400</v>
      </c>
      <c r="DO16" s="584"/>
      <c r="DP16" s="584"/>
      <c r="DQ16" s="584"/>
      <c r="DR16" s="584"/>
      <c r="DS16" s="584"/>
      <c r="DT16" s="584"/>
      <c r="DU16" s="584"/>
      <c r="DV16" s="584"/>
      <c r="DW16" s="584"/>
      <c r="DX16" s="584"/>
      <c r="DY16" s="584"/>
      <c r="DZ16" s="584"/>
      <c r="EA16" s="584"/>
      <c r="EB16" s="584"/>
      <c r="EC16" s="584"/>
      <c r="ED16" s="584"/>
      <c r="EE16" s="584"/>
      <c r="EF16" s="584"/>
      <c r="EG16" s="584"/>
      <c r="EH16" s="584"/>
      <c r="EI16" s="584"/>
      <c r="EJ16" s="584"/>
      <c r="EK16" s="584"/>
      <c r="EL16" s="584"/>
      <c r="EM16" s="584"/>
      <c r="EN16" s="584">
        <v>9454798887</v>
      </c>
      <c r="EO16" s="584"/>
      <c r="EP16" s="584"/>
      <c r="EQ16" s="584"/>
      <c r="ER16" s="584">
        <f>SUM(ES16:ET16)</f>
        <v>0</v>
      </c>
      <c r="ES16" s="584">
        <f>SUM(EU16:EV16)+EW16+SUM(EY16:FA16)+FJ16+FR16</f>
        <v>0</v>
      </c>
      <c r="ET16" s="584">
        <f>EX16+SUM(FB16:FI16)+SUM(FK16:FQ16)+SUM(FS16:FU16)</f>
        <v>0</v>
      </c>
      <c r="EU16" s="584"/>
      <c r="EV16" s="584"/>
      <c r="EW16" s="584"/>
      <c r="EX16" s="584"/>
      <c r="EY16" s="584"/>
      <c r="EZ16" s="584"/>
      <c r="FA16" s="584"/>
      <c r="FB16" s="584"/>
      <c r="FC16" s="584"/>
      <c r="FD16" s="584"/>
      <c r="FE16" s="584"/>
      <c r="FF16" s="584"/>
      <c r="FG16" s="584"/>
      <c r="FH16" s="584"/>
      <c r="FI16" s="584"/>
      <c r="FJ16" s="584"/>
      <c r="FK16" s="584"/>
      <c r="FL16" s="584"/>
      <c r="FM16" s="584"/>
      <c r="FN16" s="584"/>
      <c r="FO16" s="584"/>
      <c r="FP16" s="584"/>
      <c r="FQ16" s="584"/>
      <c r="FR16" s="584"/>
      <c r="FS16" s="584"/>
      <c r="FT16" s="584"/>
      <c r="FU16" s="584"/>
      <c r="FV16" s="584">
        <f>SUM(FW16:FX16)</f>
        <v>0</v>
      </c>
      <c r="FW16" s="584">
        <f>SUM(FY16:FY16)</f>
        <v>0</v>
      </c>
      <c r="FX16" s="584">
        <f>SUM(FZ16:GA16)</f>
        <v>0</v>
      </c>
      <c r="FY16" s="584"/>
      <c r="FZ16" s="584"/>
      <c r="GA16" s="584"/>
      <c r="GB16" s="584"/>
      <c r="GC16" s="586">
        <f>CP16/C16</f>
        <v>1</v>
      </c>
      <c r="GD16" s="581"/>
      <c r="GE16" s="586">
        <f>CW16/J16</f>
        <v>1</v>
      </c>
      <c r="GF16" s="586"/>
      <c r="GG16" s="586"/>
    </row>
    <row r="17" spans="1:189" s="92" customFormat="1" ht="17.25" customHeight="1">
      <c r="A17" s="582">
        <v>2</v>
      </c>
      <c r="B17" s="583" t="s">
        <v>182</v>
      </c>
      <c r="C17" s="587">
        <f>C18+C19</f>
        <v>11699483586</v>
      </c>
      <c r="D17" s="587">
        <f t="shared" ref="D17:BO17" si="12">D18+D19</f>
        <v>11699483586</v>
      </c>
      <c r="E17" s="587">
        <f t="shared" si="12"/>
        <v>0</v>
      </c>
      <c r="F17" s="587">
        <f t="shared" si="12"/>
        <v>0</v>
      </c>
      <c r="G17" s="587">
        <f t="shared" si="12"/>
        <v>0</v>
      </c>
      <c r="H17" s="587">
        <f t="shared" si="12"/>
        <v>0</v>
      </c>
      <c r="I17" s="587">
        <f t="shared" si="12"/>
        <v>0</v>
      </c>
      <c r="J17" s="587">
        <f t="shared" si="12"/>
        <v>11699483586</v>
      </c>
      <c r="K17" s="587">
        <f t="shared" si="12"/>
        <v>0</v>
      </c>
      <c r="L17" s="587">
        <f t="shared" si="12"/>
        <v>0</v>
      </c>
      <c r="M17" s="587">
        <f t="shared" si="12"/>
        <v>0</v>
      </c>
      <c r="N17" s="587">
        <f t="shared" si="12"/>
        <v>0</v>
      </c>
      <c r="O17" s="587">
        <f t="shared" si="12"/>
        <v>0</v>
      </c>
      <c r="P17" s="587">
        <f t="shared" si="12"/>
        <v>0</v>
      </c>
      <c r="Q17" s="587">
        <f t="shared" si="12"/>
        <v>0</v>
      </c>
      <c r="R17" s="587">
        <f t="shared" si="12"/>
        <v>0</v>
      </c>
      <c r="S17" s="587">
        <f t="shared" si="12"/>
        <v>0</v>
      </c>
      <c r="T17" s="587">
        <f t="shared" si="12"/>
        <v>0</v>
      </c>
      <c r="U17" s="587">
        <f t="shared" si="12"/>
        <v>0</v>
      </c>
      <c r="V17" s="587">
        <f t="shared" si="12"/>
        <v>0</v>
      </c>
      <c r="W17" s="587">
        <f t="shared" si="12"/>
        <v>0</v>
      </c>
      <c r="X17" s="587">
        <f t="shared" si="12"/>
        <v>0</v>
      </c>
      <c r="Y17" s="587">
        <f t="shared" si="12"/>
        <v>0</v>
      </c>
      <c r="Z17" s="587">
        <f t="shared" si="12"/>
        <v>30930000</v>
      </c>
      <c r="AA17" s="587">
        <f t="shared" si="12"/>
        <v>0</v>
      </c>
      <c r="AB17" s="587">
        <f t="shared" si="12"/>
        <v>0</v>
      </c>
      <c r="AC17" s="587">
        <f t="shared" si="12"/>
        <v>0</v>
      </c>
      <c r="AD17" s="587">
        <f t="shared" si="12"/>
        <v>0</v>
      </c>
      <c r="AE17" s="587">
        <f t="shared" si="12"/>
        <v>0</v>
      </c>
      <c r="AF17" s="587">
        <f t="shared" si="12"/>
        <v>0</v>
      </c>
      <c r="AG17" s="587">
        <f t="shared" si="12"/>
        <v>0</v>
      </c>
      <c r="AH17" s="587">
        <f t="shared" si="12"/>
        <v>0</v>
      </c>
      <c r="AI17" s="587">
        <f t="shared" si="12"/>
        <v>0</v>
      </c>
      <c r="AJ17" s="587">
        <f t="shared" si="12"/>
        <v>0</v>
      </c>
      <c r="AK17" s="587">
        <f t="shared" si="12"/>
        <v>0</v>
      </c>
      <c r="AL17" s="587">
        <f t="shared" si="12"/>
        <v>0</v>
      </c>
      <c r="AM17" s="587">
        <f t="shared" si="12"/>
        <v>0</v>
      </c>
      <c r="AN17" s="587">
        <f t="shared" si="12"/>
        <v>0</v>
      </c>
      <c r="AO17" s="587">
        <f t="shared" si="12"/>
        <v>0</v>
      </c>
      <c r="AP17" s="587">
        <f t="shared" si="12"/>
        <v>0</v>
      </c>
      <c r="AQ17" s="587">
        <f t="shared" si="12"/>
        <v>0</v>
      </c>
      <c r="AR17" s="587">
        <f t="shared" si="12"/>
        <v>0</v>
      </c>
      <c r="AS17" s="587">
        <f t="shared" si="12"/>
        <v>0</v>
      </c>
      <c r="AT17" s="587">
        <f t="shared" si="12"/>
        <v>0</v>
      </c>
      <c r="AU17" s="587">
        <f t="shared" si="12"/>
        <v>0</v>
      </c>
      <c r="AV17" s="587">
        <f t="shared" si="12"/>
        <v>0</v>
      </c>
      <c r="AW17" s="587">
        <f>AW18+AW19</f>
        <v>0</v>
      </c>
      <c r="AX17" s="587">
        <f t="shared" si="12"/>
        <v>0</v>
      </c>
      <c r="AY17" s="587">
        <f t="shared" si="12"/>
        <v>0</v>
      </c>
      <c r="AZ17" s="587">
        <f t="shared" si="12"/>
        <v>0</v>
      </c>
      <c r="BA17" s="587">
        <f t="shared" si="12"/>
        <v>11388481586</v>
      </c>
      <c r="BB17" s="587">
        <f t="shared" si="12"/>
        <v>280072000</v>
      </c>
      <c r="BC17" s="587">
        <f t="shared" si="12"/>
        <v>0</v>
      </c>
      <c r="BD17" s="587">
        <f t="shared" si="12"/>
        <v>0</v>
      </c>
      <c r="BE17" s="587">
        <f t="shared" si="12"/>
        <v>0</v>
      </c>
      <c r="BF17" s="587">
        <f t="shared" si="12"/>
        <v>0</v>
      </c>
      <c r="BG17" s="587">
        <f t="shared" si="12"/>
        <v>0</v>
      </c>
      <c r="BH17" s="587">
        <f t="shared" si="12"/>
        <v>0</v>
      </c>
      <c r="BI17" s="587">
        <f t="shared" si="12"/>
        <v>0</v>
      </c>
      <c r="BJ17" s="587">
        <f t="shared" si="12"/>
        <v>0</v>
      </c>
      <c r="BK17" s="587">
        <f t="shared" si="12"/>
        <v>0</v>
      </c>
      <c r="BL17" s="587">
        <f>BL18+BL19</f>
        <v>0</v>
      </c>
      <c r="BM17" s="587">
        <f>BM18+BM19</f>
        <v>0</v>
      </c>
      <c r="BN17" s="587">
        <f t="shared" si="12"/>
        <v>0</v>
      </c>
      <c r="BO17" s="587">
        <f t="shared" si="12"/>
        <v>0</v>
      </c>
      <c r="BP17" s="587">
        <f t="shared" ref="BP17:CN17" si="13">BP18+BP19</f>
        <v>0</v>
      </c>
      <c r="BQ17" s="587">
        <f t="shared" si="13"/>
        <v>0</v>
      </c>
      <c r="BR17" s="587">
        <f t="shared" si="13"/>
        <v>0</v>
      </c>
      <c r="BS17" s="587">
        <f t="shared" si="13"/>
        <v>0</v>
      </c>
      <c r="BT17" s="587">
        <f t="shared" si="13"/>
        <v>0</v>
      </c>
      <c r="BU17" s="587">
        <f t="shared" si="13"/>
        <v>0</v>
      </c>
      <c r="BV17" s="587">
        <f t="shared" si="13"/>
        <v>0</v>
      </c>
      <c r="BW17" s="587">
        <f t="shared" si="13"/>
        <v>0</v>
      </c>
      <c r="BX17" s="587">
        <f t="shared" si="13"/>
        <v>0</v>
      </c>
      <c r="BY17" s="587">
        <f t="shared" si="13"/>
        <v>0</v>
      </c>
      <c r="BZ17" s="587">
        <f t="shared" si="13"/>
        <v>0</v>
      </c>
      <c r="CA17" s="587">
        <f t="shared" si="13"/>
        <v>0</v>
      </c>
      <c r="CB17" s="587">
        <f t="shared" si="13"/>
        <v>0</v>
      </c>
      <c r="CC17" s="587">
        <f t="shared" si="13"/>
        <v>0</v>
      </c>
      <c r="CD17" s="587">
        <f t="shared" si="13"/>
        <v>0</v>
      </c>
      <c r="CE17" s="587">
        <f t="shared" si="13"/>
        <v>0</v>
      </c>
      <c r="CF17" s="587">
        <f t="shared" si="13"/>
        <v>0</v>
      </c>
      <c r="CG17" s="587">
        <f t="shared" si="13"/>
        <v>0</v>
      </c>
      <c r="CH17" s="587">
        <f t="shared" si="13"/>
        <v>0</v>
      </c>
      <c r="CI17" s="587">
        <f t="shared" si="13"/>
        <v>0</v>
      </c>
      <c r="CJ17" s="587">
        <f t="shared" si="13"/>
        <v>0</v>
      </c>
      <c r="CK17" s="587">
        <f t="shared" si="13"/>
        <v>0</v>
      </c>
      <c r="CL17" s="587">
        <f t="shared" si="13"/>
        <v>0</v>
      </c>
      <c r="CM17" s="587">
        <f t="shared" si="13"/>
        <v>0</v>
      </c>
      <c r="CN17" s="587">
        <f t="shared" si="13"/>
        <v>0</v>
      </c>
      <c r="CO17" s="583" t="s">
        <v>182</v>
      </c>
      <c r="CP17" s="587">
        <f>CP18+CP19</f>
        <v>11699483586</v>
      </c>
      <c r="CQ17" s="587">
        <f t="shared" ref="CQ17:FB17" si="14">CQ18+CQ19</f>
        <v>11699483586</v>
      </c>
      <c r="CR17" s="587">
        <f t="shared" si="14"/>
        <v>0</v>
      </c>
      <c r="CS17" s="587">
        <f t="shared" si="14"/>
        <v>0</v>
      </c>
      <c r="CT17" s="587">
        <f t="shared" si="14"/>
        <v>0</v>
      </c>
      <c r="CU17" s="587">
        <f t="shared" si="14"/>
        <v>0</v>
      </c>
      <c r="CV17" s="587">
        <f t="shared" si="14"/>
        <v>0</v>
      </c>
      <c r="CW17" s="587">
        <f t="shared" si="14"/>
        <v>11699483586</v>
      </c>
      <c r="CX17" s="587">
        <f t="shared" si="14"/>
        <v>0</v>
      </c>
      <c r="CY17" s="587">
        <f t="shared" si="14"/>
        <v>0</v>
      </c>
      <c r="CZ17" s="587">
        <f t="shared" si="14"/>
        <v>0</v>
      </c>
      <c r="DA17" s="587">
        <f t="shared" si="14"/>
        <v>0</v>
      </c>
      <c r="DB17" s="587">
        <f t="shared" si="14"/>
        <v>0</v>
      </c>
      <c r="DC17" s="587">
        <f t="shared" si="14"/>
        <v>0</v>
      </c>
      <c r="DD17" s="587">
        <f t="shared" si="14"/>
        <v>0</v>
      </c>
      <c r="DE17" s="587">
        <f t="shared" si="14"/>
        <v>0</v>
      </c>
      <c r="DF17" s="587">
        <f t="shared" si="14"/>
        <v>0</v>
      </c>
      <c r="DG17" s="587">
        <f t="shared" si="14"/>
        <v>0</v>
      </c>
      <c r="DH17" s="587">
        <f t="shared" si="14"/>
        <v>0</v>
      </c>
      <c r="DI17" s="587">
        <f t="shared" si="14"/>
        <v>0</v>
      </c>
      <c r="DJ17" s="587">
        <f t="shared" si="14"/>
        <v>0</v>
      </c>
      <c r="DK17" s="587">
        <f t="shared" si="14"/>
        <v>0</v>
      </c>
      <c r="DL17" s="587">
        <f t="shared" si="14"/>
        <v>0</v>
      </c>
      <c r="DM17" s="587">
        <f t="shared" si="14"/>
        <v>30930000</v>
      </c>
      <c r="DN17" s="587">
        <f t="shared" si="14"/>
        <v>0</v>
      </c>
      <c r="DO17" s="587">
        <f t="shared" si="14"/>
        <v>0</v>
      </c>
      <c r="DP17" s="587">
        <f t="shared" si="14"/>
        <v>0</v>
      </c>
      <c r="DQ17" s="587">
        <f t="shared" si="14"/>
        <v>0</v>
      </c>
      <c r="DR17" s="587">
        <f t="shared" si="14"/>
        <v>0</v>
      </c>
      <c r="DS17" s="587">
        <f t="shared" si="14"/>
        <v>0</v>
      </c>
      <c r="DT17" s="587">
        <f t="shared" si="14"/>
        <v>0</v>
      </c>
      <c r="DU17" s="587">
        <f t="shared" si="14"/>
        <v>0</v>
      </c>
      <c r="DV17" s="587">
        <f t="shared" si="14"/>
        <v>0</v>
      </c>
      <c r="DW17" s="587">
        <f t="shared" si="14"/>
        <v>0</v>
      </c>
      <c r="DX17" s="587">
        <f t="shared" si="14"/>
        <v>0</v>
      </c>
      <c r="DY17" s="587">
        <f t="shared" si="14"/>
        <v>0</v>
      </c>
      <c r="DZ17" s="587">
        <f t="shared" si="14"/>
        <v>0</v>
      </c>
      <c r="EA17" s="587">
        <f t="shared" si="14"/>
        <v>0</v>
      </c>
      <c r="EB17" s="587">
        <f t="shared" si="14"/>
        <v>0</v>
      </c>
      <c r="EC17" s="587">
        <f t="shared" si="14"/>
        <v>0</v>
      </c>
      <c r="ED17" s="587">
        <f t="shared" si="14"/>
        <v>0</v>
      </c>
      <c r="EE17" s="587">
        <f t="shared" si="14"/>
        <v>0</v>
      </c>
      <c r="EF17" s="587">
        <f t="shared" si="14"/>
        <v>0</v>
      </c>
      <c r="EG17" s="587">
        <f t="shared" si="14"/>
        <v>0</v>
      </c>
      <c r="EH17" s="587">
        <f t="shared" si="14"/>
        <v>0</v>
      </c>
      <c r="EI17" s="587">
        <f t="shared" si="14"/>
        <v>0</v>
      </c>
      <c r="EJ17" s="587">
        <f>EJ18+EJ19</f>
        <v>0</v>
      </c>
      <c r="EK17" s="587">
        <f t="shared" si="14"/>
        <v>0</v>
      </c>
      <c r="EL17" s="587">
        <f t="shared" si="14"/>
        <v>0</v>
      </c>
      <c r="EM17" s="587">
        <f t="shared" si="14"/>
        <v>0</v>
      </c>
      <c r="EN17" s="587">
        <f t="shared" si="14"/>
        <v>11388481586</v>
      </c>
      <c r="EO17" s="587">
        <f t="shared" si="14"/>
        <v>280072000</v>
      </c>
      <c r="EP17" s="587">
        <f t="shared" si="14"/>
        <v>0</v>
      </c>
      <c r="EQ17" s="587">
        <f t="shared" si="14"/>
        <v>0</v>
      </c>
      <c r="ER17" s="587">
        <f t="shared" si="14"/>
        <v>0</v>
      </c>
      <c r="ES17" s="587">
        <f t="shared" si="14"/>
        <v>0</v>
      </c>
      <c r="ET17" s="587">
        <f t="shared" si="14"/>
        <v>0</v>
      </c>
      <c r="EU17" s="587">
        <f t="shared" si="14"/>
        <v>0</v>
      </c>
      <c r="EV17" s="587">
        <f t="shared" si="14"/>
        <v>0</v>
      </c>
      <c r="EW17" s="587">
        <f t="shared" si="14"/>
        <v>0</v>
      </c>
      <c r="EX17" s="587">
        <f t="shared" si="14"/>
        <v>0</v>
      </c>
      <c r="EY17" s="587">
        <f>EY18+EY19</f>
        <v>0</v>
      </c>
      <c r="EZ17" s="587">
        <f>EZ18+EZ19</f>
        <v>0</v>
      </c>
      <c r="FA17" s="587">
        <f t="shared" si="14"/>
        <v>0</v>
      </c>
      <c r="FB17" s="587">
        <f t="shared" si="14"/>
        <v>0</v>
      </c>
      <c r="FC17" s="587">
        <f t="shared" ref="FC17:GB17" si="15">FC18+FC19</f>
        <v>0</v>
      </c>
      <c r="FD17" s="587">
        <f t="shared" si="15"/>
        <v>0</v>
      </c>
      <c r="FE17" s="587">
        <f t="shared" si="15"/>
        <v>0</v>
      </c>
      <c r="FF17" s="587">
        <f t="shared" si="15"/>
        <v>0</v>
      </c>
      <c r="FG17" s="587">
        <f t="shared" si="15"/>
        <v>0</v>
      </c>
      <c r="FH17" s="587">
        <f t="shared" si="15"/>
        <v>0</v>
      </c>
      <c r="FI17" s="587">
        <f t="shared" si="15"/>
        <v>0</v>
      </c>
      <c r="FJ17" s="587">
        <f t="shared" si="15"/>
        <v>0</v>
      </c>
      <c r="FK17" s="587">
        <f t="shared" si="15"/>
        <v>0</v>
      </c>
      <c r="FL17" s="587">
        <f t="shared" si="15"/>
        <v>0</v>
      </c>
      <c r="FM17" s="587">
        <f t="shared" si="15"/>
        <v>0</v>
      </c>
      <c r="FN17" s="587">
        <f t="shared" si="15"/>
        <v>0</v>
      </c>
      <c r="FO17" s="587">
        <f t="shared" si="15"/>
        <v>0</v>
      </c>
      <c r="FP17" s="587">
        <f t="shared" si="15"/>
        <v>0</v>
      </c>
      <c r="FQ17" s="587">
        <f t="shared" si="15"/>
        <v>0</v>
      </c>
      <c r="FR17" s="587">
        <f t="shared" si="15"/>
        <v>0</v>
      </c>
      <c r="FS17" s="587">
        <f t="shared" si="15"/>
        <v>0</v>
      </c>
      <c r="FT17" s="587">
        <f t="shared" si="15"/>
        <v>0</v>
      </c>
      <c r="FU17" s="587">
        <f t="shared" si="15"/>
        <v>0</v>
      </c>
      <c r="FV17" s="587">
        <f t="shared" si="15"/>
        <v>0</v>
      </c>
      <c r="FW17" s="587">
        <f t="shared" si="15"/>
        <v>0</v>
      </c>
      <c r="FX17" s="587">
        <f t="shared" si="15"/>
        <v>0</v>
      </c>
      <c r="FY17" s="587">
        <f t="shared" si="15"/>
        <v>0</v>
      </c>
      <c r="FZ17" s="587">
        <f t="shared" si="15"/>
        <v>0</v>
      </c>
      <c r="GA17" s="587">
        <f t="shared" si="15"/>
        <v>0</v>
      </c>
      <c r="GB17" s="587">
        <f t="shared" si="15"/>
        <v>0</v>
      </c>
      <c r="GC17" s="586">
        <f>CP17/C17</f>
        <v>1</v>
      </c>
      <c r="GD17" s="581"/>
      <c r="GE17" s="586">
        <f>CW17/J17</f>
        <v>1</v>
      </c>
      <c r="GF17" s="586"/>
      <c r="GG17" s="586"/>
    </row>
    <row r="18" spans="1:189" s="92" customFormat="1" ht="17.25" hidden="1" customHeight="1">
      <c r="A18" s="582"/>
      <c r="B18" s="583" t="s">
        <v>183</v>
      </c>
      <c r="C18" s="584">
        <f>D18+BE18+CI18</f>
        <v>0</v>
      </c>
      <c r="D18" s="584">
        <f>E18+J18</f>
        <v>0</v>
      </c>
      <c r="E18" s="584">
        <f>SUM(F18:I18)</f>
        <v>0</v>
      </c>
      <c r="F18" s="584"/>
      <c r="G18" s="584"/>
      <c r="H18" s="584"/>
      <c r="I18" s="584"/>
      <c r="J18" s="584">
        <f>SUM(K18:BD18)</f>
        <v>0</v>
      </c>
      <c r="K18" s="584"/>
      <c r="L18" s="584"/>
      <c r="M18" s="584"/>
      <c r="N18" s="584"/>
      <c r="O18" s="584"/>
      <c r="P18" s="584"/>
      <c r="Q18" s="584"/>
      <c r="R18" s="584"/>
      <c r="S18" s="584"/>
      <c r="T18" s="584"/>
      <c r="U18" s="584"/>
      <c r="V18" s="584"/>
      <c r="W18" s="584"/>
      <c r="X18" s="584"/>
      <c r="Y18" s="584"/>
      <c r="Z18" s="584"/>
      <c r="AA18" s="584"/>
      <c r="AB18" s="584"/>
      <c r="AC18" s="584"/>
      <c r="AD18" s="584"/>
      <c r="AE18" s="584"/>
      <c r="AF18" s="584"/>
      <c r="AG18" s="584"/>
      <c r="AH18" s="584"/>
      <c r="AI18" s="584"/>
      <c r="AJ18" s="584"/>
      <c r="AK18" s="584"/>
      <c r="AL18" s="584"/>
      <c r="AM18" s="584"/>
      <c r="AN18" s="584"/>
      <c r="AO18" s="584"/>
      <c r="AP18" s="584"/>
      <c r="AQ18" s="584"/>
      <c r="AR18" s="584"/>
      <c r="AS18" s="584"/>
      <c r="AT18" s="584"/>
      <c r="AU18" s="584"/>
      <c r="AV18" s="584"/>
      <c r="AW18" s="584"/>
      <c r="AX18" s="584"/>
      <c r="AY18" s="584"/>
      <c r="AZ18" s="584"/>
      <c r="BA18" s="584"/>
      <c r="BB18" s="584"/>
      <c r="BC18" s="584"/>
      <c r="BD18" s="584"/>
      <c r="BE18" s="584">
        <f>SUM(BF18:BG18)</f>
        <v>0</v>
      </c>
      <c r="BF18" s="584">
        <f>SUM(BH18:BI18)+BJ18+SUM(BL18:BN18)+BW18+CE18</f>
        <v>0</v>
      </c>
      <c r="BG18" s="584">
        <f>BK18+SUM(BO18:BV18)+SUM(BX18:CD18)+SUM(CF18:CH18)</f>
        <v>0</v>
      </c>
      <c r="BH18" s="584"/>
      <c r="BI18" s="584"/>
      <c r="BJ18" s="584"/>
      <c r="BK18" s="584"/>
      <c r="BL18" s="584"/>
      <c r="BM18" s="584"/>
      <c r="BN18" s="584"/>
      <c r="BO18" s="584"/>
      <c r="BP18" s="584"/>
      <c r="BQ18" s="584"/>
      <c r="BR18" s="584"/>
      <c r="BS18" s="584"/>
      <c r="BT18" s="584"/>
      <c r="BU18" s="584"/>
      <c r="BV18" s="584"/>
      <c r="BW18" s="584"/>
      <c r="BX18" s="584"/>
      <c r="BY18" s="584"/>
      <c r="BZ18" s="584"/>
      <c r="CA18" s="584"/>
      <c r="CB18" s="584"/>
      <c r="CC18" s="584"/>
      <c r="CD18" s="584"/>
      <c r="CE18" s="584"/>
      <c r="CF18" s="584"/>
      <c r="CG18" s="584"/>
      <c r="CH18" s="584"/>
      <c r="CI18" s="584">
        <f>SUM(CJ18:CK18)</f>
        <v>0</v>
      </c>
      <c r="CJ18" s="584">
        <f>SUM(CL18:CL18)</f>
        <v>0</v>
      </c>
      <c r="CK18" s="584">
        <f>SUM(CM18:CN18)</f>
        <v>0</v>
      </c>
      <c r="CL18" s="584"/>
      <c r="CM18" s="584"/>
      <c r="CN18" s="584"/>
      <c r="CO18" s="583" t="s">
        <v>183</v>
      </c>
      <c r="CP18" s="584">
        <f>CQ18+ER18+FV18+GB18</f>
        <v>0</v>
      </c>
      <c r="CQ18" s="584">
        <f>CR18+CW18</f>
        <v>0</v>
      </c>
      <c r="CR18" s="584">
        <f>SUM(CS18:CV18)</f>
        <v>0</v>
      </c>
      <c r="CS18" s="584"/>
      <c r="CT18" s="584"/>
      <c r="CU18" s="584"/>
      <c r="CV18" s="584"/>
      <c r="CW18" s="584">
        <f>SUM(CX18:EQ18)</f>
        <v>0</v>
      </c>
      <c r="CX18" s="584"/>
      <c r="CY18" s="584"/>
      <c r="CZ18" s="584"/>
      <c r="DA18" s="584"/>
      <c r="DB18" s="584"/>
      <c r="DC18" s="584"/>
      <c r="DD18" s="584"/>
      <c r="DE18" s="584"/>
      <c r="DF18" s="584"/>
      <c r="DG18" s="584"/>
      <c r="DH18" s="584"/>
      <c r="DI18" s="584"/>
      <c r="DJ18" s="584"/>
      <c r="DK18" s="584"/>
      <c r="DL18" s="584"/>
      <c r="DM18" s="584"/>
      <c r="DN18" s="584"/>
      <c r="DO18" s="584"/>
      <c r="DP18" s="584"/>
      <c r="DQ18" s="584"/>
      <c r="DR18" s="584"/>
      <c r="DS18" s="584"/>
      <c r="DT18" s="584"/>
      <c r="DU18" s="584"/>
      <c r="DV18" s="584"/>
      <c r="DW18" s="584"/>
      <c r="DX18" s="584"/>
      <c r="DY18" s="584"/>
      <c r="DZ18" s="584"/>
      <c r="EA18" s="584"/>
      <c r="EB18" s="584"/>
      <c r="EC18" s="584"/>
      <c r="ED18" s="584"/>
      <c r="EE18" s="584"/>
      <c r="EF18" s="584"/>
      <c r="EG18" s="584"/>
      <c r="EH18" s="584"/>
      <c r="EI18" s="584"/>
      <c r="EJ18" s="584"/>
      <c r="EK18" s="584"/>
      <c r="EL18" s="584"/>
      <c r="EM18" s="584"/>
      <c r="EN18" s="584"/>
      <c r="EO18" s="584"/>
      <c r="EP18" s="584"/>
      <c r="EQ18" s="584"/>
      <c r="ER18" s="584">
        <f>SUM(ES18:ET18)</f>
        <v>0</v>
      </c>
      <c r="ES18" s="584">
        <f>SUM(EU18:EV18)+EW18+SUM(EY18:FA18)+FJ18+FR18</f>
        <v>0</v>
      </c>
      <c r="ET18" s="584">
        <f>EX18+SUM(FB18:FI18)+SUM(FK18:FQ18)+SUM(FS18:FU18)</f>
        <v>0</v>
      </c>
      <c r="EU18" s="584"/>
      <c r="EV18" s="584"/>
      <c r="EW18" s="584"/>
      <c r="EX18" s="584"/>
      <c r="EY18" s="584"/>
      <c r="EZ18" s="584"/>
      <c r="FA18" s="584"/>
      <c r="FB18" s="584"/>
      <c r="FC18" s="584"/>
      <c r="FD18" s="584"/>
      <c r="FE18" s="584"/>
      <c r="FF18" s="584"/>
      <c r="FG18" s="584"/>
      <c r="FH18" s="584"/>
      <c r="FI18" s="584"/>
      <c r="FJ18" s="584"/>
      <c r="FK18" s="584"/>
      <c r="FL18" s="584"/>
      <c r="FM18" s="584"/>
      <c r="FN18" s="584"/>
      <c r="FO18" s="584"/>
      <c r="FP18" s="584"/>
      <c r="FQ18" s="584"/>
      <c r="FR18" s="584"/>
      <c r="FS18" s="584"/>
      <c r="FT18" s="584"/>
      <c r="FU18" s="584"/>
      <c r="FV18" s="584">
        <f>SUM(FW18:FX18)</f>
        <v>0</v>
      </c>
      <c r="FW18" s="584">
        <f>SUM(FY18:FY18)</f>
        <v>0</v>
      </c>
      <c r="FX18" s="584">
        <f>SUM(FZ18:GA18)</f>
        <v>0</v>
      </c>
      <c r="FY18" s="584"/>
      <c r="FZ18" s="584"/>
      <c r="GA18" s="584"/>
      <c r="GB18" s="584"/>
      <c r="GC18" s="586"/>
      <c r="GD18" s="581"/>
      <c r="GE18" s="586"/>
      <c r="GF18" s="586"/>
      <c r="GG18" s="586"/>
    </row>
    <row r="19" spans="1:189" s="92" customFormat="1" ht="17.25" hidden="1" customHeight="1">
      <c r="A19" s="582"/>
      <c r="B19" s="583" t="s">
        <v>184</v>
      </c>
      <c r="C19" s="584">
        <f>D19+BE19+CI19</f>
        <v>11699483586</v>
      </c>
      <c r="D19" s="584">
        <f>E19+J19</f>
        <v>11699483586</v>
      </c>
      <c r="E19" s="584">
        <f>SUM(F19:I19)</f>
        <v>0</v>
      </c>
      <c r="F19" s="587"/>
      <c r="G19" s="587"/>
      <c r="H19" s="587"/>
      <c r="I19" s="587"/>
      <c r="J19" s="584">
        <f>SUM(K19:BD19)</f>
        <v>11699483586</v>
      </c>
      <c r="K19" s="587"/>
      <c r="L19" s="587"/>
      <c r="M19" s="587"/>
      <c r="N19" s="587"/>
      <c r="O19" s="587"/>
      <c r="P19" s="587"/>
      <c r="Q19" s="587"/>
      <c r="R19" s="587"/>
      <c r="S19" s="587"/>
      <c r="T19" s="587"/>
      <c r="U19" s="587"/>
      <c r="V19" s="587"/>
      <c r="W19" s="587"/>
      <c r="X19" s="587"/>
      <c r="Y19" s="587"/>
      <c r="Z19" s="587">
        <v>30930000</v>
      </c>
      <c r="AA19" s="587"/>
      <c r="AB19" s="587"/>
      <c r="AC19" s="587"/>
      <c r="AD19" s="587"/>
      <c r="AE19" s="587"/>
      <c r="AF19" s="587"/>
      <c r="AG19" s="587"/>
      <c r="AH19" s="587"/>
      <c r="AI19" s="587"/>
      <c r="AJ19" s="587"/>
      <c r="AK19" s="587"/>
      <c r="AL19" s="587"/>
      <c r="AM19" s="587"/>
      <c r="AN19" s="587"/>
      <c r="AO19" s="587"/>
      <c r="AP19" s="587"/>
      <c r="AQ19" s="587"/>
      <c r="AR19" s="587"/>
      <c r="AS19" s="587"/>
      <c r="AT19" s="587"/>
      <c r="AU19" s="587"/>
      <c r="AV19" s="587"/>
      <c r="AW19" s="587"/>
      <c r="AX19" s="587"/>
      <c r="AY19" s="587"/>
      <c r="AZ19" s="587"/>
      <c r="BA19" s="587">
        <v>11388481586</v>
      </c>
      <c r="BB19" s="587">
        <v>280072000</v>
      </c>
      <c r="BC19" s="587"/>
      <c r="BD19" s="587"/>
      <c r="BE19" s="584">
        <f>SUM(BF19:BG19)</f>
        <v>0</v>
      </c>
      <c r="BF19" s="584">
        <f>SUM(BH19:BI19)+BJ19+SUM(BL19:BN19)+BW19+CE19</f>
        <v>0</v>
      </c>
      <c r="BG19" s="584">
        <f>BK19+SUM(BO19:BV19)+SUM(BX19:CD19)+SUM(CF19:CH19)</f>
        <v>0</v>
      </c>
      <c r="BH19" s="587"/>
      <c r="BI19" s="587"/>
      <c r="BJ19" s="587"/>
      <c r="BK19" s="587"/>
      <c r="BL19" s="587"/>
      <c r="BM19" s="587"/>
      <c r="BN19" s="587"/>
      <c r="BO19" s="587"/>
      <c r="BP19" s="587"/>
      <c r="BQ19" s="587"/>
      <c r="BR19" s="587"/>
      <c r="BS19" s="587"/>
      <c r="BT19" s="587"/>
      <c r="BU19" s="587"/>
      <c r="BV19" s="587"/>
      <c r="BW19" s="587"/>
      <c r="BX19" s="587"/>
      <c r="BY19" s="587"/>
      <c r="BZ19" s="587"/>
      <c r="CA19" s="587"/>
      <c r="CB19" s="587"/>
      <c r="CC19" s="587"/>
      <c r="CD19" s="587"/>
      <c r="CE19" s="587"/>
      <c r="CF19" s="587"/>
      <c r="CG19" s="587"/>
      <c r="CH19" s="587"/>
      <c r="CI19" s="584">
        <f>SUM(CJ19:CK19)</f>
        <v>0</v>
      </c>
      <c r="CJ19" s="584">
        <f>SUM(CL19:CL19)</f>
        <v>0</v>
      </c>
      <c r="CK19" s="584">
        <f>SUM(CM19:CN19)</f>
        <v>0</v>
      </c>
      <c r="CL19" s="587"/>
      <c r="CM19" s="587"/>
      <c r="CN19" s="587"/>
      <c r="CO19" s="583" t="s">
        <v>184</v>
      </c>
      <c r="CP19" s="584">
        <f>CQ19+ER19+FV19+GB19</f>
        <v>11699483586</v>
      </c>
      <c r="CQ19" s="584">
        <f>CR19+CW19</f>
        <v>11699483586</v>
      </c>
      <c r="CR19" s="584">
        <f>SUM(CS19:CV19)</f>
        <v>0</v>
      </c>
      <c r="CS19" s="587"/>
      <c r="CT19" s="587"/>
      <c r="CU19" s="587"/>
      <c r="CV19" s="587"/>
      <c r="CW19" s="584">
        <f>SUM(CX19:EQ19)</f>
        <v>11699483586</v>
      </c>
      <c r="CX19" s="587"/>
      <c r="CY19" s="587"/>
      <c r="CZ19" s="587"/>
      <c r="DA19" s="587"/>
      <c r="DB19" s="587"/>
      <c r="DC19" s="587"/>
      <c r="DD19" s="587"/>
      <c r="DE19" s="587"/>
      <c r="DF19" s="587"/>
      <c r="DG19" s="587"/>
      <c r="DH19" s="587"/>
      <c r="DI19" s="587"/>
      <c r="DJ19" s="587"/>
      <c r="DK19" s="587"/>
      <c r="DL19" s="587"/>
      <c r="DM19" s="587">
        <v>30930000</v>
      </c>
      <c r="DN19" s="587"/>
      <c r="DO19" s="587"/>
      <c r="DP19" s="587"/>
      <c r="DQ19" s="587"/>
      <c r="DR19" s="587"/>
      <c r="DS19" s="587"/>
      <c r="DT19" s="587"/>
      <c r="DU19" s="587"/>
      <c r="DV19" s="587"/>
      <c r="DW19" s="587"/>
      <c r="DX19" s="587"/>
      <c r="DY19" s="587"/>
      <c r="DZ19" s="587"/>
      <c r="EA19" s="587"/>
      <c r="EB19" s="587"/>
      <c r="EC19" s="587"/>
      <c r="ED19" s="587"/>
      <c r="EE19" s="587"/>
      <c r="EF19" s="587"/>
      <c r="EG19" s="587"/>
      <c r="EH19" s="587"/>
      <c r="EI19" s="587"/>
      <c r="EJ19" s="587"/>
      <c r="EK19" s="587"/>
      <c r="EL19" s="587"/>
      <c r="EM19" s="587"/>
      <c r="EN19" s="587">
        <v>11388481586</v>
      </c>
      <c r="EO19" s="587">
        <v>280072000</v>
      </c>
      <c r="EP19" s="587"/>
      <c r="EQ19" s="587"/>
      <c r="ER19" s="584">
        <f>SUM(ES19:ET19)</f>
        <v>0</v>
      </c>
      <c r="ES19" s="584">
        <f>SUM(EU19:EV19)+EW19+SUM(EY19:FA19)+FJ19+FR19</f>
        <v>0</v>
      </c>
      <c r="ET19" s="584">
        <f>EX19+SUM(FB19:FI19)+SUM(FK19:FQ19)+SUM(FS19:FU19)</f>
        <v>0</v>
      </c>
      <c r="EU19" s="587"/>
      <c r="EV19" s="587"/>
      <c r="EW19" s="587"/>
      <c r="EX19" s="587"/>
      <c r="EY19" s="587"/>
      <c r="EZ19" s="587"/>
      <c r="FA19" s="587"/>
      <c r="FB19" s="587"/>
      <c r="FC19" s="587"/>
      <c r="FD19" s="587"/>
      <c r="FE19" s="587"/>
      <c r="FF19" s="587"/>
      <c r="FG19" s="587"/>
      <c r="FH19" s="587"/>
      <c r="FI19" s="587"/>
      <c r="FJ19" s="587"/>
      <c r="FK19" s="587"/>
      <c r="FL19" s="587"/>
      <c r="FM19" s="587"/>
      <c r="FN19" s="587"/>
      <c r="FO19" s="587"/>
      <c r="FP19" s="587"/>
      <c r="FQ19" s="587"/>
      <c r="FR19" s="587"/>
      <c r="FS19" s="587"/>
      <c r="FT19" s="587"/>
      <c r="FU19" s="587"/>
      <c r="FV19" s="584">
        <f>SUM(FW19:FX19)</f>
        <v>0</v>
      </c>
      <c r="FW19" s="584">
        <f>SUM(FY19:FY19)</f>
        <v>0</v>
      </c>
      <c r="FX19" s="584">
        <f>SUM(FZ19:GA19)</f>
        <v>0</v>
      </c>
      <c r="FY19" s="587"/>
      <c r="FZ19" s="587"/>
      <c r="GA19" s="587"/>
      <c r="GB19" s="587"/>
      <c r="GC19" s="586">
        <f>CP19/C19</f>
        <v>1</v>
      </c>
      <c r="GD19" s="586"/>
      <c r="GE19" s="586">
        <f>CW19/J19</f>
        <v>1</v>
      </c>
      <c r="GF19" s="586"/>
      <c r="GG19" s="586"/>
    </row>
    <row r="20" spans="1:189" s="92" customFormat="1" ht="17.25" customHeight="1">
      <c r="A20" s="582">
        <v>3</v>
      </c>
      <c r="B20" s="583" t="s">
        <v>195</v>
      </c>
      <c r="C20" s="584">
        <f t="shared" ref="C20:AU20" si="16">C21+C22</f>
        <v>126023000</v>
      </c>
      <c r="D20" s="584">
        <f t="shared" si="16"/>
        <v>126023000</v>
      </c>
      <c r="E20" s="584">
        <f t="shared" si="16"/>
        <v>0</v>
      </c>
      <c r="F20" s="584">
        <f t="shared" si="16"/>
        <v>0</v>
      </c>
      <c r="G20" s="584">
        <f t="shared" si="16"/>
        <v>0</v>
      </c>
      <c r="H20" s="584">
        <f t="shared" si="16"/>
        <v>0</v>
      </c>
      <c r="I20" s="584">
        <f t="shared" si="16"/>
        <v>0</v>
      </c>
      <c r="J20" s="584">
        <f t="shared" si="16"/>
        <v>126023000</v>
      </c>
      <c r="K20" s="584">
        <f t="shared" si="16"/>
        <v>0</v>
      </c>
      <c r="L20" s="584">
        <f t="shared" si="16"/>
        <v>0</v>
      </c>
      <c r="M20" s="584">
        <f t="shared" si="16"/>
        <v>0</v>
      </c>
      <c r="N20" s="584">
        <f t="shared" si="16"/>
        <v>0</v>
      </c>
      <c r="O20" s="584">
        <f t="shared" si="16"/>
        <v>0</v>
      </c>
      <c r="P20" s="584">
        <f t="shared" si="16"/>
        <v>0</v>
      </c>
      <c r="Q20" s="584">
        <f t="shared" si="16"/>
        <v>0</v>
      </c>
      <c r="R20" s="584">
        <f t="shared" si="16"/>
        <v>0</v>
      </c>
      <c r="S20" s="584">
        <f t="shared" si="16"/>
        <v>0</v>
      </c>
      <c r="T20" s="584">
        <f t="shared" si="16"/>
        <v>0</v>
      </c>
      <c r="U20" s="584">
        <f t="shared" si="16"/>
        <v>0</v>
      </c>
      <c r="V20" s="584">
        <f t="shared" si="16"/>
        <v>0</v>
      </c>
      <c r="W20" s="584">
        <f t="shared" si="16"/>
        <v>0</v>
      </c>
      <c r="X20" s="584">
        <f t="shared" si="16"/>
        <v>0</v>
      </c>
      <c r="Y20" s="584">
        <f t="shared" si="16"/>
        <v>0</v>
      </c>
      <c r="Z20" s="584">
        <f t="shared" si="16"/>
        <v>0</v>
      </c>
      <c r="AA20" s="584">
        <f t="shared" si="16"/>
        <v>0</v>
      </c>
      <c r="AB20" s="584">
        <f t="shared" si="16"/>
        <v>0</v>
      </c>
      <c r="AC20" s="584">
        <f t="shared" si="16"/>
        <v>0</v>
      </c>
      <c r="AD20" s="584">
        <f t="shared" si="16"/>
        <v>0</v>
      </c>
      <c r="AE20" s="584">
        <f t="shared" si="16"/>
        <v>0</v>
      </c>
      <c r="AF20" s="584">
        <f t="shared" si="16"/>
        <v>0</v>
      </c>
      <c r="AG20" s="584">
        <f t="shared" si="16"/>
        <v>0</v>
      </c>
      <c r="AH20" s="584">
        <f t="shared" si="16"/>
        <v>0</v>
      </c>
      <c r="AI20" s="584">
        <f t="shared" si="16"/>
        <v>0</v>
      </c>
      <c r="AJ20" s="584">
        <f t="shared" si="16"/>
        <v>0</v>
      </c>
      <c r="AK20" s="584">
        <f t="shared" si="16"/>
        <v>0</v>
      </c>
      <c r="AL20" s="584">
        <f t="shared" si="16"/>
        <v>0</v>
      </c>
      <c r="AM20" s="584">
        <f t="shared" si="16"/>
        <v>0</v>
      </c>
      <c r="AN20" s="584">
        <f t="shared" si="16"/>
        <v>0</v>
      </c>
      <c r="AO20" s="584">
        <f t="shared" si="16"/>
        <v>0</v>
      </c>
      <c r="AP20" s="584">
        <f t="shared" si="16"/>
        <v>0</v>
      </c>
      <c r="AQ20" s="584">
        <f t="shared" si="16"/>
        <v>0</v>
      </c>
      <c r="AR20" s="584">
        <f t="shared" si="16"/>
        <v>0</v>
      </c>
      <c r="AS20" s="584">
        <f t="shared" si="16"/>
        <v>0</v>
      </c>
      <c r="AT20" s="584">
        <f t="shared" si="16"/>
        <v>126023000</v>
      </c>
      <c r="AU20" s="584">
        <f t="shared" si="16"/>
        <v>0</v>
      </c>
      <c r="AV20" s="584">
        <f>AV21+AV22</f>
        <v>0</v>
      </c>
      <c r="AW20" s="584">
        <f>AW21+AW22</f>
        <v>0</v>
      </c>
      <c r="AX20" s="584">
        <f t="shared" ref="AX20:CN20" si="17">AX21+AX22</f>
        <v>0</v>
      </c>
      <c r="AY20" s="584">
        <f t="shared" si="17"/>
        <v>0</v>
      </c>
      <c r="AZ20" s="584">
        <f t="shared" si="17"/>
        <v>0</v>
      </c>
      <c r="BA20" s="584">
        <f t="shared" si="17"/>
        <v>0</v>
      </c>
      <c r="BB20" s="584">
        <f t="shared" si="17"/>
        <v>0</v>
      </c>
      <c r="BC20" s="584">
        <f t="shared" si="17"/>
        <v>0</v>
      </c>
      <c r="BD20" s="584">
        <f t="shared" si="17"/>
        <v>0</v>
      </c>
      <c r="BE20" s="584">
        <f t="shared" si="17"/>
        <v>0</v>
      </c>
      <c r="BF20" s="584">
        <f t="shared" si="17"/>
        <v>0</v>
      </c>
      <c r="BG20" s="584">
        <f t="shared" si="17"/>
        <v>0</v>
      </c>
      <c r="BH20" s="584">
        <f t="shared" si="17"/>
        <v>0</v>
      </c>
      <c r="BI20" s="584">
        <f t="shared" si="17"/>
        <v>0</v>
      </c>
      <c r="BJ20" s="584">
        <f t="shared" si="17"/>
        <v>0</v>
      </c>
      <c r="BK20" s="584">
        <f t="shared" si="17"/>
        <v>0</v>
      </c>
      <c r="BL20" s="584">
        <f>BL21+BL22</f>
        <v>0</v>
      </c>
      <c r="BM20" s="584">
        <f>BM21+BM22</f>
        <v>0</v>
      </c>
      <c r="BN20" s="584">
        <f t="shared" si="17"/>
        <v>0</v>
      </c>
      <c r="BO20" s="584">
        <f t="shared" si="17"/>
        <v>0</v>
      </c>
      <c r="BP20" s="584">
        <f t="shared" si="17"/>
        <v>0</v>
      </c>
      <c r="BQ20" s="584">
        <f t="shared" si="17"/>
        <v>0</v>
      </c>
      <c r="BR20" s="584">
        <f t="shared" si="17"/>
        <v>0</v>
      </c>
      <c r="BS20" s="584">
        <f t="shared" si="17"/>
        <v>0</v>
      </c>
      <c r="BT20" s="584">
        <f t="shared" si="17"/>
        <v>0</v>
      </c>
      <c r="BU20" s="584">
        <f t="shared" si="17"/>
        <v>0</v>
      </c>
      <c r="BV20" s="584">
        <f t="shared" si="17"/>
        <v>0</v>
      </c>
      <c r="BW20" s="584">
        <f t="shared" si="17"/>
        <v>0</v>
      </c>
      <c r="BX20" s="584">
        <f t="shared" si="17"/>
        <v>0</v>
      </c>
      <c r="BY20" s="584">
        <f t="shared" si="17"/>
        <v>0</v>
      </c>
      <c r="BZ20" s="584">
        <f t="shared" si="17"/>
        <v>0</v>
      </c>
      <c r="CA20" s="584">
        <f t="shared" si="17"/>
        <v>0</v>
      </c>
      <c r="CB20" s="584">
        <f t="shared" si="17"/>
        <v>0</v>
      </c>
      <c r="CC20" s="584">
        <f t="shared" si="17"/>
        <v>0</v>
      </c>
      <c r="CD20" s="584">
        <f t="shared" si="17"/>
        <v>0</v>
      </c>
      <c r="CE20" s="584">
        <f t="shared" si="17"/>
        <v>0</v>
      </c>
      <c r="CF20" s="584">
        <f t="shared" si="17"/>
        <v>0</v>
      </c>
      <c r="CG20" s="584">
        <f t="shared" si="17"/>
        <v>0</v>
      </c>
      <c r="CH20" s="584">
        <f t="shared" si="17"/>
        <v>0</v>
      </c>
      <c r="CI20" s="584">
        <f t="shared" si="17"/>
        <v>0</v>
      </c>
      <c r="CJ20" s="584">
        <f t="shared" si="17"/>
        <v>0</v>
      </c>
      <c r="CK20" s="584">
        <f t="shared" si="17"/>
        <v>0</v>
      </c>
      <c r="CL20" s="584">
        <f t="shared" si="17"/>
        <v>0</v>
      </c>
      <c r="CM20" s="584">
        <f t="shared" si="17"/>
        <v>0</v>
      </c>
      <c r="CN20" s="584">
        <f t="shared" si="17"/>
        <v>0</v>
      </c>
      <c r="CO20" s="583" t="s">
        <v>195</v>
      </c>
      <c r="CP20" s="584">
        <f t="shared" ref="CP20:FA20" si="18">CP21+CP22</f>
        <v>126023000</v>
      </c>
      <c r="CQ20" s="584">
        <f t="shared" si="18"/>
        <v>126023000</v>
      </c>
      <c r="CR20" s="584">
        <f t="shared" si="18"/>
        <v>0</v>
      </c>
      <c r="CS20" s="584">
        <f t="shared" si="18"/>
        <v>0</v>
      </c>
      <c r="CT20" s="584">
        <f t="shared" si="18"/>
        <v>0</v>
      </c>
      <c r="CU20" s="584">
        <f t="shared" si="18"/>
        <v>0</v>
      </c>
      <c r="CV20" s="584">
        <f t="shared" si="18"/>
        <v>0</v>
      </c>
      <c r="CW20" s="584">
        <f t="shared" si="18"/>
        <v>126023000</v>
      </c>
      <c r="CX20" s="584">
        <f t="shared" si="18"/>
        <v>0</v>
      </c>
      <c r="CY20" s="584">
        <f t="shared" si="18"/>
        <v>0</v>
      </c>
      <c r="CZ20" s="584">
        <f t="shared" si="18"/>
        <v>0</v>
      </c>
      <c r="DA20" s="584">
        <f t="shared" si="18"/>
        <v>0</v>
      </c>
      <c r="DB20" s="584">
        <f t="shared" si="18"/>
        <v>0</v>
      </c>
      <c r="DC20" s="584">
        <f t="shared" si="18"/>
        <v>0</v>
      </c>
      <c r="DD20" s="584">
        <f t="shared" si="18"/>
        <v>0</v>
      </c>
      <c r="DE20" s="584">
        <f t="shared" si="18"/>
        <v>0</v>
      </c>
      <c r="DF20" s="584">
        <f t="shared" si="18"/>
        <v>0</v>
      </c>
      <c r="DG20" s="584">
        <f t="shared" si="18"/>
        <v>0</v>
      </c>
      <c r="DH20" s="584">
        <f t="shared" si="18"/>
        <v>0</v>
      </c>
      <c r="DI20" s="584">
        <f t="shared" si="18"/>
        <v>0</v>
      </c>
      <c r="DJ20" s="584">
        <f t="shared" si="18"/>
        <v>0</v>
      </c>
      <c r="DK20" s="584">
        <f t="shared" si="18"/>
        <v>0</v>
      </c>
      <c r="DL20" s="584">
        <f t="shared" si="18"/>
        <v>0</v>
      </c>
      <c r="DM20" s="584">
        <f>DM21+DM22</f>
        <v>0</v>
      </c>
      <c r="DN20" s="584">
        <f t="shared" si="18"/>
        <v>0</v>
      </c>
      <c r="DO20" s="584">
        <f t="shared" si="18"/>
        <v>0</v>
      </c>
      <c r="DP20" s="584">
        <f t="shared" si="18"/>
        <v>0</v>
      </c>
      <c r="DQ20" s="584">
        <f t="shared" si="18"/>
        <v>0</v>
      </c>
      <c r="DR20" s="584">
        <f t="shared" si="18"/>
        <v>0</v>
      </c>
      <c r="DS20" s="584">
        <f t="shared" si="18"/>
        <v>0</v>
      </c>
      <c r="DT20" s="584">
        <f t="shared" si="18"/>
        <v>0</v>
      </c>
      <c r="DU20" s="584">
        <f t="shared" si="18"/>
        <v>0</v>
      </c>
      <c r="DV20" s="584">
        <f t="shared" si="18"/>
        <v>0</v>
      </c>
      <c r="DW20" s="584">
        <f t="shared" si="18"/>
        <v>0</v>
      </c>
      <c r="DX20" s="584">
        <f t="shared" si="18"/>
        <v>0</v>
      </c>
      <c r="DY20" s="584">
        <f t="shared" si="18"/>
        <v>0</v>
      </c>
      <c r="DZ20" s="584">
        <f t="shared" si="18"/>
        <v>0</v>
      </c>
      <c r="EA20" s="584">
        <f t="shared" si="18"/>
        <v>0</v>
      </c>
      <c r="EB20" s="584">
        <f t="shared" si="18"/>
        <v>0</v>
      </c>
      <c r="EC20" s="584">
        <f t="shared" si="18"/>
        <v>0</v>
      </c>
      <c r="ED20" s="584">
        <f t="shared" si="18"/>
        <v>0</v>
      </c>
      <c r="EE20" s="584">
        <f t="shared" si="18"/>
        <v>0</v>
      </c>
      <c r="EF20" s="584">
        <f t="shared" si="18"/>
        <v>0</v>
      </c>
      <c r="EG20" s="584">
        <f t="shared" si="18"/>
        <v>126023000</v>
      </c>
      <c r="EH20" s="584">
        <f t="shared" si="18"/>
        <v>0</v>
      </c>
      <c r="EI20" s="584">
        <f>EI21+EI22</f>
        <v>0</v>
      </c>
      <c r="EJ20" s="584">
        <f>EJ21+EJ22</f>
        <v>0</v>
      </c>
      <c r="EK20" s="584">
        <f t="shared" si="18"/>
        <v>0</v>
      </c>
      <c r="EL20" s="584">
        <f t="shared" si="18"/>
        <v>0</v>
      </c>
      <c r="EM20" s="584">
        <f t="shared" si="18"/>
        <v>0</v>
      </c>
      <c r="EN20" s="584">
        <f t="shared" si="18"/>
        <v>0</v>
      </c>
      <c r="EO20" s="584">
        <f t="shared" si="18"/>
        <v>0</v>
      </c>
      <c r="EP20" s="584">
        <f t="shared" si="18"/>
        <v>0</v>
      </c>
      <c r="EQ20" s="584">
        <f t="shared" si="18"/>
        <v>0</v>
      </c>
      <c r="ER20" s="584">
        <f t="shared" si="18"/>
        <v>0</v>
      </c>
      <c r="ES20" s="584">
        <f t="shared" si="18"/>
        <v>0</v>
      </c>
      <c r="ET20" s="584">
        <f t="shared" si="18"/>
        <v>0</v>
      </c>
      <c r="EU20" s="584">
        <f t="shared" si="18"/>
        <v>0</v>
      </c>
      <c r="EV20" s="584">
        <f t="shared" si="18"/>
        <v>0</v>
      </c>
      <c r="EW20" s="584">
        <f t="shared" si="18"/>
        <v>0</v>
      </c>
      <c r="EX20" s="584">
        <f t="shared" si="18"/>
        <v>0</v>
      </c>
      <c r="EY20" s="584">
        <f>EY21+EY22</f>
        <v>0</v>
      </c>
      <c r="EZ20" s="584">
        <f>EZ21+EZ22</f>
        <v>0</v>
      </c>
      <c r="FA20" s="584">
        <f t="shared" si="18"/>
        <v>0</v>
      </c>
      <c r="FB20" s="584">
        <f t="shared" ref="FB20:GB20" si="19">FB21+FB22</f>
        <v>0</v>
      </c>
      <c r="FC20" s="584">
        <f t="shared" si="19"/>
        <v>0</v>
      </c>
      <c r="FD20" s="584">
        <f t="shared" si="19"/>
        <v>0</v>
      </c>
      <c r="FE20" s="584">
        <f t="shared" si="19"/>
        <v>0</v>
      </c>
      <c r="FF20" s="584">
        <f t="shared" si="19"/>
        <v>0</v>
      </c>
      <c r="FG20" s="584">
        <f t="shared" si="19"/>
        <v>0</v>
      </c>
      <c r="FH20" s="584">
        <f t="shared" si="19"/>
        <v>0</v>
      </c>
      <c r="FI20" s="584">
        <f t="shared" si="19"/>
        <v>0</v>
      </c>
      <c r="FJ20" s="584">
        <f t="shared" si="19"/>
        <v>0</v>
      </c>
      <c r="FK20" s="584">
        <f t="shared" si="19"/>
        <v>0</v>
      </c>
      <c r="FL20" s="584">
        <f t="shared" si="19"/>
        <v>0</v>
      </c>
      <c r="FM20" s="584">
        <f t="shared" si="19"/>
        <v>0</v>
      </c>
      <c r="FN20" s="584">
        <f t="shared" si="19"/>
        <v>0</v>
      </c>
      <c r="FO20" s="584">
        <f t="shared" si="19"/>
        <v>0</v>
      </c>
      <c r="FP20" s="584">
        <f t="shared" si="19"/>
        <v>0</v>
      </c>
      <c r="FQ20" s="584">
        <f t="shared" si="19"/>
        <v>0</v>
      </c>
      <c r="FR20" s="584">
        <f t="shared" si="19"/>
        <v>0</v>
      </c>
      <c r="FS20" s="584">
        <f t="shared" si="19"/>
        <v>0</v>
      </c>
      <c r="FT20" s="584">
        <f t="shared" si="19"/>
        <v>0</v>
      </c>
      <c r="FU20" s="584">
        <f t="shared" si="19"/>
        <v>0</v>
      </c>
      <c r="FV20" s="584">
        <f t="shared" si="19"/>
        <v>0</v>
      </c>
      <c r="FW20" s="584">
        <f t="shared" si="19"/>
        <v>0</v>
      </c>
      <c r="FX20" s="584">
        <f t="shared" si="19"/>
        <v>0</v>
      </c>
      <c r="FY20" s="584">
        <f t="shared" si="19"/>
        <v>0</v>
      </c>
      <c r="FZ20" s="584">
        <f t="shared" si="19"/>
        <v>0</v>
      </c>
      <c r="GA20" s="584">
        <f t="shared" si="19"/>
        <v>0</v>
      </c>
      <c r="GB20" s="584">
        <f t="shared" si="19"/>
        <v>0</v>
      </c>
      <c r="GC20" s="586">
        <f>CP20/C20</f>
        <v>1</v>
      </c>
      <c r="GD20" s="586"/>
      <c r="GE20" s="586">
        <f>CW20/J20</f>
        <v>1</v>
      </c>
      <c r="GF20" s="586"/>
      <c r="GG20" s="586"/>
    </row>
    <row r="21" spans="1:189" s="92" customFormat="1" ht="17.25" hidden="1" customHeight="1">
      <c r="A21" s="582"/>
      <c r="B21" s="583" t="s">
        <v>183</v>
      </c>
      <c r="C21" s="584">
        <f>D21+BE21+CI21</f>
        <v>0</v>
      </c>
      <c r="D21" s="584">
        <f>E21+J21</f>
        <v>0</v>
      </c>
      <c r="E21" s="584">
        <f>SUM(F21:I21)</f>
        <v>0</v>
      </c>
      <c r="F21" s="584"/>
      <c r="G21" s="584"/>
      <c r="H21" s="584"/>
      <c r="I21" s="584"/>
      <c r="J21" s="584">
        <f>SUM(K21:BD21)</f>
        <v>0</v>
      </c>
      <c r="K21" s="584"/>
      <c r="L21" s="584"/>
      <c r="M21" s="584"/>
      <c r="N21" s="584"/>
      <c r="O21" s="584"/>
      <c r="P21" s="584"/>
      <c r="Q21" s="584"/>
      <c r="R21" s="584"/>
      <c r="S21" s="584"/>
      <c r="T21" s="584"/>
      <c r="U21" s="584"/>
      <c r="V21" s="584"/>
      <c r="W21" s="584"/>
      <c r="X21" s="584"/>
      <c r="Y21" s="584"/>
      <c r="Z21" s="584"/>
      <c r="AA21" s="584"/>
      <c r="AB21" s="584"/>
      <c r="AC21" s="584"/>
      <c r="AD21" s="584"/>
      <c r="AE21" s="584"/>
      <c r="AF21" s="584"/>
      <c r="AG21" s="584"/>
      <c r="AH21" s="584"/>
      <c r="AI21" s="584"/>
      <c r="AJ21" s="584"/>
      <c r="AK21" s="584"/>
      <c r="AL21" s="584"/>
      <c r="AM21" s="584"/>
      <c r="AN21" s="584"/>
      <c r="AO21" s="584"/>
      <c r="AP21" s="584"/>
      <c r="AQ21" s="584"/>
      <c r="AR21" s="584"/>
      <c r="AS21" s="584"/>
      <c r="AT21" s="584"/>
      <c r="AU21" s="584"/>
      <c r="AV21" s="584"/>
      <c r="AW21" s="584"/>
      <c r="AX21" s="584"/>
      <c r="AY21" s="584"/>
      <c r="AZ21" s="584"/>
      <c r="BA21" s="584"/>
      <c r="BB21" s="584"/>
      <c r="BC21" s="584"/>
      <c r="BD21" s="584"/>
      <c r="BE21" s="584">
        <f>SUM(BF21:BG21)</f>
        <v>0</v>
      </c>
      <c r="BF21" s="584">
        <f>SUM(BH21:BI21)+BJ21+SUM(BL21:BN21)+BW21+CE21</f>
        <v>0</v>
      </c>
      <c r="BG21" s="584">
        <f>BK21+SUM(BO21:BV21)+SUM(BX21:CD21)+SUM(CF21:CH21)</f>
        <v>0</v>
      </c>
      <c r="BH21" s="584"/>
      <c r="BI21" s="584"/>
      <c r="BJ21" s="584"/>
      <c r="BK21" s="584"/>
      <c r="BL21" s="584"/>
      <c r="BM21" s="584"/>
      <c r="BN21" s="584"/>
      <c r="BO21" s="584"/>
      <c r="BP21" s="584"/>
      <c r="BQ21" s="584"/>
      <c r="BR21" s="584"/>
      <c r="BS21" s="584"/>
      <c r="BT21" s="584"/>
      <c r="BU21" s="584"/>
      <c r="BV21" s="584"/>
      <c r="BW21" s="584"/>
      <c r="BX21" s="584"/>
      <c r="BY21" s="584"/>
      <c r="BZ21" s="584"/>
      <c r="CA21" s="584"/>
      <c r="CB21" s="584"/>
      <c r="CC21" s="584"/>
      <c r="CD21" s="584"/>
      <c r="CE21" s="584"/>
      <c r="CF21" s="584"/>
      <c r="CG21" s="584"/>
      <c r="CH21" s="584"/>
      <c r="CI21" s="584">
        <f>SUM(CJ21:CK21)</f>
        <v>0</v>
      </c>
      <c r="CJ21" s="584">
        <f>SUM(CL21:CL21)</f>
        <v>0</v>
      </c>
      <c r="CK21" s="584">
        <f>SUM(CM21:CN21)</f>
        <v>0</v>
      </c>
      <c r="CL21" s="584"/>
      <c r="CM21" s="584"/>
      <c r="CN21" s="584"/>
      <c r="CO21" s="583" t="s">
        <v>183</v>
      </c>
      <c r="CP21" s="584">
        <f>CQ21+ER21+FV21+GB21</f>
        <v>0</v>
      </c>
      <c r="CQ21" s="584">
        <f>CR21+CW21</f>
        <v>0</v>
      </c>
      <c r="CR21" s="584">
        <f>SUM(CS21:CV21)</f>
        <v>0</v>
      </c>
      <c r="CS21" s="584"/>
      <c r="CT21" s="584"/>
      <c r="CU21" s="584"/>
      <c r="CV21" s="584"/>
      <c r="CW21" s="584">
        <f>SUM(CX21:EQ21)</f>
        <v>0</v>
      </c>
      <c r="CX21" s="584"/>
      <c r="CY21" s="584"/>
      <c r="CZ21" s="584"/>
      <c r="DA21" s="584"/>
      <c r="DB21" s="584"/>
      <c r="DC21" s="584"/>
      <c r="DD21" s="584"/>
      <c r="DE21" s="584"/>
      <c r="DF21" s="584"/>
      <c r="DG21" s="584"/>
      <c r="DH21" s="584"/>
      <c r="DI21" s="584"/>
      <c r="DJ21" s="584"/>
      <c r="DK21" s="584"/>
      <c r="DL21" s="584"/>
      <c r="DM21" s="584"/>
      <c r="DN21" s="584"/>
      <c r="DO21" s="584"/>
      <c r="DP21" s="584"/>
      <c r="DQ21" s="584"/>
      <c r="DR21" s="584"/>
      <c r="DS21" s="584"/>
      <c r="DT21" s="584"/>
      <c r="DU21" s="584"/>
      <c r="DV21" s="584"/>
      <c r="DW21" s="584"/>
      <c r="DX21" s="584"/>
      <c r="DY21" s="584"/>
      <c r="DZ21" s="584"/>
      <c r="EA21" s="584"/>
      <c r="EB21" s="584"/>
      <c r="EC21" s="584"/>
      <c r="ED21" s="584"/>
      <c r="EE21" s="584"/>
      <c r="EF21" s="584"/>
      <c r="EG21" s="584"/>
      <c r="EH21" s="584"/>
      <c r="EI21" s="584"/>
      <c r="EJ21" s="584"/>
      <c r="EK21" s="584"/>
      <c r="EL21" s="584"/>
      <c r="EM21" s="584"/>
      <c r="EN21" s="584"/>
      <c r="EO21" s="584"/>
      <c r="EP21" s="584"/>
      <c r="EQ21" s="584"/>
      <c r="ER21" s="584">
        <f>SUM(ES21:ET21)</f>
        <v>0</v>
      </c>
      <c r="ES21" s="584">
        <f>SUM(EU21:EV21)+EW21+SUM(EY21:FA21)+FJ21+FR21</f>
        <v>0</v>
      </c>
      <c r="ET21" s="584">
        <f>EX21+SUM(FB21:FI21)+SUM(FK21:FQ21)+SUM(FS21:FU21)</f>
        <v>0</v>
      </c>
      <c r="EU21" s="584"/>
      <c r="EV21" s="584"/>
      <c r="EW21" s="584"/>
      <c r="EX21" s="584"/>
      <c r="EY21" s="584"/>
      <c r="EZ21" s="584"/>
      <c r="FA21" s="584"/>
      <c r="FB21" s="584"/>
      <c r="FC21" s="584"/>
      <c r="FD21" s="584"/>
      <c r="FE21" s="584"/>
      <c r="FF21" s="584"/>
      <c r="FG21" s="584"/>
      <c r="FH21" s="584"/>
      <c r="FI21" s="584"/>
      <c r="FJ21" s="584"/>
      <c r="FK21" s="584"/>
      <c r="FL21" s="584"/>
      <c r="FM21" s="584"/>
      <c r="FN21" s="584"/>
      <c r="FO21" s="584"/>
      <c r="FP21" s="584"/>
      <c r="FQ21" s="584"/>
      <c r="FR21" s="584"/>
      <c r="FS21" s="584"/>
      <c r="FT21" s="584"/>
      <c r="FU21" s="584"/>
      <c r="FV21" s="584">
        <f>SUM(FW21:FX21)</f>
        <v>0</v>
      </c>
      <c r="FW21" s="584">
        <f>SUM(FY21:FY21)</f>
        <v>0</v>
      </c>
      <c r="FX21" s="584">
        <f>SUM(FZ21:GA21)</f>
        <v>0</v>
      </c>
      <c r="FY21" s="584"/>
      <c r="FZ21" s="584"/>
      <c r="GA21" s="584"/>
      <c r="GB21" s="584"/>
      <c r="GC21" s="586"/>
      <c r="GD21" s="586"/>
      <c r="GE21" s="586"/>
      <c r="GF21" s="586"/>
      <c r="GG21" s="586"/>
    </row>
    <row r="22" spans="1:189" s="92" customFormat="1" ht="17.25" hidden="1" customHeight="1">
      <c r="A22" s="582"/>
      <c r="B22" s="583" t="s">
        <v>184</v>
      </c>
      <c r="C22" s="584">
        <f>D22+BE22+CI22</f>
        <v>126023000</v>
      </c>
      <c r="D22" s="584">
        <f>E22+J22</f>
        <v>126023000</v>
      </c>
      <c r="E22" s="584">
        <f>SUM(F22:I22)</f>
        <v>0</v>
      </c>
      <c r="F22" s="584"/>
      <c r="G22" s="584"/>
      <c r="H22" s="584"/>
      <c r="I22" s="584"/>
      <c r="J22" s="584">
        <f>SUM(K22:BD22)</f>
        <v>126023000</v>
      </c>
      <c r="K22" s="584"/>
      <c r="L22" s="584"/>
      <c r="M22" s="584"/>
      <c r="N22" s="584"/>
      <c r="O22" s="584"/>
      <c r="P22" s="584"/>
      <c r="Q22" s="584"/>
      <c r="R22" s="584"/>
      <c r="S22" s="584"/>
      <c r="T22" s="584"/>
      <c r="U22" s="584"/>
      <c r="V22" s="584"/>
      <c r="W22" s="584"/>
      <c r="X22" s="584"/>
      <c r="Y22" s="584"/>
      <c r="Z22" s="584"/>
      <c r="AA22" s="584"/>
      <c r="AB22" s="584"/>
      <c r="AC22" s="584"/>
      <c r="AD22" s="584"/>
      <c r="AE22" s="584"/>
      <c r="AF22" s="584"/>
      <c r="AG22" s="584"/>
      <c r="AH22" s="584"/>
      <c r="AI22" s="584"/>
      <c r="AJ22" s="584"/>
      <c r="AK22" s="584"/>
      <c r="AL22" s="584"/>
      <c r="AM22" s="584"/>
      <c r="AN22" s="584"/>
      <c r="AO22" s="584"/>
      <c r="AP22" s="584"/>
      <c r="AQ22" s="584"/>
      <c r="AR22" s="584"/>
      <c r="AS22" s="584"/>
      <c r="AT22" s="584">
        <v>126023000</v>
      </c>
      <c r="AU22" s="584"/>
      <c r="AV22" s="584"/>
      <c r="AW22" s="584"/>
      <c r="AX22" s="584"/>
      <c r="AY22" s="584"/>
      <c r="AZ22" s="584"/>
      <c r="BA22" s="584"/>
      <c r="BB22" s="584"/>
      <c r="BC22" s="584"/>
      <c r="BD22" s="584"/>
      <c r="BE22" s="584">
        <f>SUM(BF22:BG22)</f>
        <v>0</v>
      </c>
      <c r="BF22" s="584">
        <f>SUM(BH22:BI22)+BJ22+SUM(BL22:BN22)+BW22+CE22</f>
        <v>0</v>
      </c>
      <c r="BG22" s="584">
        <f>BK22+SUM(BO22:BV22)+SUM(BX22:CD22)+SUM(CF22:CH22)</f>
        <v>0</v>
      </c>
      <c r="BH22" s="584"/>
      <c r="BI22" s="584"/>
      <c r="BJ22" s="584"/>
      <c r="BK22" s="584"/>
      <c r="BL22" s="584"/>
      <c r="BM22" s="584"/>
      <c r="BN22" s="584"/>
      <c r="BO22" s="584"/>
      <c r="BP22" s="584"/>
      <c r="BQ22" s="584"/>
      <c r="BR22" s="584"/>
      <c r="BS22" s="584"/>
      <c r="BT22" s="584"/>
      <c r="BU22" s="584"/>
      <c r="BV22" s="584"/>
      <c r="BW22" s="584"/>
      <c r="BX22" s="584"/>
      <c r="BY22" s="584"/>
      <c r="BZ22" s="584"/>
      <c r="CA22" s="584"/>
      <c r="CB22" s="584"/>
      <c r="CC22" s="584"/>
      <c r="CD22" s="584"/>
      <c r="CE22" s="584"/>
      <c r="CF22" s="584"/>
      <c r="CG22" s="584"/>
      <c r="CH22" s="584"/>
      <c r="CI22" s="584">
        <f>SUM(CJ22:CK22)</f>
        <v>0</v>
      </c>
      <c r="CJ22" s="584">
        <f>SUM(CL22:CL22)</f>
        <v>0</v>
      </c>
      <c r="CK22" s="584">
        <f>SUM(CM22:CN22)</f>
        <v>0</v>
      </c>
      <c r="CL22" s="584"/>
      <c r="CM22" s="584"/>
      <c r="CN22" s="584"/>
      <c r="CO22" s="583" t="s">
        <v>184</v>
      </c>
      <c r="CP22" s="584">
        <f>CQ22+ER22+FV22+GB22</f>
        <v>126023000</v>
      </c>
      <c r="CQ22" s="584">
        <f>CR22+CW22</f>
        <v>126023000</v>
      </c>
      <c r="CR22" s="584">
        <f>SUM(CS22:CV22)</f>
        <v>0</v>
      </c>
      <c r="CS22" s="584"/>
      <c r="CT22" s="584"/>
      <c r="CU22" s="584"/>
      <c r="CV22" s="584"/>
      <c r="CW22" s="584">
        <f>SUM(CX22:EQ22)</f>
        <v>126023000</v>
      </c>
      <c r="CX22" s="584"/>
      <c r="CY22" s="584"/>
      <c r="CZ22" s="584"/>
      <c r="DA22" s="584"/>
      <c r="DB22" s="584"/>
      <c r="DC22" s="584"/>
      <c r="DD22" s="584"/>
      <c r="DE22" s="584"/>
      <c r="DF22" s="584"/>
      <c r="DG22" s="584"/>
      <c r="DH22" s="584"/>
      <c r="DI22" s="584"/>
      <c r="DJ22" s="584"/>
      <c r="DK22" s="584"/>
      <c r="DL22" s="584"/>
      <c r="DM22" s="584"/>
      <c r="DN22" s="584"/>
      <c r="DO22" s="584"/>
      <c r="DP22" s="584"/>
      <c r="DQ22" s="584"/>
      <c r="DR22" s="584"/>
      <c r="DS22" s="584"/>
      <c r="DT22" s="584"/>
      <c r="DU22" s="584"/>
      <c r="DV22" s="584"/>
      <c r="DW22" s="584"/>
      <c r="DX22" s="584"/>
      <c r="DY22" s="584"/>
      <c r="DZ22" s="584"/>
      <c r="EA22" s="584"/>
      <c r="EB22" s="584"/>
      <c r="EC22" s="584"/>
      <c r="ED22" s="584"/>
      <c r="EE22" s="584"/>
      <c r="EF22" s="584"/>
      <c r="EG22" s="584">
        <v>126023000</v>
      </c>
      <c r="EH22" s="584"/>
      <c r="EI22" s="584"/>
      <c r="EJ22" s="584"/>
      <c r="EK22" s="584"/>
      <c r="EL22" s="584"/>
      <c r="EM22" s="584"/>
      <c r="EN22" s="584"/>
      <c r="EO22" s="584"/>
      <c r="EP22" s="584"/>
      <c r="EQ22" s="584"/>
      <c r="ER22" s="584">
        <f>SUM(ES22:ET22)</f>
        <v>0</v>
      </c>
      <c r="ES22" s="584">
        <f>SUM(EU22:EV22)+EW22+SUM(EY22:FA22)+FJ22+FR22</f>
        <v>0</v>
      </c>
      <c r="ET22" s="584">
        <f>EX22+SUM(FB22:FI22)+SUM(FK22:FQ22)+SUM(FS22:FU22)</f>
        <v>0</v>
      </c>
      <c r="EU22" s="584"/>
      <c r="EV22" s="584"/>
      <c r="EW22" s="584"/>
      <c r="EX22" s="584"/>
      <c r="EY22" s="584"/>
      <c r="EZ22" s="584"/>
      <c r="FA22" s="584"/>
      <c r="FB22" s="584"/>
      <c r="FC22" s="584"/>
      <c r="FD22" s="584"/>
      <c r="FE22" s="584"/>
      <c r="FF22" s="584"/>
      <c r="FG22" s="584"/>
      <c r="FH22" s="584"/>
      <c r="FI22" s="584"/>
      <c r="FJ22" s="584"/>
      <c r="FK22" s="584"/>
      <c r="FL22" s="584"/>
      <c r="FM22" s="584"/>
      <c r="FN22" s="584"/>
      <c r="FO22" s="584"/>
      <c r="FP22" s="584"/>
      <c r="FQ22" s="584"/>
      <c r="FR22" s="584"/>
      <c r="FS22" s="584"/>
      <c r="FT22" s="584"/>
      <c r="FU22" s="584"/>
      <c r="FV22" s="584">
        <f>SUM(FW22:FX22)</f>
        <v>0</v>
      </c>
      <c r="FW22" s="584">
        <f>SUM(FY22:FY22)</f>
        <v>0</v>
      </c>
      <c r="FX22" s="584">
        <f>SUM(FZ22:GA22)</f>
        <v>0</v>
      </c>
      <c r="FY22" s="584"/>
      <c r="FZ22" s="584"/>
      <c r="GA22" s="584"/>
      <c r="GB22" s="584"/>
      <c r="GC22" s="586">
        <f>CP22/C22</f>
        <v>1</v>
      </c>
      <c r="GD22" s="586"/>
      <c r="GE22" s="586">
        <f>CW22/J22</f>
        <v>1</v>
      </c>
      <c r="GF22" s="586"/>
      <c r="GG22" s="586"/>
    </row>
    <row r="23" spans="1:189" s="92" customFormat="1" ht="17.25" customHeight="1">
      <c r="A23" s="582">
        <v>4</v>
      </c>
      <c r="B23" s="583" t="s">
        <v>386</v>
      </c>
      <c r="C23" s="584">
        <f t="shared" ref="C23:BN23" si="20">C24+C25</f>
        <v>6676967711</v>
      </c>
      <c r="D23" s="584">
        <f>D24+D25</f>
        <v>6439957335</v>
      </c>
      <c r="E23" s="584">
        <f t="shared" si="20"/>
        <v>107394000</v>
      </c>
      <c r="F23" s="584">
        <f t="shared" si="20"/>
        <v>107394000</v>
      </c>
      <c r="G23" s="584">
        <f t="shared" si="20"/>
        <v>0</v>
      </c>
      <c r="H23" s="584">
        <f t="shared" si="20"/>
        <v>0</v>
      </c>
      <c r="I23" s="584">
        <f t="shared" si="20"/>
        <v>0</v>
      </c>
      <c r="J23" s="584">
        <f t="shared" si="20"/>
        <v>6332563335</v>
      </c>
      <c r="K23" s="584">
        <f t="shared" si="20"/>
        <v>0</v>
      </c>
      <c r="L23" s="584">
        <f t="shared" si="20"/>
        <v>0</v>
      </c>
      <c r="M23" s="584">
        <f t="shared" si="20"/>
        <v>0</v>
      </c>
      <c r="N23" s="584">
        <f t="shared" si="20"/>
        <v>0</v>
      </c>
      <c r="O23" s="584">
        <f t="shared" si="20"/>
        <v>0</v>
      </c>
      <c r="P23" s="584">
        <f t="shared" si="20"/>
        <v>0</v>
      </c>
      <c r="Q23" s="584">
        <f t="shared" si="20"/>
        <v>0</v>
      </c>
      <c r="R23" s="584">
        <f t="shared" si="20"/>
        <v>0</v>
      </c>
      <c r="S23" s="584">
        <f t="shared" si="20"/>
        <v>0</v>
      </c>
      <c r="T23" s="584">
        <f t="shared" si="20"/>
        <v>0</v>
      </c>
      <c r="U23" s="584">
        <f t="shared" si="20"/>
        <v>0</v>
      </c>
      <c r="V23" s="584">
        <f t="shared" si="20"/>
        <v>0</v>
      </c>
      <c r="W23" s="584">
        <f t="shared" si="20"/>
        <v>0</v>
      </c>
      <c r="X23" s="584">
        <f t="shared" si="20"/>
        <v>0</v>
      </c>
      <c r="Y23" s="584">
        <f t="shared" si="20"/>
        <v>0</v>
      </c>
      <c r="Z23" s="584">
        <f t="shared" si="20"/>
        <v>0</v>
      </c>
      <c r="AA23" s="584">
        <f t="shared" si="20"/>
        <v>0</v>
      </c>
      <c r="AB23" s="584">
        <f t="shared" si="20"/>
        <v>0</v>
      </c>
      <c r="AC23" s="584">
        <f t="shared" si="20"/>
        <v>0</v>
      </c>
      <c r="AD23" s="584">
        <f t="shared" si="20"/>
        <v>0</v>
      </c>
      <c r="AE23" s="584">
        <f t="shared" si="20"/>
        <v>0</v>
      </c>
      <c r="AF23" s="584">
        <f t="shared" si="20"/>
        <v>0</v>
      </c>
      <c r="AG23" s="584">
        <f t="shared" si="20"/>
        <v>0</v>
      </c>
      <c r="AH23" s="584">
        <f t="shared" si="20"/>
        <v>0</v>
      </c>
      <c r="AI23" s="584">
        <f t="shared" si="20"/>
        <v>0</v>
      </c>
      <c r="AJ23" s="584">
        <f t="shared" si="20"/>
        <v>0</v>
      </c>
      <c r="AK23" s="584">
        <f t="shared" si="20"/>
        <v>2580032927</v>
      </c>
      <c r="AL23" s="584">
        <f t="shared" si="20"/>
        <v>0</v>
      </c>
      <c r="AM23" s="584">
        <f t="shared" si="20"/>
        <v>0</v>
      </c>
      <c r="AN23" s="584">
        <f t="shared" si="20"/>
        <v>921161000</v>
      </c>
      <c r="AO23" s="584">
        <f t="shared" si="20"/>
        <v>0</v>
      </c>
      <c r="AP23" s="584">
        <f t="shared" si="20"/>
        <v>0</v>
      </c>
      <c r="AQ23" s="584">
        <f t="shared" si="20"/>
        <v>0</v>
      </c>
      <c r="AR23" s="584">
        <f t="shared" si="20"/>
        <v>0</v>
      </c>
      <c r="AS23" s="584">
        <f t="shared" si="20"/>
        <v>0</v>
      </c>
      <c r="AT23" s="584">
        <f t="shared" si="20"/>
        <v>0</v>
      </c>
      <c r="AU23" s="584">
        <f t="shared" si="20"/>
        <v>0</v>
      </c>
      <c r="AV23" s="584">
        <f t="shared" si="20"/>
        <v>13000000</v>
      </c>
      <c r="AW23" s="584">
        <f>AW24+AW25</f>
        <v>0</v>
      </c>
      <c r="AX23" s="584">
        <f t="shared" si="20"/>
        <v>0</v>
      </c>
      <c r="AY23" s="584">
        <f t="shared" si="20"/>
        <v>1821683710</v>
      </c>
      <c r="AZ23" s="584">
        <f t="shared" si="20"/>
        <v>0</v>
      </c>
      <c r="BA23" s="584">
        <f t="shared" si="20"/>
        <v>996685698</v>
      </c>
      <c r="BB23" s="584">
        <f t="shared" si="20"/>
        <v>0</v>
      </c>
      <c r="BC23" s="584">
        <f t="shared" si="20"/>
        <v>0</v>
      </c>
      <c r="BD23" s="584">
        <f t="shared" si="20"/>
        <v>0</v>
      </c>
      <c r="BE23" s="584">
        <f t="shared" si="20"/>
        <v>237010376</v>
      </c>
      <c r="BF23" s="584">
        <f t="shared" si="20"/>
        <v>0</v>
      </c>
      <c r="BG23" s="584">
        <f t="shared" si="20"/>
        <v>237010376</v>
      </c>
      <c r="BH23" s="584">
        <f t="shared" si="20"/>
        <v>0</v>
      </c>
      <c r="BI23" s="584">
        <f t="shared" si="20"/>
        <v>0</v>
      </c>
      <c r="BJ23" s="584">
        <f t="shared" si="20"/>
        <v>0</v>
      </c>
      <c r="BK23" s="584">
        <f t="shared" si="20"/>
        <v>0</v>
      </c>
      <c r="BL23" s="584">
        <f>BL24+BL25</f>
        <v>0</v>
      </c>
      <c r="BM23" s="584">
        <f>BM24+BM25</f>
        <v>0</v>
      </c>
      <c r="BN23" s="584">
        <f t="shared" si="20"/>
        <v>0</v>
      </c>
      <c r="BO23" s="584">
        <f t="shared" ref="BO23:CN23" si="21">BO24+BO25</f>
        <v>0</v>
      </c>
      <c r="BP23" s="584">
        <f t="shared" si="21"/>
        <v>0</v>
      </c>
      <c r="BQ23" s="584">
        <f t="shared" si="21"/>
        <v>0</v>
      </c>
      <c r="BR23" s="584">
        <f t="shared" si="21"/>
        <v>0</v>
      </c>
      <c r="BS23" s="584">
        <f t="shared" si="21"/>
        <v>0</v>
      </c>
      <c r="BT23" s="584">
        <f t="shared" si="21"/>
        <v>0</v>
      </c>
      <c r="BU23" s="584">
        <f t="shared" si="21"/>
        <v>0</v>
      </c>
      <c r="BV23" s="584">
        <f t="shared" si="21"/>
        <v>0</v>
      </c>
      <c r="BW23" s="584">
        <f t="shared" si="21"/>
        <v>0</v>
      </c>
      <c r="BX23" s="584">
        <f t="shared" si="21"/>
        <v>0</v>
      </c>
      <c r="BY23" s="584">
        <f t="shared" si="21"/>
        <v>0</v>
      </c>
      <c r="BZ23" s="584">
        <f t="shared" si="21"/>
        <v>0</v>
      </c>
      <c r="CA23" s="584">
        <f t="shared" si="21"/>
        <v>0</v>
      </c>
      <c r="CB23" s="584">
        <f t="shared" si="21"/>
        <v>0</v>
      </c>
      <c r="CC23" s="584">
        <f t="shared" si="21"/>
        <v>0</v>
      </c>
      <c r="CD23" s="584">
        <f t="shared" si="21"/>
        <v>0</v>
      </c>
      <c r="CE23" s="584">
        <f t="shared" si="21"/>
        <v>0</v>
      </c>
      <c r="CF23" s="584">
        <f t="shared" si="21"/>
        <v>0</v>
      </c>
      <c r="CG23" s="584">
        <f t="shared" si="21"/>
        <v>200000000</v>
      </c>
      <c r="CH23" s="584">
        <f t="shared" si="21"/>
        <v>37010376</v>
      </c>
      <c r="CI23" s="584">
        <f t="shared" si="21"/>
        <v>0</v>
      </c>
      <c r="CJ23" s="584">
        <f t="shared" si="21"/>
        <v>0</v>
      </c>
      <c r="CK23" s="584">
        <f t="shared" si="21"/>
        <v>0</v>
      </c>
      <c r="CL23" s="584">
        <f t="shared" si="21"/>
        <v>0</v>
      </c>
      <c r="CM23" s="584">
        <f t="shared" si="21"/>
        <v>0</v>
      </c>
      <c r="CN23" s="584">
        <f t="shared" si="21"/>
        <v>0</v>
      </c>
      <c r="CO23" s="583" t="s">
        <v>386</v>
      </c>
      <c r="CP23" s="584">
        <f t="shared" ref="CP23:FA23" si="22">CP24+CP25</f>
        <v>6676967711</v>
      </c>
      <c r="CQ23" s="584">
        <f t="shared" si="22"/>
        <v>6438439695</v>
      </c>
      <c r="CR23" s="584">
        <f t="shared" si="22"/>
        <v>107394000</v>
      </c>
      <c r="CS23" s="584">
        <f t="shared" si="22"/>
        <v>107394000</v>
      </c>
      <c r="CT23" s="584">
        <f t="shared" si="22"/>
        <v>0</v>
      </c>
      <c r="CU23" s="584">
        <f t="shared" si="22"/>
        <v>0</v>
      </c>
      <c r="CV23" s="584">
        <f t="shared" si="22"/>
        <v>0</v>
      </c>
      <c r="CW23" s="584">
        <f t="shared" si="22"/>
        <v>6331045695</v>
      </c>
      <c r="CX23" s="584">
        <f t="shared" si="22"/>
        <v>0</v>
      </c>
      <c r="CY23" s="584">
        <f t="shared" si="22"/>
        <v>0</v>
      </c>
      <c r="CZ23" s="584">
        <f t="shared" si="22"/>
        <v>0</v>
      </c>
      <c r="DA23" s="584">
        <f t="shared" si="22"/>
        <v>0</v>
      </c>
      <c r="DB23" s="584">
        <f t="shared" si="22"/>
        <v>0</v>
      </c>
      <c r="DC23" s="584">
        <f t="shared" si="22"/>
        <v>0</v>
      </c>
      <c r="DD23" s="584">
        <f t="shared" si="22"/>
        <v>0</v>
      </c>
      <c r="DE23" s="584">
        <f t="shared" si="22"/>
        <v>0</v>
      </c>
      <c r="DF23" s="584">
        <f t="shared" si="22"/>
        <v>0</v>
      </c>
      <c r="DG23" s="584">
        <f t="shared" si="22"/>
        <v>0</v>
      </c>
      <c r="DH23" s="584">
        <f t="shared" si="22"/>
        <v>0</v>
      </c>
      <c r="DI23" s="584">
        <f t="shared" si="22"/>
        <v>0</v>
      </c>
      <c r="DJ23" s="584">
        <f t="shared" si="22"/>
        <v>0</v>
      </c>
      <c r="DK23" s="584">
        <f t="shared" si="22"/>
        <v>0</v>
      </c>
      <c r="DL23" s="584">
        <f t="shared" si="22"/>
        <v>0</v>
      </c>
      <c r="DM23" s="584">
        <f t="shared" si="22"/>
        <v>0</v>
      </c>
      <c r="DN23" s="584">
        <f t="shared" si="22"/>
        <v>0</v>
      </c>
      <c r="DO23" s="584">
        <f t="shared" si="22"/>
        <v>0</v>
      </c>
      <c r="DP23" s="584">
        <f t="shared" si="22"/>
        <v>0</v>
      </c>
      <c r="DQ23" s="584">
        <f t="shared" si="22"/>
        <v>0</v>
      </c>
      <c r="DR23" s="584">
        <f t="shared" si="22"/>
        <v>0</v>
      </c>
      <c r="DS23" s="584">
        <f t="shared" si="22"/>
        <v>0</v>
      </c>
      <c r="DT23" s="584">
        <f t="shared" si="22"/>
        <v>0</v>
      </c>
      <c r="DU23" s="584">
        <f t="shared" si="22"/>
        <v>0</v>
      </c>
      <c r="DV23" s="584">
        <f t="shared" si="22"/>
        <v>0</v>
      </c>
      <c r="DW23" s="584">
        <f t="shared" si="22"/>
        <v>0</v>
      </c>
      <c r="DX23" s="584">
        <f t="shared" si="22"/>
        <v>2580032927</v>
      </c>
      <c r="DY23" s="584">
        <f t="shared" si="22"/>
        <v>0</v>
      </c>
      <c r="DZ23" s="584">
        <f t="shared" si="22"/>
        <v>0</v>
      </c>
      <c r="EA23" s="584">
        <f t="shared" si="22"/>
        <v>921161000</v>
      </c>
      <c r="EB23" s="584">
        <f t="shared" si="22"/>
        <v>0</v>
      </c>
      <c r="EC23" s="584">
        <f t="shared" si="22"/>
        <v>0</v>
      </c>
      <c r="ED23" s="584">
        <f t="shared" si="22"/>
        <v>0</v>
      </c>
      <c r="EE23" s="584">
        <f t="shared" si="22"/>
        <v>0</v>
      </c>
      <c r="EF23" s="584">
        <f t="shared" si="22"/>
        <v>0</v>
      </c>
      <c r="EG23" s="584">
        <f t="shared" si="22"/>
        <v>0</v>
      </c>
      <c r="EH23" s="584">
        <f t="shared" si="22"/>
        <v>0</v>
      </c>
      <c r="EI23" s="584">
        <f t="shared" si="22"/>
        <v>11482360</v>
      </c>
      <c r="EJ23" s="584">
        <f>EJ24+EJ25</f>
        <v>0</v>
      </c>
      <c r="EK23" s="584">
        <f t="shared" si="22"/>
        <v>0</v>
      </c>
      <c r="EL23" s="584">
        <f t="shared" si="22"/>
        <v>1821683710</v>
      </c>
      <c r="EM23" s="584">
        <f t="shared" si="22"/>
        <v>0</v>
      </c>
      <c r="EN23" s="584">
        <f t="shared" si="22"/>
        <v>996685698</v>
      </c>
      <c r="EO23" s="584">
        <f t="shared" si="22"/>
        <v>0</v>
      </c>
      <c r="EP23" s="584">
        <f t="shared" si="22"/>
        <v>0</v>
      </c>
      <c r="EQ23" s="584">
        <f t="shared" si="22"/>
        <v>0</v>
      </c>
      <c r="ER23" s="584">
        <f t="shared" si="22"/>
        <v>236950000</v>
      </c>
      <c r="ES23" s="584">
        <f t="shared" si="22"/>
        <v>0</v>
      </c>
      <c r="ET23" s="584">
        <f t="shared" si="22"/>
        <v>236950000</v>
      </c>
      <c r="EU23" s="584">
        <f t="shared" si="22"/>
        <v>0</v>
      </c>
      <c r="EV23" s="584">
        <f t="shared" si="22"/>
        <v>0</v>
      </c>
      <c r="EW23" s="584">
        <f t="shared" si="22"/>
        <v>0</v>
      </c>
      <c r="EX23" s="584">
        <f t="shared" si="22"/>
        <v>0</v>
      </c>
      <c r="EY23" s="584">
        <f>EY24+EY25</f>
        <v>0</v>
      </c>
      <c r="EZ23" s="584">
        <f>EZ24+EZ25</f>
        <v>0</v>
      </c>
      <c r="FA23" s="584">
        <f t="shared" si="22"/>
        <v>0</v>
      </c>
      <c r="FB23" s="584">
        <f t="shared" ref="FB23:GB23" si="23">FB24+FB25</f>
        <v>0</v>
      </c>
      <c r="FC23" s="584">
        <f t="shared" si="23"/>
        <v>0</v>
      </c>
      <c r="FD23" s="584">
        <f t="shared" si="23"/>
        <v>0</v>
      </c>
      <c r="FE23" s="584">
        <f t="shared" si="23"/>
        <v>0</v>
      </c>
      <c r="FF23" s="584">
        <f t="shared" si="23"/>
        <v>0</v>
      </c>
      <c r="FG23" s="584">
        <f t="shared" si="23"/>
        <v>0</v>
      </c>
      <c r="FH23" s="584">
        <f t="shared" si="23"/>
        <v>0</v>
      </c>
      <c r="FI23" s="584">
        <f t="shared" si="23"/>
        <v>0</v>
      </c>
      <c r="FJ23" s="584">
        <f t="shared" si="23"/>
        <v>0</v>
      </c>
      <c r="FK23" s="584">
        <f t="shared" si="23"/>
        <v>0</v>
      </c>
      <c r="FL23" s="584">
        <f t="shared" si="23"/>
        <v>0</v>
      </c>
      <c r="FM23" s="584">
        <f t="shared" si="23"/>
        <v>0</v>
      </c>
      <c r="FN23" s="584">
        <f t="shared" si="23"/>
        <v>0</v>
      </c>
      <c r="FO23" s="584">
        <f t="shared" si="23"/>
        <v>0</v>
      </c>
      <c r="FP23" s="584">
        <f t="shared" si="23"/>
        <v>0</v>
      </c>
      <c r="FQ23" s="584">
        <f t="shared" si="23"/>
        <v>0</v>
      </c>
      <c r="FR23" s="584">
        <f t="shared" si="23"/>
        <v>0</v>
      </c>
      <c r="FS23" s="584">
        <f t="shared" si="23"/>
        <v>0</v>
      </c>
      <c r="FT23" s="584">
        <f t="shared" si="23"/>
        <v>200000000</v>
      </c>
      <c r="FU23" s="584">
        <f t="shared" si="23"/>
        <v>36950000</v>
      </c>
      <c r="FV23" s="584">
        <f t="shared" si="23"/>
        <v>0</v>
      </c>
      <c r="FW23" s="584">
        <f t="shared" si="23"/>
        <v>0</v>
      </c>
      <c r="FX23" s="584">
        <f t="shared" si="23"/>
        <v>0</v>
      </c>
      <c r="FY23" s="584">
        <f t="shared" si="23"/>
        <v>0</v>
      </c>
      <c r="FZ23" s="584">
        <f t="shared" si="23"/>
        <v>0</v>
      </c>
      <c r="GA23" s="584">
        <f t="shared" si="23"/>
        <v>0</v>
      </c>
      <c r="GB23" s="584">
        <f t="shared" si="23"/>
        <v>1578016</v>
      </c>
      <c r="GC23" s="586">
        <f>CP23/C23</f>
        <v>1</v>
      </c>
      <c r="GD23" s="586"/>
      <c r="GE23" s="586">
        <f>CW23/J23</f>
        <v>0.99976034349445631</v>
      </c>
      <c r="GF23" s="586">
        <f>ER23/BE23</f>
        <v>0.99974526009781106</v>
      </c>
      <c r="GG23" s="586"/>
    </row>
    <row r="24" spans="1:189" s="92" customFormat="1" ht="17.25" hidden="1" customHeight="1">
      <c r="A24" s="582"/>
      <c r="B24" s="583" t="s">
        <v>183</v>
      </c>
      <c r="C24" s="584">
        <f>D24+BE24+CI24</f>
        <v>107394000</v>
      </c>
      <c r="D24" s="584">
        <f>E24+J24</f>
        <v>107394000</v>
      </c>
      <c r="E24" s="584">
        <f>SUM(F24:I24)</f>
        <v>107394000</v>
      </c>
      <c r="F24" s="584">
        <v>107394000</v>
      </c>
      <c r="G24" s="584"/>
      <c r="H24" s="584"/>
      <c r="I24" s="584"/>
      <c r="J24" s="584">
        <f>SUM(K24:BD24)</f>
        <v>0</v>
      </c>
      <c r="K24" s="584"/>
      <c r="L24" s="584"/>
      <c r="M24" s="584"/>
      <c r="N24" s="584"/>
      <c r="O24" s="584"/>
      <c r="P24" s="584"/>
      <c r="Q24" s="584"/>
      <c r="R24" s="584"/>
      <c r="S24" s="584"/>
      <c r="T24" s="584"/>
      <c r="U24" s="584"/>
      <c r="V24" s="584"/>
      <c r="W24" s="584"/>
      <c r="X24" s="584"/>
      <c r="Y24" s="584"/>
      <c r="Z24" s="584"/>
      <c r="AA24" s="584"/>
      <c r="AB24" s="584"/>
      <c r="AC24" s="584"/>
      <c r="AD24" s="584"/>
      <c r="AE24" s="584"/>
      <c r="AF24" s="584"/>
      <c r="AG24" s="584"/>
      <c r="AH24" s="584"/>
      <c r="AI24" s="584"/>
      <c r="AJ24" s="584"/>
      <c r="AK24" s="584"/>
      <c r="AL24" s="584"/>
      <c r="AM24" s="584"/>
      <c r="AN24" s="584"/>
      <c r="AO24" s="584"/>
      <c r="AP24" s="584"/>
      <c r="AQ24" s="584"/>
      <c r="AR24" s="584"/>
      <c r="AS24" s="584"/>
      <c r="AT24" s="584"/>
      <c r="AU24" s="584"/>
      <c r="AV24" s="584"/>
      <c r="AW24" s="584"/>
      <c r="AX24" s="584"/>
      <c r="AY24" s="584"/>
      <c r="AZ24" s="584"/>
      <c r="BA24" s="584"/>
      <c r="BB24" s="584"/>
      <c r="BC24" s="584"/>
      <c r="BD24" s="584"/>
      <c r="BE24" s="584">
        <f>SUM(BF24:BG24)</f>
        <v>0</v>
      </c>
      <c r="BF24" s="584">
        <f>SUM(BH24:BI24)+BJ24+SUM(BL24:BN24)+BW24+CE24</f>
        <v>0</v>
      </c>
      <c r="BG24" s="584">
        <f>BK24+SUM(BO24:BV24)+SUM(BX24:CD24)+SUM(CF24:CH24)</f>
        <v>0</v>
      </c>
      <c r="BH24" s="584"/>
      <c r="BI24" s="584"/>
      <c r="BJ24" s="584"/>
      <c r="BK24" s="584"/>
      <c r="BL24" s="584"/>
      <c r="BM24" s="584"/>
      <c r="BN24" s="584"/>
      <c r="BO24" s="584"/>
      <c r="BP24" s="584"/>
      <c r="BQ24" s="584"/>
      <c r="BR24" s="584"/>
      <c r="BS24" s="584"/>
      <c r="BT24" s="584"/>
      <c r="BU24" s="584"/>
      <c r="BV24" s="584"/>
      <c r="BW24" s="584"/>
      <c r="BX24" s="584"/>
      <c r="BY24" s="584"/>
      <c r="BZ24" s="584"/>
      <c r="CA24" s="584"/>
      <c r="CB24" s="584"/>
      <c r="CC24" s="584"/>
      <c r="CD24" s="584"/>
      <c r="CE24" s="584"/>
      <c r="CF24" s="584"/>
      <c r="CG24" s="584"/>
      <c r="CH24" s="584"/>
      <c r="CI24" s="584">
        <f>SUM(CJ24:CK24)</f>
        <v>0</v>
      </c>
      <c r="CJ24" s="584">
        <f>SUM(CL24:CL24)</f>
        <v>0</v>
      </c>
      <c r="CK24" s="584">
        <f>SUM(CM24:CN24)</f>
        <v>0</v>
      </c>
      <c r="CL24" s="584"/>
      <c r="CM24" s="584"/>
      <c r="CN24" s="584"/>
      <c r="CO24" s="583" t="s">
        <v>183</v>
      </c>
      <c r="CP24" s="584">
        <f>CQ24+ER24+FV24+GB24</f>
        <v>107394000</v>
      </c>
      <c r="CQ24" s="584">
        <f>CR24+CW24</f>
        <v>107394000</v>
      </c>
      <c r="CR24" s="584">
        <f>SUM(CS24:CV24)</f>
        <v>107394000</v>
      </c>
      <c r="CS24" s="584">
        <v>107394000</v>
      </c>
      <c r="CT24" s="584"/>
      <c r="CU24" s="584"/>
      <c r="CV24" s="584"/>
      <c r="CW24" s="584">
        <f>SUM(CX24:EQ24)</f>
        <v>0</v>
      </c>
      <c r="CX24" s="584"/>
      <c r="CY24" s="584"/>
      <c r="CZ24" s="584"/>
      <c r="DA24" s="584"/>
      <c r="DB24" s="584"/>
      <c r="DC24" s="584"/>
      <c r="DD24" s="584"/>
      <c r="DE24" s="584"/>
      <c r="DF24" s="584"/>
      <c r="DG24" s="584"/>
      <c r="DH24" s="584"/>
      <c r="DI24" s="584"/>
      <c r="DJ24" s="584"/>
      <c r="DK24" s="584"/>
      <c r="DL24" s="584"/>
      <c r="DM24" s="584"/>
      <c r="DN24" s="584"/>
      <c r="DO24" s="584"/>
      <c r="DP24" s="584"/>
      <c r="DQ24" s="584"/>
      <c r="DR24" s="584"/>
      <c r="DS24" s="584"/>
      <c r="DT24" s="584"/>
      <c r="DU24" s="584"/>
      <c r="DV24" s="584"/>
      <c r="DW24" s="584"/>
      <c r="DX24" s="584"/>
      <c r="DY24" s="584"/>
      <c r="DZ24" s="584"/>
      <c r="EA24" s="584"/>
      <c r="EB24" s="584"/>
      <c r="EC24" s="584"/>
      <c r="ED24" s="584"/>
      <c r="EE24" s="584"/>
      <c r="EF24" s="584"/>
      <c r="EG24" s="584"/>
      <c r="EH24" s="584"/>
      <c r="EI24" s="584"/>
      <c r="EJ24" s="584"/>
      <c r="EK24" s="584"/>
      <c r="EL24" s="584"/>
      <c r="EM24" s="584"/>
      <c r="EN24" s="584"/>
      <c r="EO24" s="584"/>
      <c r="EP24" s="584"/>
      <c r="EQ24" s="584"/>
      <c r="ER24" s="584">
        <f>SUM(ES24:ET24)</f>
        <v>0</v>
      </c>
      <c r="ES24" s="584">
        <f>SUM(EU24:EV24)+EW24+SUM(EY24:FA24)+FJ24+FR24</f>
        <v>0</v>
      </c>
      <c r="ET24" s="584">
        <f>EX24+SUM(FB24:FI24)+SUM(FK24:FQ24)+SUM(FS24:FU24)</f>
        <v>0</v>
      </c>
      <c r="EU24" s="584"/>
      <c r="EV24" s="584"/>
      <c r="EW24" s="584"/>
      <c r="EX24" s="584"/>
      <c r="EY24" s="584"/>
      <c r="EZ24" s="584"/>
      <c r="FA24" s="584"/>
      <c r="FB24" s="584"/>
      <c r="FC24" s="584"/>
      <c r="FD24" s="584"/>
      <c r="FE24" s="584"/>
      <c r="FF24" s="584"/>
      <c r="FG24" s="584"/>
      <c r="FH24" s="584"/>
      <c r="FI24" s="584"/>
      <c r="FJ24" s="584"/>
      <c r="FK24" s="584"/>
      <c r="FL24" s="584"/>
      <c r="FM24" s="584"/>
      <c r="FN24" s="584"/>
      <c r="FO24" s="584"/>
      <c r="FP24" s="584"/>
      <c r="FQ24" s="584"/>
      <c r="FR24" s="584"/>
      <c r="FS24" s="584"/>
      <c r="FT24" s="584"/>
      <c r="FU24" s="584"/>
      <c r="FV24" s="584">
        <f>SUM(FW24:FX24)</f>
        <v>0</v>
      </c>
      <c r="FW24" s="584">
        <f>SUM(FY24:FY24)</f>
        <v>0</v>
      </c>
      <c r="FX24" s="584">
        <f>SUM(FZ24:GA24)</f>
        <v>0</v>
      </c>
      <c r="FY24" s="584"/>
      <c r="FZ24" s="584"/>
      <c r="GA24" s="584"/>
      <c r="GB24" s="584"/>
      <c r="GC24" s="586"/>
      <c r="GD24" s="586"/>
      <c r="GE24" s="586"/>
      <c r="GF24" s="586"/>
      <c r="GG24" s="586"/>
    </row>
    <row r="25" spans="1:189" s="92" customFormat="1" ht="17.25" hidden="1" customHeight="1">
      <c r="A25" s="582"/>
      <c r="B25" s="583" t="s">
        <v>184</v>
      </c>
      <c r="C25" s="584">
        <f>D25+BE25+CI25</f>
        <v>6569573711</v>
      </c>
      <c r="D25" s="584">
        <f>E25+J25</f>
        <v>6332563335</v>
      </c>
      <c r="E25" s="584">
        <f>SUM(F25:I25)</f>
        <v>0</v>
      </c>
      <c r="F25" s="584"/>
      <c r="G25" s="584"/>
      <c r="H25" s="584"/>
      <c r="I25" s="584"/>
      <c r="J25" s="584">
        <f>SUM(K25:BD25)</f>
        <v>6332563335</v>
      </c>
      <c r="K25" s="584"/>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584"/>
      <c r="AI25" s="584"/>
      <c r="AJ25" s="584"/>
      <c r="AK25" s="584">
        <v>2580032927</v>
      </c>
      <c r="AL25" s="584"/>
      <c r="AM25" s="584"/>
      <c r="AN25" s="584">
        <v>921161000</v>
      </c>
      <c r="AO25" s="584"/>
      <c r="AP25" s="584"/>
      <c r="AQ25" s="584"/>
      <c r="AR25" s="584"/>
      <c r="AS25" s="584"/>
      <c r="AT25" s="584"/>
      <c r="AU25" s="584"/>
      <c r="AV25" s="584">
        <f>10000000+1500000+1500000</f>
        <v>13000000</v>
      </c>
      <c r="AW25" s="584"/>
      <c r="AX25" s="584"/>
      <c r="AY25" s="584">
        <v>1821683710</v>
      </c>
      <c r="AZ25" s="584"/>
      <c r="BA25" s="584">
        <f>906552000+28930500+61203198</f>
        <v>996685698</v>
      </c>
      <c r="BB25" s="584"/>
      <c r="BC25" s="584"/>
      <c r="BD25" s="584"/>
      <c r="BE25" s="584">
        <f>SUM(BF25:BG25)</f>
        <v>237010376</v>
      </c>
      <c r="BF25" s="584">
        <f>SUM(BH25:BI25)+BJ25+SUM(BL25:BN25)+BW25+CE25</f>
        <v>0</v>
      </c>
      <c r="BG25" s="584">
        <f>BK25+SUM(BO25:BV25)+SUM(BX25:CD25)+SUM(CF25:CH25)</f>
        <v>237010376</v>
      </c>
      <c r="BH25" s="584"/>
      <c r="BI25" s="584"/>
      <c r="BJ25" s="584"/>
      <c r="BK25" s="584"/>
      <c r="BL25" s="584"/>
      <c r="BM25" s="584"/>
      <c r="BN25" s="584"/>
      <c r="BO25" s="584"/>
      <c r="BP25" s="584"/>
      <c r="BQ25" s="584"/>
      <c r="BR25" s="584"/>
      <c r="BS25" s="584"/>
      <c r="BT25" s="584"/>
      <c r="BU25" s="584"/>
      <c r="BV25" s="584"/>
      <c r="BW25" s="584"/>
      <c r="BX25" s="584"/>
      <c r="BY25" s="584"/>
      <c r="BZ25" s="584"/>
      <c r="CA25" s="584"/>
      <c r="CB25" s="584"/>
      <c r="CC25" s="584"/>
      <c r="CD25" s="584"/>
      <c r="CE25" s="584"/>
      <c r="CF25" s="584"/>
      <c r="CG25" s="584">
        <v>200000000</v>
      </c>
      <c r="CH25" s="584">
        <f>30000000+7010376</f>
        <v>37010376</v>
      </c>
      <c r="CI25" s="584">
        <f>SUM(CJ25:CK25)</f>
        <v>0</v>
      </c>
      <c r="CJ25" s="584">
        <f>SUM(CL25:CL25)</f>
        <v>0</v>
      </c>
      <c r="CK25" s="584">
        <f>SUM(CM25:CN25)</f>
        <v>0</v>
      </c>
      <c r="CL25" s="584"/>
      <c r="CM25" s="584"/>
      <c r="CN25" s="584"/>
      <c r="CO25" s="583" t="s">
        <v>184</v>
      </c>
      <c r="CP25" s="584">
        <f>CQ25+ER25+FV25+GB25</f>
        <v>6569573711</v>
      </c>
      <c r="CQ25" s="584">
        <f>CR25+CW25</f>
        <v>6331045695</v>
      </c>
      <c r="CR25" s="584">
        <f>SUM(CS25:CV25)</f>
        <v>0</v>
      </c>
      <c r="CS25" s="584"/>
      <c r="CT25" s="584"/>
      <c r="CU25" s="584"/>
      <c r="CV25" s="584"/>
      <c r="CW25" s="584">
        <f>SUM(CX25:EQ25)</f>
        <v>6331045695</v>
      </c>
      <c r="CX25" s="584"/>
      <c r="CY25" s="584"/>
      <c r="CZ25" s="584"/>
      <c r="DA25" s="584"/>
      <c r="DB25" s="584"/>
      <c r="DC25" s="584"/>
      <c r="DD25" s="584"/>
      <c r="DE25" s="584"/>
      <c r="DF25" s="584"/>
      <c r="DG25" s="584"/>
      <c r="DH25" s="584"/>
      <c r="DI25" s="584"/>
      <c r="DJ25" s="584"/>
      <c r="DK25" s="584"/>
      <c r="DL25" s="584"/>
      <c r="DM25" s="584"/>
      <c r="DN25" s="584"/>
      <c r="DO25" s="584"/>
      <c r="DP25" s="584"/>
      <c r="DQ25" s="584"/>
      <c r="DR25" s="584"/>
      <c r="DS25" s="584"/>
      <c r="DT25" s="584"/>
      <c r="DU25" s="584"/>
      <c r="DV25" s="584"/>
      <c r="DW25" s="584"/>
      <c r="DX25" s="584">
        <v>2580032927</v>
      </c>
      <c r="DY25" s="584"/>
      <c r="DZ25" s="584"/>
      <c r="EA25" s="584">
        <v>921161000</v>
      </c>
      <c r="EB25" s="584"/>
      <c r="EC25" s="584"/>
      <c r="ED25" s="584"/>
      <c r="EE25" s="584"/>
      <c r="EF25" s="584"/>
      <c r="EG25" s="584"/>
      <c r="EH25" s="584"/>
      <c r="EI25" s="584">
        <f>9982360+1500000</f>
        <v>11482360</v>
      </c>
      <c r="EJ25" s="584"/>
      <c r="EK25" s="584"/>
      <c r="EL25" s="584">
        <v>1821683710</v>
      </c>
      <c r="EM25" s="584"/>
      <c r="EN25" s="584">
        <f>906552000+28930500+61203198</f>
        <v>996685698</v>
      </c>
      <c r="EO25" s="584"/>
      <c r="EP25" s="584"/>
      <c r="EQ25" s="584"/>
      <c r="ER25" s="584">
        <f>SUM(ES25:ET25)</f>
        <v>236950000</v>
      </c>
      <c r="ES25" s="584">
        <f>SUM(EU25:EV25)+EW25+SUM(EY25:FA25)+FJ25+FR25</f>
        <v>0</v>
      </c>
      <c r="ET25" s="584">
        <f>EX25+SUM(FB25:FI25)+SUM(FK25:FQ25)+SUM(FS25:FU25)</f>
        <v>236950000</v>
      </c>
      <c r="EU25" s="584"/>
      <c r="EV25" s="584"/>
      <c r="EW25" s="584"/>
      <c r="EX25" s="584"/>
      <c r="EY25" s="584"/>
      <c r="EZ25" s="584"/>
      <c r="FA25" s="584"/>
      <c r="FB25" s="584"/>
      <c r="FC25" s="584"/>
      <c r="FD25" s="584"/>
      <c r="FE25" s="584"/>
      <c r="FF25" s="584"/>
      <c r="FG25" s="584"/>
      <c r="FH25" s="584"/>
      <c r="FI25" s="584"/>
      <c r="FJ25" s="584"/>
      <c r="FK25" s="584"/>
      <c r="FL25" s="584"/>
      <c r="FM25" s="584"/>
      <c r="FN25" s="584"/>
      <c r="FO25" s="584"/>
      <c r="FP25" s="584"/>
      <c r="FQ25" s="584"/>
      <c r="FR25" s="584"/>
      <c r="FS25" s="584"/>
      <c r="FT25" s="584">
        <f>200000000</f>
        <v>200000000</v>
      </c>
      <c r="FU25" s="584">
        <f>29939624+7010376</f>
        <v>36950000</v>
      </c>
      <c r="FV25" s="584">
        <f>SUM(FW25:FX25)</f>
        <v>0</v>
      </c>
      <c r="FW25" s="584">
        <f>SUM(FY25:FY25)</f>
        <v>0</v>
      </c>
      <c r="FX25" s="584">
        <f>SUM(FZ25:GA25)</f>
        <v>0</v>
      </c>
      <c r="FY25" s="584"/>
      <c r="FZ25" s="584"/>
      <c r="GA25" s="584"/>
      <c r="GB25" s="584">
        <f>1500000+60376+17640</f>
        <v>1578016</v>
      </c>
      <c r="GC25" s="586">
        <f>CP25/C25</f>
        <v>1</v>
      </c>
      <c r="GD25" s="586"/>
      <c r="GE25" s="586">
        <f>CW25/J25</f>
        <v>0.99976034349445631</v>
      </c>
      <c r="GF25" s="586">
        <f>ER25/BE25</f>
        <v>0.99974526009781106</v>
      </c>
      <c r="GG25" s="586"/>
    </row>
    <row r="26" spans="1:189" s="92" customFormat="1" ht="17.25" customHeight="1">
      <c r="A26" s="582">
        <v>5</v>
      </c>
      <c r="B26" s="583" t="s">
        <v>189</v>
      </c>
      <c r="C26" s="584">
        <f t="shared" ref="C26:AU26" si="24">C27+C28</f>
        <v>1004081720</v>
      </c>
      <c r="D26" s="584">
        <f t="shared" si="24"/>
        <v>1004081720</v>
      </c>
      <c r="E26" s="584">
        <f t="shared" si="24"/>
        <v>0</v>
      </c>
      <c r="F26" s="584">
        <f t="shared" si="24"/>
        <v>0</v>
      </c>
      <c r="G26" s="584">
        <f t="shared" si="24"/>
        <v>0</v>
      </c>
      <c r="H26" s="584">
        <f t="shared" si="24"/>
        <v>0</v>
      </c>
      <c r="I26" s="584">
        <f t="shared" si="24"/>
        <v>0</v>
      </c>
      <c r="J26" s="584">
        <f t="shared" si="24"/>
        <v>1004081720</v>
      </c>
      <c r="K26" s="584">
        <f t="shared" si="24"/>
        <v>0</v>
      </c>
      <c r="L26" s="584">
        <f t="shared" si="24"/>
        <v>0</v>
      </c>
      <c r="M26" s="584">
        <f t="shared" si="24"/>
        <v>0</v>
      </c>
      <c r="N26" s="584">
        <f t="shared" si="24"/>
        <v>0</v>
      </c>
      <c r="O26" s="584">
        <f t="shared" si="24"/>
        <v>0</v>
      </c>
      <c r="P26" s="584">
        <f t="shared" si="24"/>
        <v>0</v>
      </c>
      <c r="Q26" s="584">
        <f t="shared" si="24"/>
        <v>0</v>
      </c>
      <c r="R26" s="584">
        <f t="shared" si="24"/>
        <v>0</v>
      </c>
      <c r="S26" s="584">
        <f t="shared" si="24"/>
        <v>0</v>
      </c>
      <c r="T26" s="584">
        <f t="shared" si="24"/>
        <v>0</v>
      </c>
      <c r="U26" s="584">
        <f t="shared" si="24"/>
        <v>0</v>
      </c>
      <c r="V26" s="584">
        <f t="shared" si="24"/>
        <v>0</v>
      </c>
      <c r="W26" s="584">
        <f t="shared" si="24"/>
        <v>0</v>
      </c>
      <c r="X26" s="584">
        <f t="shared" si="24"/>
        <v>0</v>
      </c>
      <c r="Y26" s="584">
        <f t="shared" si="24"/>
        <v>0</v>
      </c>
      <c r="Z26" s="584">
        <f t="shared" si="24"/>
        <v>0</v>
      </c>
      <c r="AA26" s="584">
        <f t="shared" si="24"/>
        <v>0</v>
      </c>
      <c r="AB26" s="584">
        <f t="shared" si="24"/>
        <v>0</v>
      </c>
      <c r="AC26" s="584">
        <f t="shared" si="24"/>
        <v>0</v>
      </c>
      <c r="AD26" s="584">
        <f t="shared" si="24"/>
        <v>0</v>
      </c>
      <c r="AE26" s="584">
        <f t="shared" si="24"/>
        <v>0</v>
      </c>
      <c r="AF26" s="584">
        <f t="shared" si="24"/>
        <v>0</v>
      </c>
      <c r="AG26" s="584">
        <f t="shared" si="24"/>
        <v>0</v>
      </c>
      <c r="AH26" s="584">
        <f t="shared" si="24"/>
        <v>0</v>
      </c>
      <c r="AI26" s="584">
        <f t="shared" si="24"/>
        <v>0</v>
      </c>
      <c r="AJ26" s="584">
        <f t="shared" si="24"/>
        <v>0</v>
      </c>
      <c r="AK26" s="584">
        <f t="shared" si="24"/>
        <v>0</v>
      </c>
      <c r="AL26" s="584">
        <f t="shared" si="24"/>
        <v>0</v>
      </c>
      <c r="AM26" s="584">
        <f t="shared" si="24"/>
        <v>0</v>
      </c>
      <c r="AN26" s="584">
        <f t="shared" si="24"/>
        <v>0</v>
      </c>
      <c r="AO26" s="584">
        <f t="shared" si="24"/>
        <v>0</v>
      </c>
      <c r="AP26" s="584">
        <f t="shared" si="24"/>
        <v>0</v>
      </c>
      <c r="AQ26" s="584">
        <f t="shared" si="24"/>
        <v>0</v>
      </c>
      <c r="AR26" s="584">
        <f t="shared" si="24"/>
        <v>0</v>
      </c>
      <c r="AS26" s="584">
        <f t="shared" si="24"/>
        <v>0</v>
      </c>
      <c r="AT26" s="584">
        <f t="shared" si="24"/>
        <v>0</v>
      </c>
      <c r="AU26" s="584">
        <f t="shared" si="24"/>
        <v>0</v>
      </c>
      <c r="AV26" s="584">
        <f>AV27+AV28</f>
        <v>0</v>
      </c>
      <c r="AW26" s="584">
        <f>AW27+AW28</f>
        <v>0</v>
      </c>
      <c r="AX26" s="584">
        <f t="shared" ref="AX26:CN26" si="25">AX27+AX28</f>
        <v>0</v>
      </c>
      <c r="AY26" s="584">
        <f t="shared" si="25"/>
        <v>0</v>
      </c>
      <c r="AZ26" s="584">
        <f t="shared" si="25"/>
        <v>0</v>
      </c>
      <c r="BA26" s="584">
        <f t="shared" si="25"/>
        <v>1004081720</v>
      </c>
      <c r="BB26" s="584">
        <f t="shared" si="25"/>
        <v>0</v>
      </c>
      <c r="BC26" s="584">
        <f t="shared" si="25"/>
        <v>0</v>
      </c>
      <c r="BD26" s="584">
        <f t="shared" si="25"/>
        <v>0</v>
      </c>
      <c r="BE26" s="584">
        <f t="shared" si="25"/>
        <v>0</v>
      </c>
      <c r="BF26" s="584">
        <f t="shared" si="25"/>
        <v>0</v>
      </c>
      <c r="BG26" s="584">
        <f t="shared" si="25"/>
        <v>0</v>
      </c>
      <c r="BH26" s="584">
        <f t="shared" si="25"/>
        <v>0</v>
      </c>
      <c r="BI26" s="584">
        <f t="shared" si="25"/>
        <v>0</v>
      </c>
      <c r="BJ26" s="584">
        <f t="shared" si="25"/>
        <v>0</v>
      </c>
      <c r="BK26" s="584">
        <f t="shared" si="25"/>
        <v>0</v>
      </c>
      <c r="BL26" s="584">
        <f>BL27+BL28</f>
        <v>0</v>
      </c>
      <c r="BM26" s="584">
        <f>BM27+BM28</f>
        <v>0</v>
      </c>
      <c r="BN26" s="584">
        <f t="shared" si="25"/>
        <v>0</v>
      </c>
      <c r="BO26" s="584">
        <f t="shared" si="25"/>
        <v>0</v>
      </c>
      <c r="BP26" s="584">
        <f t="shared" si="25"/>
        <v>0</v>
      </c>
      <c r="BQ26" s="584">
        <f t="shared" si="25"/>
        <v>0</v>
      </c>
      <c r="BR26" s="584">
        <f t="shared" si="25"/>
        <v>0</v>
      </c>
      <c r="BS26" s="584">
        <f t="shared" si="25"/>
        <v>0</v>
      </c>
      <c r="BT26" s="584">
        <f t="shared" si="25"/>
        <v>0</v>
      </c>
      <c r="BU26" s="584">
        <f t="shared" si="25"/>
        <v>0</v>
      </c>
      <c r="BV26" s="584">
        <f t="shared" si="25"/>
        <v>0</v>
      </c>
      <c r="BW26" s="584">
        <f t="shared" si="25"/>
        <v>0</v>
      </c>
      <c r="BX26" s="584">
        <f t="shared" si="25"/>
        <v>0</v>
      </c>
      <c r="BY26" s="584">
        <f t="shared" si="25"/>
        <v>0</v>
      </c>
      <c r="BZ26" s="584">
        <f t="shared" si="25"/>
        <v>0</v>
      </c>
      <c r="CA26" s="584">
        <f t="shared" si="25"/>
        <v>0</v>
      </c>
      <c r="CB26" s="584">
        <f t="shared" si="25"/>
        <v>0</v>
      </c>
      <c r="CC26" s="584">
        <f t="shared" si="25"/>
        <v>0</v>
      </c>
      <c r="CD26" s="584">
        <f t="shared" si="25"/>
        <v>0</v>
      </c>
      <c r="CE26" s="584">
        <f t="shared" si="25"/>
        <v>0</v>
      </c>
      <c r="CF26" s="584">
        <f t="shared" si="25"/>
        <v>0</v>
      </c>
      <c r="CG26" s="584">
        <f t="shared" si="25"/>
        <v>0</v>
      </c>
      <c r="CH26" s="584">
        <f t="shared" si="25"/>
        <v>0</v>
      </c>
      <c r="CI26" s="584">
        <f t="shared" si="25"/>
        <v>0</v>
      </c>
      <c r="CJ26" s="584">
        <f t="shared" si="25"/>
        <v>0</v>
      </c>
      <c r="CK26" s="584">
        <f t="shared" si="25"/>
        <v>0</v>
      </c>
      <c r="CL26" s="584">
        <f t="shared" si="25"/>
        <v>0</v>
      </c>
      <c r="CM26" s="584">
        <f t="shared" si="25"/>
        <v>0</v>
      </c>
      <c r="CN26" s="584">
        <f t="shared" si="25"/>
        <v>0</v>
      </c>
      <c r="CO26" s="583" t="s">
        <v>189</v>
      </c>
      <c r="CP26" s="584">
        <f t="shared" ref="CP26:FA26" si="26">CP27+CP28</f>
        <v>1004081720</v>
      </c>
      <c r="CQ26" s="584">
        <f t="shared" si="26"/>
        <v>1004081720</v>
      </c>
      <c r="CR26" s="584">
        <f t="shared" si="26"/>
        <v>0</v>
      </c>
      <c r="CS26" s="584">
        <f t="shared" si="26"/>
        <v>0</v>
      </c>
      <c r="CT26" s="584">
        <f t="shared" si="26"/>
        <v>0</v>
      </c>
      <c r="CU26" s="584">
        <f t="shared" si="26"/>
        <v>0</v>
      </c>
      <c r="CV26" s="584">
        <f t="shared" si="26"/>
        <v>0</v>
      </c>
      <c r="CW26" s="584">
        <f t="shared" si="26"/>
        <v>1004081720</v>
      </c>
      <c r="CX26" s="584">
        <f t="shared" si="26"/>
        <v>0</v>
      </c>
      <c r="CY26" s="584">
        <f t="shared" si="26"/>
        <v>0</v>
      </c>
      <c r="CZ26" s="584">
        <f t="shared" si="26"/>
        <v>0</v>
      </c>
      <c r="DA26" s="584">
        <f t="shared" si="26"/>
        <v>0</v>
      </c>
      <c r="DB26" s="584">
        <f t="shared" si="26"/>
        <v>0</v>
      </c>
      <c r="DC26" s="584">
        <f t="shared" si="26"/>
        <v>0</v>
      </c>
      <c r="DD26" s="584">
        <f t="shared" si="26"/>
        <v>0</v>
      </c>
      <c r="DE26" s="584">
        <f t="shared" si="26"/>
        <v>0</v>
      </c>
      <c r="DF26" s="584">
        <f t="shared" si="26"/>
        <v>0</v>
      </c>
      <c r="DG26" s="584">
        <f t="shared" si="26"/>
        <v>0</v>
      </c>
      <c r="DH26" s="584">
        <f t="shared" si="26"/>
        <v>0</v>
      </c>
      <c r="DI26" s="584">
        <f t="shared" si="26"/>
        <v>0</v>
      </c>
      <c r="DJ26" s="584">
        <f t="shared" si="26"/>
        <v>0</v>
      </c>
      <c r="DK26" s="584">
        <f t="shared" si="26"/>
        <v>0</v>
      </c>
      <c r="DL26" s="584">
        <f t="shared" si="26"/>
        <v>0</v>
      </c>
      <c r="DM26" s="584">
        <f>DM27+DM28</f>
        <v>0</v>
      </c>
      <c r="DN26" s="584">
        <f t="shared" si="26"/>
        <v>0</v>
      </c>
      <c r="DO26" s="584">
        <f t="shared" si="26"/>
        <v>0</v>
      </c>
      <c r="DP26" s="584">
        <f t="shared" si="26"/>
        <v>0</v>
      </c>
      <c r="DQ26" s="584">
        <f t="shared" si="26"/>
        <v>0</v>
      </c>
      <c r="DR26" s="584">
        <f t="shared" si="26"/>
        <v>0</v>
      </c>
      <c r="DS26" s="584">
        <f t="shared" si="26"/>
        <v>0</v>
      </c>
      <c r="DT26" s="584">
        <f t="shared" si="26"/>
        <v>0</v>
      </c>
      <c r="DU26" s="584">
        <f t="shared" si="26"/>
        <v>0</v>
      </c>
      <c r="DV26" s="584">
        <f t="shared" si="26"/>
        <v>0</v>
      </c>
      <c r="DW26" s="584">
        <f t="shared" si="26"/>
        <v>0</v>
      </c>
      <c r="DX26" s="584">
        <f t="shared" si="26"/>
        <v>0</v>
      </c>
      <c r="DY26" s="584">
        <f t="shared" si="26"/>
        <v>0</v>
      </c>
      <c r="DZ26" s="584">
        <f t="shared" si="26"/>
        <v>0</v>
      </c>
      <c r="EA26" s="584">
        <f t="shared" si="26"/>
        <v>0</v>
      </c>
      <c r="EB26" s="584">
        <f t="shared" si="26"/>
        <v>0</v>
      </c>
      <c r="EC26" s="584">
        <f t="shared" si="26"/>
        <v>0</v>
      </c>
      <c r="ED26" s="584">
        <f t="shared" si="26"/>
        <v>0</v>
      </c>
      <c r="EE26" s="584">
        <f t="shared" si="26"/>
        <v>0</v>
      </c>
      <c r="EF26" s="584">
        <f t="shared" si="26"/>
        <v>0</v>
      </c>
      <c r="EG26" s="584">
        <f t="shared" si="26"/>
        <v>0</v>
      </c>
      <c r="EH26" s="584">
        <f t="shared" si="26"/>
        <v>0</v>
      </c>
      <c r="EI26" s="584">
        <f>EI27+EI28</f>
        <v>0</v>
      </c>
      <c r="EJ26" s="584">
        <f>EJ27+EJ28</f>
        <v>0</v>
      </c>
      <c r="EK26" s="584">
        <f t="shared" si="26"/>
        <v>0</v>
      </c>
      <c r="EL26" s="584">
        <f t="shared" si="26"/>
        <v>0</v>
      </c>
      <c r="EM26" s="584">
        <f t="shared" si="26"/>
        <v>0</v>
      </c>
      <c r="EN26" s="584">
        <f t="shared" si="26"/>
        <v>1004081720</v>
      </c>
      <c r="EO26" s="584">
        <f t="shared" si="26"/>
        <v>0</v>
      </c>
      <c r="EP26" s="584">
        <f t="shared" si="26"/>
        <v>0</v>
      </c>
      <c r="EQ26" s="584">
        <f t="shared" si="26"/>
        <v>0</v>
      </c>
      <c r="ER26" s="584">
        <f t="shared" si="26"/>
        <v>0</v>
      </c>
      <c r="ES26" s="584">
        <f t="shared" si="26"/>
        <v>0</v>
      </c>
      <c r="ET26" s="584">
        <f t="shared" si="26"/>
        <v>0</v>
      </c>
      <c r="EU26" s="584">
        <f t="shared" si="26"/>
        <v>0</v>
      </c>
      <c r="EV26" s="584">
        <f t="shared" si="26"/>
        <v>0</v>
      </c>
      <c r="EW26" s="584">
        <f t="shared" si="26"/>
        <v>0</v>
      </c>
      <c r="EX26" s="584">
        <f t="shared" si="26"/>
        <v>0</v>
      </c>
      <c r="EY26" s="584">
        <f>EY27+EY28</f>
        <v>0</v>
      </c>
      <c r="EZ26" s="584">
        <f>EZ27+EZ28</f>
        <v>0</v>
      </c>
      <c r="FA26" s="584">
        <f t="shared" si="26"/>
        <v>0</v>
      </c>
      <c r="FB26" s="584">
        <f t="shared" ref="FB26:GB26" si="27">FB27+FB28</f>
        <v>0</v>
      </c>
      <c r="FC26" s="584">
        <f t="shared" si="27"/>
        <v>0</v>
      </c>
      <c r="FD26" s="584">
        <f t="shared" si="27"/>
        <v>0</v>
      </c>
      <c r="FE26" s="584">
        <f t="shared" si="27"/>
        <v>0</v>
      </c>
      <c r="FF26" s="584">
        <f t="shared" si="27"/>
        <v>0</v>
      </c>
      <c r="FG26" s="584">
        <f t="shared" si="27"/>
        <v>0</v>
      </c>
      <c r="FH26" s="584">
        <f t="shared" si="27"/>
        <v>0</v>
      </c>
      <c r="FI26" s="584">
        <f t="shared" si="27"/>
        <v>0</v>
      </c>
      <c r="FJ26" s="584">
        <f t="shared" si="27"/>
        <v>0</v>
      </c>
      <c r="FK26" s="584">
        <f t="shared" si="27"/>
        <v>0</v>
      </c>
      <c r="FL26" s="584">
        <f t="shared" si="27"/>
        <v>0</v>
      </c>
      <c r="FM26" s="584">
        <f t="shared" si="27"/>
        <v>0</v>
      </c>
      <c r="FN26" s="584">
        <f t="shared" si="27"/>
        <v>0</v>
      </c>
      <c r="FO26" s="584">
        <f t="shared" si="27"/>
        <v>0</v>
      </c>
      <c r="FP26" s="584">
        <f t="shared" si="27"/>
        <v>0</v>
      </c>
      <c r="FQ26" s="584">
        <f t="shared" si="27"/>
        <v>0</v>
      </c>
      <c r="FR26" s="584">
        <f t="shared" si="27"/>
        <v>0</v>
      </c>
      <c r="FS26" s="584">
        <f t="shared" si="27"/>
        <v>0</v>
      </c>
      <c r="FT26" s="584">
        <f t="shared" si="27"/>
        <v>0</v>
      </c>
      <c r="FU26" s="584">
        <f t="shared" si="27"/>
        <v>0</v>
      </c>
      <c r="FV26" s="584">
        <f t="shared" si="27"/>
        <v>0</v>
      </c>
      <c r="FW26" s="584">
        <f t="shared" si="27"/>
        <v>0</v>
      </c>
      <c r="FX26" s="584">
        <f t="shared" si="27"/>
        <v>0</v>
      </c>
      <c r="FY26" s="584">
        <f t="shared" si="27"/>
        <v>0</v>
      </c>
      <c r="FZ26" s="584">
        <f t="shared" si="27"/>
        <v>0</v>
      </c>
      <c r="GA26" s="584">
        <f t="shared" si="27"/>
        <v>0</v>
      </c>
      <c r="GB26" s="584">
        <f t="shared" si="27"/>
        <v>0</v>
      </c>
      <c r="GC26" s="586">
        <f>CP26/C26</f>
        <v>1</v>
      </c>
      <c r="GD26" s="586"/>
      <c r="GE26" s="586">
        <f>CW26/J26</f>
        <v>1</v>
      </c>
      <c r="GF26" s="586"/>
      <c r="GG26" s="586"/>
    </row>
    <row r="27" spans="1:189" s="92" customFormat="1" ht="17.25" hidden="1" customHeight="1">
      <c r="A27" s="582"/>
      <c r="B27" s="583" t="s">
        <v>183</v>
      </c>
      <c r="C27" s="584">
        <f>D27+BE27+CI27</f>
        <v>0</v>
      </c>
      <c r="D27" s="584">
        <f>E27+J27</f>
        <v>0</v>
      </c>
      <c r="E27" s="584">
        <f>SUM(F27:I27)</f>
        <v>0</v>
      </c>
      <c r="F27" s="584"/>
      <c r="G27" s="584"/>
      <c r="H27" s="584"/>
      <c r="I27" s="584"/>
      <c r="J27" s="584">
        <f>SUM(K27:BD27)</f>
        <v>0</v>
      </c>
      <c r="K27" s="584"/>
      <c r="L27" s="584"/>
      <c r="M27" s="584"/>
      <c r="N27" s="584"/>
      <c r="O27" s="584"/>
      <c r="P27" s="584"/>
      <c r="Q27" s="584"/>
      <c r="R27" s="584"/>
      <c r="S27" s="584"/>
      <c r="T27" s="584"/>
      <c r="U27" s="584"/>
      <c r="V27" s="584"/>
      <c r="W27" s="584"/>
      <c r="X27" s="584"/>
      <c r="Y27" s="584"/>
      <c r="Z27" s="584"/>
      <c r="AA27" s="584"/>
      <c r="AB27" s="584"/>
      <c r="AC27" s="584"/>
      <c r="AD27" s="584"/>
      <c r="AE27" s="584"/>
      <c r="AF27" s="584"/>
      <c r="AG27" s="584"/>
      <c r="AH27" s="584"/>
      <c r="AI27" s="584"/>
      <c r="AJ27" s="584"/>
      <c r="AK27" s="584"/>
      <c r="AL27" s="584"/>
      <c r="AM27" s="584"/>
      <c r="AN27" s="584"/>
      <c r="AO27" s="584"/>
      <c r="AP27" s="584"/>
      <c r="AQ27" s="584"/>
      <c r="AR27" s="584"/>
      <c r="AS27" s="584"/>
      <c r="AT27" s="584"/>
      <c r="AU27" s="584"/>
      <c r="AV27" s="584"/>
      <c r="AW27" s="584"/>
      <c r="AX27" s="584"/>
      <c r="AY27" s="584"/>
      <c r="AZ27" s="584"/>
      <c r="BA27" s="584"/>
      <c r="BB27" s="584"/>
      <c r="BC27" s="584"/>
      <c r="BD27" s="584"/>
      <c r="BE27" s="584">
        <f>SUM(BF27:BG27)</f>
        <v>0</v>
      </c>
      <c r="BF27" s="584">
        <f>SUM(BH27:BI27)+BJ27+SUM(BL27:BN27)+BW27+CE27</f>
        <v>0</v>
      </c>
      <c r="BG27" s="584">
        <f>BK27+SUM(BO27:BV27)+SUM(BX27:CD27)+SUM(CF27:CH27)</f>
        <v>0</v>
      </c>
      <c r="BH27" s="584"/>
      <c r="BI27" s="584"/>
      <c r="BJ27" s="584"/>
      <c r="BK27" s="584"/>
      <c r="BL27" s="584"/>
      <c r="BM27" s="584"/>
      <c r="BN27" s="584"/>
      <c r="BO27" s="584"/>
      <c r="BP27" s="584"/>
      <c r="BQ27" s="584"/>
      <c r="BR27" s="584"/>
      <c r="BS27" s="584"/>
      <c r="BT27" s="584"/>
      <c r="BU27" s="584"/>
      <c r="BV27" s="584"/>
      <c r="BW27" s="584"/>
      <c r="BX27" s="584"/>
      <c r="BY27" s="584"/>
      <c r="BZ27" s="584"/>
      <c r="CA27" s="584"/>
      <c r="CB27" s="584"/>
      <c r="CC27" s="584"/>
      <c r="CD27" s="584"/>
      <c r="CE27" s="584"/>
      <c r="CF27" s="584"/>
      <c r="CG27" s="584"/>
      <c r="CH27" s="584"/>
      <c r="CI27" s="584">
        <f>SUM(CJ27:CK27)</f>
        <v>0</v>
      </c>
      <c r="CJ27" s="584">
        <f>SUM(CL27:CL27)</f>
        <v>0</v>
      </c>
      <c r="CK27" s="584">
        <f>SUM(CM27:CN27)</f>
        <v>0</v>
      </c>
      <c r="CL27" s="584"/>
      <c r="CM27" s="584"/>
      <c r="CN27" s="584"/>
      <c r="CO27" s="583" t="s">
        <v>183</v>
      </c>
      <c r="CP27" s="584">
        <f>CQ27+ER27+FV27+GB27</f>
        <v>0</v>
      </c>
      <c r="CQ27" s="584">
        <f>CR27+CW27</f>
        <v>0</v>
      </c>
      <c r="CR27" s="584">
        <f>SUM(CS27:CV27)</f>
        <v>0</v>
      </c>
      <c r="CS27" s="584"/>
      <c r="CT27" s="584"/>
      <c r="CU27" s="584"/>
      <c r="CV27" s="584"/>
      <c r="CW27" s="584">
        <f>SUM(CX27:EQ27)</f>
        <v>0</v>
      </c>
      <c r="CX27" s="584"/>
      <c r="CY27" s="584"/>
      <c r="CZ27" s="584"/>
      <c r="DA27" s="584"/>
      <c r="DB27" s="584"/>
      <c r="DC27" s="584"/>
      <c r="DD27" s="584"/>
      <c r="DE27" s="584"/>
      <c r="DF27" s="584"/>
      <c r="DG27" s="584"/>
      <c r="DH27" s="584"/>
      <c r="DI27" s="584"/>
      <c r="DJ27" s="584"/>
      <c r="DK27" s="584"/>
      <c r="DL27" s="584"/>
      <c r="DM27" s="584"/>
      <c r="DN27" s="584"/>
      <c r="DO27" s="584"/>
      <c r="DP27" s="584"/>
      <c r="DQ27" s="584"/>
      <c r="DR27" s="584"/>
      <c r="DS27" s="584"/>
      <c r="DT27" s="584"/>
      <c r="DU27" s="584"/>
      <c r="DV27" s="584"/>
      <c r="DW27" s="584"/>
      <c r="DX27" s="584"/>
      <c r="DY27" s="584"/>
      <c r="DZ27" s="584"/>
      <c r="EA27" s="584"/>
      <c r="EB27" s="584"/>
      <c r="EC27" s="584"/>
      <c r="ED27" s="584"/>
      <c r="EE27" s="584"/>
      <c r="EF27" s="584"/>
      <c r="EG27" s="584"/>
      <c r="EH27" s="584"/>
      <c r="EI27" s="584"/>
      <c r="EJ27" s="584"/>
      <c r="EK27" s="584"/>
      <c r="EL27" s="584"/>
      <c r="EM27" s="584"/>
      <c r="EN27" s="584"/>
      <c r="EO27" s="584"/>
      <c r="EP27" s="584"/>
      <c r="EQ27" s="584"/>
      <c r="ER27" s="584">
        <f>SUM(ES27:ET27)</f>
        <v>0</v>
      </c>
      <c r="ES27" s="584">
        <f>SUM(EU27:EV27)+EW27+SUM(EY27:FA27)+FJ27+FR27</f>
        <v>0</v>
      </c>
      <c r="ET27" s="584">
        <f>EX27+SUM(FB27:FI27)+SUM(FK27:FQ27)+SUM(FS27:FU27)</f>
        <v>0</v>
      </c>
      <c r="EU27" s="584"/>
      <c r="EV27" s="584"/>
      <c r="EW27" s="584"/>
      <c r="EX27" s="584"/>
      <c r="EY27" s="584"/>
      <c r="EZ27" s="584"/>
      <c r="FA27" s="584"/>
      <c r="FB27" s="584"/>
      <c r="FC27" s="584"/>
      <c r="FD27" s="584"/>
      <c r="FE27" s="584"/>
      <c r="FF27" s="584"/>
      <c r="FG27" s="584"/>
      <c r="FH27" s="584"/>
      <c r="FI27" s="584"/>
      <c r="FJ27" s="584"/>
      <c r="FK27" s="584"/>
      <c r="FL27" s="584"/>
      <c r="FM27" s="584"/>
      <c r="FN27" s="584"/>
      <c r="FO27" s="584"/>
      <c r="FP27" s="584"/>
      <c r="FQ27" s="584"/>
      <c r="FR27" s="584"/>
      <c r="FS27" s="584"/>
      <c r="FT27" s="584"/>
      <c r="FU27" s="584"/>
      <c r="FV27" s="584">
        <f>SUM(FW27:FX27)</f>
        <v>0</v>
      </c>
      <c r="FW27" s="584">
        <f>SUM(FY27:FY27)</f>
        <v>0</v>
      </c>
      <c r="FX27" s="584">
        <f>SUM(FZ27:GA27)</f>
        <v>0</v>
      </c>
      <c r="FY27" s="584"/>
      <c r="FZ27" s="584"/>
      <c r="GA27" s="584"/>
      <c r="GB27" s="584"/>
      <c r="GC27" s="586"/>
      <c r="GD27" s="586"/>
      <c r="GE27" s="586"/>
      <c r="GF27" s="586"/>
      <c r="GG27" s="586"/>
    </row>
    <row r="28" spans="1:189" s="92" customFormat="1" ht="17.25" hidden="1" customHeight="1">
      <c r="A28" s="582"/>
      <c r="B28" s="583" t="s">
        <v>184</v>
      </c>
      <c r="C28" s="584">
        <f>D28+BE28+CI28</f>
        <v>1004081720</v>
      </c>
      <c r="D28" s="584">
        <f>E28+J28</f>
        <v>1004081720</v>
      </c>
      <c r="E28" s="584">
        <f>SUM(F28:I28)</f>
        <v>0</v>
      </c>
      <c r="F28" s="584"/>
      <c r="G28" s="584"/>
      <c r="H28" s="584"/>
      <c r="I28" s="584"/>
      <c r="J28" s="584">
        <f>SUM(K28:BD28)</f>
        <v>1004081720</v>
      </c>
      <c r="K28" s="584"/>
      <c r="L28" s="584"/>
      <c r="M28" s="584"/>
      <c r="N28" s="584"/>
      <c r="O28" s="584"/>
      <c r="P28" s="584"/>
      <c r="Q28" s="584"/>
      <c r="R28" s="584"/>
      <c r="S28" s="584"/>
      <c r="T28" s="584"/>
      <c r="U28" s="584"/>
      <c r="V28" s="584"/>
      <c r="W28" s="584"/>
      <c r="X28" s="584"/>
      <c r="Y28" s="584"/>
      <c r="Z28" s="584"/>
      <c r="AA28" s="584"/>
      <c r="AB28" s="584"/>
      <c r="AC28" s="584"/>
      <c r="AD28" s="584"/>
      <c r="AE28" s="584"/>
      <c r="AF28" s="584"/>
      <c r="AG28" s="584"/>
      <c r="AH28" s="584"/>
      <c r="AI28" s="584"/>
      <c r="AJ28" s="584"/>
      <c r="AK28" s="584"/>
      <c r="AL28" s="584"/>
      <c r="AM28" s="584"/>
      <c r="AN28" s="584"/>
      <c r="AO28" s="584"/>
      <c r="AP28" s="584"/>
      <c r="AQ28" s="584"/>
      <c r="AR28" s="584"/>
      <c r="AS28" s="584"/>
      <c r="AT28" s="584"/>
      <c r="AU28" s="584"/>
      <c r="AV28" s="584"/>
      <c r="AW28" s="584"/>
      <c r="AX28" s="584"/>
      <c r="AY28" s="584"/>
      <c r="AZ28" s="584"/>
      <c r="BA28" s="584">
        <v>1004081720</v>
      </c>
      <c r="BB28" s="584"/>
      <c r="BC28" s="584"/>
      <c r="BD28" s="584"/>
      <c r="BE28" s="584">
        <f>SUM(BF28:BG28)</f>
        <v>0</v>
      </c>
      <c r="BF28" s="584">
        <f>SUM(BH28:BI28)+BJ28+SUM(BL28:BN28)+BW28+CE28</f>
        <v>0</v>
      </c>
      <c r="BG28" s="584">
        <f>BK28+SUM(BO28:BV28)+SUM(BX28:CD28)+SUM(CF28:CH28)</f>
        <v>0</v>
      </c>
      <c r="BH28" s="584"/>
      <c r="BI28" s="584"/>
      <c r="BJ28" s="584"/>
      <c r="BK28" s="584"/>
      <c r="BL28" s="584"/>
      <c r="BM28" s="584"/>
      <c r="BN28" s="584"/>
      <c r="BO28" s="584"/>
      <c r="BP28" s="584"/>
      <c r="BQ28" s="584"/>
      <c r="BR28" s="584"/>
      <c r="BS28" s="584"/>
      <c r="BT28" s="584"/>
      <c r="BU28" s="584"/>
      <c r="BV28" s="584"/>
      <c r="BW28" s="584"/>
      <c r="BX28" s="584"/>
      <c r="BY28" s="584"/>
      <c r="BZ28" s="584"/>
      <c r="CA28" s="584"/>
      <c r="CB28" s="584"/>
      <c r="CC28" s="584"/>
      <c r="CD28" s="584"/>
      <c r="CE28" s="584"/>
      <c r="CF28" s="584"/>
      <c r="CG28" s="584"/>
      <c r="CH28" s="584"/>
      <c r="CI28" s="584">
        <f>SUM(CJ28:CK28)</f>
        <v>0</v>
      </c>
      <c r="CJ28" s="584">
        <f>SUM(CL28:CL28)</f>
        <v>0</v>
      </c>
      <c r="CK28" s="584">
        <f>SUM(CM28:CN28)</f>
        <v>0</v>
      </c>
      <c r="CL28" s="584"/>
      <c r="CM28" s="584"/>
      <c r="CN28" s="584"/>
      <c r="CO28" s="583" t="s">
        <v>184</v>
      </c>
      <c r="CP28" s="584">
        <f>CQ28+ER28+FV28+GB28</f>
        <v>1004081720</v>
      </c>
      <c r="CQ28" s="584">
        <f>CR28+CW28</f>
        <v>1004081720</v>
      </c>
      <c r="CR28" s="584">
        <f>SUM(CS28:CV28)</f>
        <v>0</v>
      </c>
      <c r="CS28" s="584"/>
      <c r="CT28" s="584"/>
      <c r="CU28" s="584"/>
      <c r="CV28" s="584"/>
      <c r="CW28" s="584">
        <f>SUM(CX28:EQ28)</f>
        <v>1004081720</v>
      </c>
      <c r="CX28" s="584"/>
      <c r="CY28" s="584"/>
      <c r="CZ28" s="584"/>
      <c r="DA28" s="584"/>
      <c r="DB28" s="584"/>
      <c r="DC28" s="584"/>
      <c r="DD28" s="584"/>
      <c r="DE28" s="584"/>
      <c r="DF28" s="584"/>
      <c r="DG28" s="584"/>
      <c r="DH28" s="584"/>
      <c r="DI28" s="584"/>
      <c r="DJ28" s="584"/>
      <c r="DK28" s="584"/>
      <c r="DL28" s="584"/>
      <c r="DM28" s="584"/>
      <c r="DN28" s="584"/>
      <c r="DO28" s="584"/>
      <c r="DP28" s="584"/>
      <c r="DQ28" s="584"/>
      <c r="DR28" s="584"/>
      <c r="DS28" s="584"/>
      <c r="DT28" s="584"/>
      <c r="DU28" s="584"/>
      <c r="DV28" s="584"/>
      <c r="DW28" s="584"/>
      <c r="DX28" s="584"/>
      <c r="DY28" s="584"/>
      <c r="DZ28" s="584"/>
      <c r="EA28" s="584"/>
      <c r="EB28" s="584"/>
      <c r="EC28" s="584"/>
      <c r="ED28" s="584"/>
      <c r="EE28" s="584"/>
      <c r="EF28" s="584"/>
      <c r="EG28" s="584"/>
      <c r="EH28" s="584"/>
      <c r="EI28" s="584"/>
      <c r="EJ28" s="584"/>
      <c r="EK28" s="584"/>
      <c r="EL28" s="584"/>
      <c r="EM28" s="584"/>
      <c r="EN28" s="584">
        <v>1004081720</v>
      </c>
      <c r="EO28" s="584"/>
      <c r="EP28" s="584"/>
      <c r="EQ28" s="584"/>
      <c r="ER28" s="584">
        <f>SUM(ES28:ET28)</f>
        <v>0</v>
      </c>
      <c r="ES28" s="584">
        <f>SUM(EU28:EV28)+EW28+SUM(EY28:FA28)+FJ28+FR28</f>
        <v>0</v>
      </c>
      <c r="ET28" s="584">
        <f>EX28+SUM(FB28:FI28)+SUM(FK28:FQ28)+SUM(FS28:FU28)</f>
        <v>0</v>
      </c>
      <c r="EU28" s="584"/>
      <c r="EV28" s="584"/>
      <c r="EW28" s="584"/>
      <c r="EX28" s="584"/>
      <c r="EY28" s="584"/>
      <c r="EZ28" s="584"/>
      <c r="FA28" s="584"/>
      <c r="FB28" s="584"/>
      <c r="FC28" s="584"/>
      <c r="FD28" s="584"/>
      <c r="FE28" s="584"/>
      <c r="FF28" s="584"/>
      <c r="FG28" s="584"/>
      <c r="FH28" s="584"/>
      <c r="FI28" s="584"/>
      <c r="FJ28" s="584"/>
      <c r="FK28" s="584"/>
      <c r="FL28" s="584"/>
      <c r="FM28" s="584"/>
      <c r="FN28" s="584"/>
      <c r="FO28" s="584"/>
      <c r="FP28" s="584"/>
      <c r="FQ28" s="584"/>
      <c r="FR28" s="584"/>
      <c r="FS28" s="584"/>
      <c r="FT28" s="584"/>
      <c r="FU28" s="584"/>
      <c r="FV28" s="584">
        <f>SUM(FW28:FX28)</f>
        <v>0</v>
      </c>
      <c r="FW28" s="584">
        <f>SUM(FY28:FY28)</f>
        <v>0</v>
      </c>
      <c r="FX28" s="584">
        <f>SUM(FZ28:GA28)</f>
        <v>0</v>
      </c>
      <c r="FY28" s="584"/>
      <c r="FZ28" s="584"/>
      <c r="GA28" s="584"/>
      <c r="GB28" s="584"/>
      <c r="GC28" s="586">
        <f>CP28/C28</f>
        <v>1</v>
      </c>
      <c r="GD28" s="586"/>
      <c r="GE28" s="586">
        <f>CW28/J28</f>
        <v>1</v>
      </c>
      <c r="GF28" s="586"/>
      <c r="GG28" s="586"/>
    </row>
    <row r="29" spans="1:189" s="92" customFormat="1" ht="17.25" customHeight="1">
      <c r="A29" s="582">
        <v>6</v>
      </c>
      <c r="B29" s="583" t="s">
        <v>187</v>
      </c>
      <c r="C29" s="584">
        <f t="shared" ref="C29:AU29" si="28">C30+C31</f>
        <v>1546272213</v>
      </c>
      <c r="D29" s="584">
        <f t="shared" si="28"/>
        <v>1546272213</v>
      </c>
      <c r="E29" s="584">
        <f t="shared" si="28"/>
        <v>0</v>
      </c>
      <c r="F29" s="584">
        <f t="shared" si="28"/>
        <v>0</v>
      </c>
      <c r="G29" s="584">
        <f t="shared" si="28"/>
        <v>0</v>
      </c>
      <c r="H29" s="584">
        <f t="shared" si="28"/>
        <v>0</v>
      </c>
      <c r="I29" s="584">
        <f t="shared" si="28"/>
        <v>0</v>
      </c>
      <c r="J29" s="584">
        <f t="shared" si="28"/>
        <v>1546272213</v>
      </c>
      <c r="K29" s="584">
        <f t="shared" si="28"/>
        <v>0</v>
      </c>
      <c r="L29" s="584">
        <f t="shared" si="28"/>
        <v>0</v>
      </c>
      <c r="M29" s="584">
        <f t="shared" si="28"/>
        <v>0</v>
      </c>
      <c r="N29" s="584">
        <f t="shared" si="28"/>
        <v>0</v>
      </c>
      <c r="O29" s="584">
        <f t="shared" si="28"/>
        <v>0</v>
      </c>
      <c r="P29" s="584">
        <f t="shared" si="28"/>
        <v>0</v>
      </c>
      <c r="Q29" s="584">
        <f t="shared" si="28"/>
        <v>0</v>
      </c>
      <c r="R29" s="584">
        <f t="shared" si="28"/>
        <v>0</v>
      </c>
      <c r="S29" s="584">
        <f t="shared" si="28"/>
        <v>0</v>
      </c>
      <c r="T29" s="584">
        <f t="shared" si="28"/>
        <v>0</v>
      </c>
      <c r="U29" s="584">
        <f t="shared" si="28"/>
        <v>0</v>
      </c>
      <c r="V29" s="584">
        <f t="shared" si="28"/>
        <v>0</v>
      </c>
      <c r="W29" s="584">
        <f t="shared" si="28"/>
        <v>0</v>
      </c>
      <c r="X29" s="584">
        <f t="shared" si="28"/>
        <v>0</v>
      </c>
      <c r="Y29" s="584">
        <f t="shared" si="28"/>
        <v>0</v>
      </c>
      <c r="Z29" s="584">
        <f t="shared" si="28"/>
        <v>0</v>
      </c>
      <c r="AA29" s="584">
        <f t="shared" si="28"/>
        <v>0</v>
      </c>
      <c r="AB29" s="584">
        <f t="shared" si="28"/>
        <v>0</v>
      </c>
      <c r="AC29" s="584">
        <f t="shared" si="28"/>
        <v>0</v>
      </c>
      <c r="AD29" s="584">
        <f t="shared" si="28"/>
        <v>0</v>
      </c>
      <c r="AE29" s="584">
        <f t="shared" si="28"/>
        <v>0</v>
      </c>
      <c r="AF29" s="584">
        <f t="shared" si="28"/>
        <v>0</v>
      </c>
      <c r="AG29" s="584">
        <f t="shared" si="28"/>
        <v>0</v>
      </c>
      <c r="AH29" s="584">
        <f t="shared" si="28"/>
        <v>0</v>
      </c>
      <c r="AI29" s="584">
        <f t="shared" si="28"/>
        <v>0</v>
      </c>
      <c r="AJ29" s="584">
        <f t="shared" si="28"/>
        <v>0</v>
      </c>
      <c r="AK29" s="584">
        <f t="shared" si="28"/>
        <v>0</v>
      </c>
      <c r="AL29" s="584">
        <f t="shared" si="28"/>
        <v>0</v>
      </c>
      <c r="AM29" s="584">
        <f t="shared" si="28"/>
        <v>0</v>
      </c>
      <c r="AN29" s="584">
        <f t="shared" si="28"/>
        <v>0</v>
      </c>
      <c r="AO29" s="584">
        <f t="shared" si="28"/>
        <v>0</v>
      </c>
      <c r="AP29" s="584">
        <f t="shared" si="28"/>
        <v>0</v>
      </c>
      <c r="AQ29" s="584">
        <f t="shared" si="28"/>
        <v>0</v>
      </c>
      <c r="AR29" s="584">
        <f t="shared" si="28"/>
        <v>0</v>
      </c>
      <c r="AS29" s="584">
        <f t="shared" si="28"/>
        <v>0</v>
      </c>
      <c r="AT29" s="584">
        <f t="shared" si="28"/>
        <v>0</v>
      </c>
      <c r="AU29" s="584">
        <f t="shared" si="28"/>
        <v>0</v>
      </c>
      <c r="AV29" s="584">
        <f>AV30+AV31</f>
        <v>0</v>
      </c>
      <c r="AW29" s="584">
        <f>AW30+AW31</f>
        <v>0</v>
      </c>
      <c r="AX29" s="584">
        <f t="shared" ref="AX29:CN29" si="29">AX30+AX31</f>
        <v>0</v>
      </c>
      <c r="AY29" s="584">
        <f t="shared" si="29"/>
        <v>0</v>
      </c>
      <c r="AZ29" s="584">
        <f t="shared" si="29"/>
        <v>0</v>
      </c>
      <c r="BA29" s="584">
        <f t="shared" si="29"/>
        <v>1546272213</v>
      </c>
      <c r="BB29" s="584">
        <f t="shared" si="29"/>
        <v>0</v>
      </c>
      <c r="BC29" s="584">
        <f t="shared" si="29"/>
        <v>0</v>
      </c>
      <c r="BD29" s="584">
        <f t="shared" si="29"/>
        <v>0</v>
      </c>
      <c r="BE29" s="584">
        <f t="shared" si="29"/>
        <v>0</v>
      </c>
      <c r="BF29" s="584">
        <f t="shared" si="29"/>
        <v>0</v>
      </c>
      <c r="BG29" s="584">
        <f t="shared" si="29"/>
        <v>0</v>
      </c>
      <c r="BH29" s="584">
        <f t="shared" si="29"/>
        <v>0</v>
      </c>
      <c r="BI29" s="584">
        <f t="shared" si="29"/>
        <v>0</v>
      </c>
      <c r="BJ29" s="584">
        <f t="shared" si="29"/>
        <v>0</v>
      </c>
      <c r="BK29" s="584">
        <f t="shared" si="29"/>
        <v>0</v>
      </c>
      <c r="BL29" s="584">
        <f>BL30+BL31</f>
        <v>0</v>
      </c>
      <c r="BM29" s="584">
        <f>BM30+BM31</f>
        <v>0</v>
      </c>
      <c r="BN29" s="584">
        <f t="shared" si="29"/>
        <v>0</v>
      </c>
      <c r="BO29" s="584">
        <f t="shared" si="29"/>
        <v>0</v>
      </c>
      <c r="BP29" s="584">
        <f t="shared" si="29"/>
        <v>0</v>
      </c>
      <c r="BQ29" s="584">
        <f t="shared" si="29"/>
        <v>0</v>
      </c>
      <c r="BR29" s="584">
        <f t="shared" si="29"/>
        <v>0</v>
      </c>
      <c r="BS29" s="584">
        <f t="shared" si="29"/>
        <v>0</v>
      </c>
      <c r="BT29" s="584">
        <f t="shared" si="29"/>
        <v>0</v>
      </c>
      <c r="BU29" s="584">
        <f t="shared" si="29"/>
        <v>0</v>
      </c>
      <c r="BV29" s="584">
        <f t="shared" si="29"/>
        <v>0</v>
      </c>
      <c r="BW29" s="584">
        <f t="shared" si="29"/>
        <v>0</v>
      </c>
      <c r="BX29" s="584">
        <f t="shared" si="29"/>
        <v>0</v>
      </c>
      <c r="BY29" s="584">
        <f t="shared" si="29"/>
        <v>0</v>
      </c>
      <c r="BZ29" s="584">
        <f t="shared" si="29"/>
        <v>0</v>
      </c>
      <c r="CA29" s="584">
        <f t="shared" si="29"/>
        <v>0</v>
      </c>
      <c r="CB29" s="584">
        <f t="shared" si="29"/>
        <v>0</v>
      </c>
      <c r="CC29" s="584">
        <f t="shared" si="29"/>
        <v>0</v>
      </c>
      <c r="CD29" s="584">
        <f t="shared" si="29"/>
        <v>0</v>
      </c>
      <c r="CE29" s="584">
        <f t="shared" si="29"/>
        <v>0</v>
      </c>
      <c r="CF29" s="584">
        <f t="shared" si="29"/>
        <v>0</v>
      </c>
      <c r="CG29" s="584">
        <f t="shared" si="29"/>
        <v>0</v>
      </c>
      <c r="CH29" s="584">
        <f t="shared" si="29"/>
        <v>0</v>
      </c>
      <c r="CI29" s="584">
        <f t="shared" si="29"/>
        <v>0</v>
      </c>
      <c r="CJ29" s="584">
        <f t="shared" si="29"/>
        <v>0</v>
      </c>
      <c r="CK29" s="584">
        <f t="shared" si="29"/>
        <v>0</v>
      </c>
      <c r="CL29" s="584">
        <f t="shared" si="29"/>
        <v>0</v>
      </c>
      <c r="CM29" s="584">
        <f t="shared" si="29"/>
        <v>0</v>
      </c>
      <c r="CN29" s="584">
        <f t="shared" si="29"/>
        <v>0</v>
      </c>
      <c r="CO29" s="583" t="s">
        <v>187</v>
      </c>
      <c r="CP29" s="584">
        <f t="shared" ref="CP29:FA29" si="30">CP30+CP31</f>
        <v>1546272213</v>
      </c>
      <c r="CQ29" s="584">
        <f t="shared" si="30"/>
        <v>1546272213</v>
      </c>
      <c r="CR29" s="584">
        <f t="shared" si="30"/>
        <v>0</v>
      </c>
      <c r="CS29" s="584">
        <f t="shared" si="30"/>
        <v>0</v>
      </c>
      <c r="CT29" s="584">
        <f t="shared" si="30"/>
        <v>0</v>
      </c>
      <c r="CU29" s="584">
        <f t="shared" si="30"/>
        <v>0</v>
      </c>
      <c r="CV29" s="584">
        <f t="shared" si="30"/>
        <v>0</v>
      </c>
      <c r="CW29" s="584">
        <f t="shared" si="30"/>
        <v>1546272213</v>
      </c>
      <c r="CX29" s="584">
        <f t="shared" si="30"/>
        <v>0</v>
      </c>
      <c r="CY29" s="584">
        <f t="shared" si="30"/>
        <v>0</v>
      </c>
      <c r="CZ29" s="584">
        <f t="shared" si="30"/>
        <v>0</v>
      </c>
      <c r="DA29" s="584">
        <f t="shared" si="30"/>
        <v>0</v>
      </c>
      <c r="DB29" s="584">
        <f t="shared" si="30"/>
        <v>0</v>
      </c>
      <c r="DC29" s="584">
        <f t="shared" si="30"/>
        <v>0</v>
      </c>
      <c r="DD29" s="584">
        <f t="shared" si="30"/>
        <v>0</v>
      </c>
      <c r="DE29" s="584">
        <f t="shared" si="30"/>
        <v>0</v>
      </c>
      <c r="DF29" s="584">
        <f t="shared" si="30"/>
        <v>0</v>
      </c>
      <c r="DG29" s="584">
        <f t="shared" si="30"/>
        <v>0</v>
      </c>
      <c r="DH29" s="584">
        <f t="shared" si="30"/>
        <v>0</v>
      </c>
      <c r="DI29" s="584">
        <f t="shared" si="30"/>
        <v>0</v>
      </c>
      <c r="DJ29" s="584">
        <f t="shared" si="30"/>
        <v>0</v>
      </c>
      <c r="DK29" s="584">
        <f t="shared" si="30"/>
        <v>0</v>
      </c>
      <c r="DL29" s="584">
        <f t="shared" si="30"/>
        <v>0</v>
      </c>
      <c r="DM29" s="584">
        <f>DM30+DM31</f>
        <v>0</v>
      </c>
      <c r="DN29" s="584">
        <f t="shared" si="30"/>
        <v>0</v>
      </c>
      <c r="DO29" s="584">
        <f t="shared" si="30"/>
        <v>0</v>
      </c>
      <c r="DP29" s="584">
        <f t="shared" si="30"/>
        <v>0</v>
      </c>
      <c r="DQ29" s="584">
        <f t="shared" si="30"/>
        <v>0</v>
      </c>
      <c r="DR29" s="584">
        <f t="shared" si="30"/>
        <v>0</v>
      </c>
      <c r="DS29" s="584">
        <f t="shared" si="30"/>
        <v>0</v>
      </c>
      <c r="DT29" s="584">
        <f t="shared" si="30"/>
        <v>0</v>
      </c>
      <c r="DU29" s="584">
        <f t="shared" si="30"/>
        <v>0</v>
      </c>
      <c r="DV29" s="584">
        <f t="shared" si="30"/>
        <v>0</v>
      </c>
      <c r="DW29" s="584">
        <f t="shared" si="30"/>
        <v>0</v>
      </c>
      <c r="DX29" s="584">
        <f t="shared" si="30"/>
        <v>0</v>
      </c>
      <c r="DY29" s="584">
        <f t="shared" si="30"/>
        <v>0</v>
      </c>
      <c r="DZ29" s="584">
        <f t="shared" si="30"/>
        <v>0</v>
      </c>
      <c r="EA29" s="584">
        <f t="shared" si="30"/>
        <v>0</v>
      </c>
      <c r="EB29" s="584">
        <f t="shared" si="30"/>
        <v>0</v>
      </c>
      <c r="EC29" s="584">
        <f t="shared" si="30"/>
        <v>0</v>
      </c>
      <c r="ED29" s="584">
        <f t="shared" si="30"/>
        <v>0</v>
      </c>
      <c r="EE29" s="584">
        <f t="shared" si="30"/>
        <v>0</v>
      </c>
      <c r="EF29" s="584">
        <f t="shared" si="30"/>
        <v>0</v>
      </c>
      <c r="EG29" s="584">
        <f t="shared" si="30"/>
        <v>0</v>
      </c>
      <c r="EH29" s="584">
        <f t="shared" si="30"/>
        <v>0</v>
      </c>
      <c r="EI29" s="584">
        <f>EI30+EI31</f>
        <v>0</v>
      </c>
      <c r="EJ29" s="584">
        <f>EJ30+EJ31</f>
        <v>0</v>
      </c>
      <c r="EK29" s="584">
        <f t="shared" si="30"/>
        <v>0</v>
      </c>
      <c r="EL29" s="584">
        <f t="shared" si="30"/>
        <v>0</v>
      </c>
      <c r="EM29" s="584">
        <f t="shared" si="30"/>
        <v>0</v>
      </c>
      <c r="EN29" s="584">
        <f t="shared" si="30"/>
        <v>1546272213</v>
      </c>
      <c r="EO29" s="584">
        <f t="shared" si="30"/>
        <v>0</v>
      </c>
      <c r="EP29" s="584">
        <f t="shared" si="30"/>
        <v>0</v>
      </c>
      <c r="EQ29" s="584">
        <f t="shared" si="30"/>
        <v>0</v>
      </c>
      <c r="ER29" s="584">
        <f t="shared" si="30"/>
        <v>0</v>
      </c>
      <c r="ES29" s="584">
        <f t="shared" si="30"/>
        <v>0</v>
      </c>
      <c r="ET29" s="584">
        <f t="shared" si="30"/>
        <v>0</v>
      </c>
      <c r="EU29" s="584">
        <f t="shared" si="30"/>
        <v>0</v>
      </c>
      <c r="EV29" s="584">
        <f t="shared" si="30"/>
        <v>0</v>
      </c>
      <c r="EW29" s="584">
        <f t="shared" si="30"/>
        <v>0</v>
      </c>
      <c r="EX29" s="584">
        <f t="shared" si="30"/>
        <v>0</v>
      </c>
      <c r="EY29" s="584">
        <f>EY30+EY31</f>
        <v>0</v>
      </c>
      <c r="EZ29" s="584">
        <f>EZ30+EZ31</f>
        <v>0</v>
      </c>
      <c r="FA29" s="584">
        <f t="shared" si="30"/>
        <v>0</v>
      </c>
      <c r="FB29" s="584">
        <f t="shared" ref="FB29:GB29" si="31">FB30+FB31</f>
        <v>0</v>
      </c>
      <c r="FC29" s="584">
        <f t="shared" si="31"/>
        <v>0</v>
      </c>
      <c r="FD29" s="584">
        <f t="shared" si="31"/>
        <v>0</v>
      </c>
      <c r="FE29" s="584">
        <f t="shared" si="31"/>
        <v>0</v>
      </c>
      <c r="FF29" s="584">
        <f t="shared" si="31"/>
        <v>0</v>
      </c>
      <c r="FG29" s="584">
        <f t="shared" si="31"/>
        <v>0</v>
      </c>
      <c r="FH29" s="584">
        <f t="shared" si="31"/>
        <v>0</v>
      </c>
      <c r="FI29" s="584">
        <f t="shared" si="31"/>
        <v>0</v>
      </c>
      <c r="FJ29" s="584">
        <f t="shared" si="31"/>
        <v>0</v>
      </c>
      <c r="FK29" s="584">
        <f t="shared" si="31"/>
        <v>0</v>
      </c>
      <c r="FL29" s="584">
        <f t="shared" si="31"/>
        <v>0</v>
      </c>
      <c r="FM29" s="584">
        <f t="shared" si="31"/>
        <v>0</v>
      </c>
      <c r="FN29" s="584">
        <f t="shared" si="31"/>
        <v>0</v>
      </c>
      <c r="FO29" s="584">
        <f t="shared" si="31"/>
        <v>0</v>
      </c>
      <c r="FP29" s="584">
        <f t="shared" si="31"/>
        <v>0</v>
      </c>
      <c r="FQ29" s="584">
        <f t="shared" si="31"/>
        <v>0</v>
      </c>
      <c r="FR29" s="584">
        <f t="shared" si="31"/>
        <v>0</v>
      </c>
      <c r="FS29" s="584">
        <f t="shared" si="31"/>
        <v>0</v>
      </c>
      <c r="FT29" s="584">
        <f t="shared" si="31"/>
        <v>0</v>
      </c>
      <c r="FU29" s="584">
        <f t="shared" si="31"/>
        <v>0</v>
      </c>
      <c r="FV29" s="584">
        <f t="shared" si="31"/>
        <v>0</v>
      </c>
      <c r="FW29" s="584">
        <f t="shared" si="31"/>
        <v>0</v>
      </c>
      <c r="FX29" s="584">
        <f t="shared" si="31"/>
        <v>0</v>
      </c>
      <c r="FY29" s="584">
        <f t="shared" si="31"/>
        <v>0</v>
      </c>
      <c r="FZ29" s="584">
        <f t="shared" si="31"/>
        <v>0</v>
      </c>
      <c r="GA29" s="584">
        <f t="shared" si="31"/>
        <v>0</v>
      </c>
      <c r="GB29" s="584">
        <f t="shared" si="31"/>
        <v>0</v>
      </c>
      <c r="GC29" s="586">
        <f>CP29/C29</f>
        <v>1</v>
      </c>
      <c r="GD29" s="586"/>
      <c r="GE29" s="586">
        <f>CW29/J29</f>
        <v>1</v>
      </c>
      <c r="GF29" s="586"/>
      <c r="GG29" s="586"/>
    </row>
    <row r="30" spans="1:189" s="92" customFormat="1" ht="17.25" hidden="1" customHeight="1">
      <c r="A30" s="582"/>
      <c r="B30" s="583" t="s">
        <v>183</v>
      </c>
      <c r="C30" s="584">
        <f>D30+BE30+CI30</f>
        <v>0</v>
      </c>
      <c r="D30" s="584">
        <f>E30+J30</f>
        <v>0</v>
      </c>
      <c r="E30" s="584">
        <f>SUM(F30:I30)</f>
        <v>0</v>
      </c>
      <c r="F30" s="584"/>
      <c r="G30" s="584"/>
      <c r="H30" s="584"/>
      <c r="I30" s="584"/>
      <c r="J30" s="584">
        <f>SUM(K30:BD30)</f>
        <v>0</v>
      </c>
      <c r="K30" s="584"/>
      <c r="L30" s="584"/>
      <c r="M30" s="584"/>
      <c r="N30" s="584"/>
      <c r="O30" s="584"/>
      <c r="P30" s="584"/>
      <c r="Q30" s="584"/>
      <c r="R30" s="584"/>
      <c r="S30" s="584"/>
      <c r="T30" s="584"/>
      <c r="U30" s="584"/>
      <c r="V30" s="584"/>
      <c r="W30" s="584"/>
      <c r="X30" s="584"/>
      <c r="Y30" s="584"/>
      <c r="Z30" s="584"/>
      <c r="AA30" s="584"/>
      <c r="AB30" s="584"/>
      <c r="AC30" s="584"/>
      <c r="AD30" s="584"/>
      <c r="AE30" s="584"/>
      <c r="AF30" s="584"/>
      <c r="AG30" s="584"/>
      <c r="AH30" s="584"/>
      <c r="AI30" s="584"/>
      <c r="AJ30" s="584"/>
      <c r="AK30" s="584"/>
      <c r="AL30" s="584"/>
      <c r="AM30" s="584"/>
      <c r="AN30" s="584"/>
      <c r="AO30" s="584"/>
      <c r="AP30" s="584"/>
      <c r="AQ30" s="584"/>
      <c r="AR30" s="584"/>
      <c r="AS30" s="584"/>
      <c r="AT30" s="584"/>
      <c r="AU30" s="584"/>
      <c r="AV30" s="584"/>
      <c r="AW30" s="584"/>
      <c r="AX30" s="584"/>
      <c r="AY30" s="584"/>
      <c r="AZ30" s="584"/>
      <c r="BA30" s="584"/>
      <c r="BB30" s="584"/>
      <c r="BC30" s="584"/>
      <c r="BD30" s="584"/>
      <c r="BE30" s="584">
        <f>SUM(BF30:BG30)</f>
        <v>0</v>
      </c>
      <c r="BF30" s="584">
        <f>SUM(BH30:BI30)+BJ30+SUM(BL30:BN30)+BW30+CE30</f>
        <v>0</v>
      </c>
      <c r="BG30" s="584">
        <f>BK30+SUM(BO30:BV30)+SUM(BX30:CD30)+SUM(CF30:CH30)</f>
        <v>0</v>
      </c>
      <c r="BH30" s="584"/>
      <c r="BI30" s="584"/>
      <c r="BJ30" s="584"/>
      <c r="BK30" s="584"/>
      <c r="BL30" s="584"/>
      <c r="BM30" s="584"/>
      <c r="BN30" s="584"/>
      <c r="BO30" s="584"/>
      <c r="BP30" s="584"/>
      <c r="BQ30" s="584"/>
      <c r="BR30" s="584"/>
      <c r="BS30" s="584"/>
      <c r="BT30" s="584"/>
      <c r="BU30" s="584"/>
      <c r="BV30" s="584"/>
      <c r="BW30" s="584"/>
      <c r="BX30" s="584"/>
      <c r="BY30" s="584"/>
      <c r="BZ30" s="584"/>
      <c r="CA30" s="584"/>
      <c r="CB30" s="584"/>
      <c r="CC30" s="584"/>
      <c r="CD30" s="584"/>
      <c r="CE30" s="584"/>
      <c r="CF30" s="584"/>
      <c r="CG30" s="584"/>
      <c r="CH30" s="584"/>
      <c r="CI30" s="584">
        <f>SUM(CJ30:CK30)</f>
        <v>0</v>
      </c>
      <c r="CJ30" s="584">
        <f>SUM(CL30:CL30)</f>
        <v>0</v>
      </c>
      <c r="CK30" s="584">
        <f>SUM(CM30:CN30)</f>
        <v>0</v>
      </c>
      <c r="CL30" s="584"/>
      <c r="CM30" s="584"/>
      <c r="CN30" s="584"/>
      <c r="CO30" s="583" t="s">
        <v>183</v>
      </c>
      <c r="CP30" s="584">
        <f>CQ30+ER30+FV30+GB30</f>
        <v>0</v>
      </c>
      <c r="CQ30" s="584">
        <f>CR30+CW30</f>
        <v>0</v>
      </c>
      <c r="CR30" s="584">
        <f>SUM(CS30:CV30)</f>
        <v>0</v>
      </c>
      <c r="CS30" s="584"/>
      <c r="CT30" s="584"/>
      <c r="CU30" s="584"/>
      <c r="CV30" s="584"/>
      <c r="CW30" s="584">
        <f>SUM(CX30:EQ30)</f>
        <v>0</v>
      </c>
      <c r="CX30" s="584"/>
      <c r="CY30" s="584"/>
      <c r="CZ30" s="584"/>
      <c r="DA30" s="584"/>
      <c r="DB30" s="584"/>
      <c r="DC30" s="584"/>
      <c r="DD30" s="584"/>
      <c r="DE30" s="584"/>
      <c r="DF30" s="584"/>
      <c r="DG30" s="584"/>
      <c r="DH30" s="584"/>
      <c r="DI30" s="584"/>
      <c r="DJ30" s="584"/>
      <c r="DK30" s="584"/>
      <c r="DL30" s="584"/>
      <c r="DM30" s="584"/>
      <c r="DN30" s="584"/>
      <c r="DO30" s="584"/>
      <c r="DP30" s="584"/>
      <c r="DQ30" s="584"/>
      <c r="DR30" s="584"/>
      <c r="DS30" s="584"/>
      <c r="DT30" s="584"/>
      <c r="DU30" s="584"/>
      <c r="DV30" s="584"/>
      <c r="DW30" s="584"/>
      <c r="DX30" s="584"/>
      <c r="DY30" s="584"/>
      <c r="DZ30" s="584"/>
      <c r="EA30" s="584"/>
      <c r="EB30" s="584"/>
      <c r="EC30" s="584"/>
      <c r="ED30" s="584"/>
      <c r="EE30" s="584"/>
      <c r="EF30" s="584"/>
      <c r="EG30" s="584"/>
      <c r="EH30" s="584"/>
      <c r="EI30" s="584"/>
      <c r="EJ30" s="584"/>
      <c r="EK30" s="584"/>
      <c r="EL30" s="584"/>
      <c r="EM30" s="584"/>
      <c r="EN30" s="584"/>
      <c r="EO30" s="584"/>
      <c r="EP30" s="584"/>
      <c r="EQ30" s="584"/>
      <c r="ER30" s="584">
        <f>SUM(ES30:ET30)</f>
        <v>0</v>
      </c>
      <c r="ES30" s="584">
        <f>SUM(EU30:EV30)+EW30+SUM(EY30:FA30)+FJ30+FR30</f>
        <v>0</v>
      </c>
      <c r="ET30" s="584">
        <f>EX30+SUM(FB30:FI30)+SUM(FK30:FQ30)+SUM(FS30:FU30)</f>
        <v>0</v>
      </c>
      <c r="EU30" s="584"/>
      <c r="EV30" s="584"/>
      <c r="EW30" s="584"/>
      <c r="EX30" s="584"/>
      <c r="EY30" s="584"/>
      <c r="EZ30" s="584"/>
      <c r="FA30" s="584"/>
      <c r="FB30" s="584"/>
      <c r="FC30" s="584"/>
      <c r="FD30" s="584"/>
      <c r="FE30" s="584"/>
      <c r="FF30" s="584"/>
      <c r="FG30" s="584"/>
      <c r="FH30" s="584"/>
      <c r="FI30" s="584"/>
      <c r="FJ30" s="584"/>
      <c r="FK30" s="584"/>
      <c r="FL30" s="584"/>
      <c r="FM30" s="584"/>
      <c r="FN30" s="584"/>
      <c r="FO30" s="584"/>
      <c r="FP30" s="584"/>
      <c r="FQ30" s="584"/>
      <c r="FR30" s="584"/>
      <c r="FS30" s="584"/>
      <c r="FT30" s="584"/>
      <c r="FU30" s="584"/>
      <c r="FV30" s="584">
        <f>SUM(FW30:FX30)</f>
        <v>0</v>
      </c>
      <c r="FW30" s="584">
        <f>SUM(FY30:FY30)</f>
        <v>0</v>
      </c>
      <c r="FX30" s="584">
        <f>SUM(FZ30:GA30)</f>
        <v>0</v>
      </c>
      <c r="FY30" s="584"/>
      <c r="FZ30" s="584"/>
      <c r="GA30" s="584"/>
      <c r="GB30" s="584"/>
      <c r="GC30" s="586"/>
      <c r="GD30" s="586"/>
      <c r="GE30" s="586"/>
      <c r="GF30" s="586"/>
      <c r="GG30" s="586"/>
    </row>
    <row r="31" spans="1:189" s="92" customFormat="1" ht="17.25" hidden="1" customHeight="1">
      <c r="A31" s="582"/>
      <c r="B31" s="583" t="s">
        <v>184</v>
      </c>
      <c r="C31" s="584">
        <f>D31+BE31+CI31</f>
        <v>1546272213</v>
      </c>
      <c r="D31" s="584">
        <f>E31+J31</f>
        <v>1546272213</v>
      </c>
      <c r="E31" s="584">
        <f>SUM(F31:I31)</f>
        <v>0</v>
      </c>
      <c r="F31" s="584"/>
      <c r="G31" s="584"/>
      <c r="H31" s="584"/>
      <c r="I31" s="584"/>
      <c r="J31" s="584">
        <f>SUM(K31:BD31)</f>
        <v>1546272213</v>
      </c>
      <c r="K31" s="584"/>
      <c r="L31" s="584"/>
      <c r="M31" s="584"/>
      <c r="N31" s="584"/>
      <c r="O31" s="584"/>
      <c r="P31" s="584"/>
      <c r="Q31" s="584"/>
      <c r="R31" s="584"/>
      <c r="S31" s="584"/>
      <c r="T31" s="584"/>
      <c r="U31" s="584"/>
      <c r="V31" s="584"/>
      <c r="W31" s="584"/>
      <c r="X31" s="584"/>
      <c r="Y31" s="584"/>
      <c r="Z31" s="584"/>
      <c r="AA31" s="584"/>
      <c r="AB31" s="584"/>
      <c r="AC31" s="584"/>
      <c r="AD31" s="584"/>
      <c r="AE31" s="584"/>
      <c r="AF31" s="584"/>
      <c r="AG31" s="584"/>
      <c r="AH31" s="584"/>
      <c r="AI31" s="584"/>
      <c r="AJ31" s="584"/>
      <c r="AK31" s="584"/>
      <c r="AL31" s="584"/>
      <c r="AM31" s="584"/>
      <c r="AN31" s="584"/>
      <c r="AO31" s="584"/>
      <c r="AP31" s="584"/>
      <c r="AQ31" s="584"/>
      <c r="AR31" s="584"/>
      <c r="AS31" s="584"/>
      <c r="AT31" s="584"/>
      <c r="AU31" s="584"/>
      <c r="AV31" s="584"/>
      <c r="AW31" s="584"/>
      <c r="AX31" s="584"/>
      <c r="AY31" s="584"/>
      <c r="AZ31" s="584"/>
      <c r="BA31" s="584">
        <v>1546272213</v>
      </c>
      <c r="BB31" s="584"/>
      <c r="BC31" s="584"/>
      <c r="BD31" s="584"/>
      <c r="BE31" s="584">
        <f>SUM(BF31:BG31)</f>
        <v>0</v>
      </c>
      <c r="BF31" s="584">
        <f>SUM(BH31:BI31)+BJ31+SUM(BL31:BN31)+BW31+CE31</f>
        <v>0</v>
      </c>
      <c r="BG31" s="584">
        <f>BK31+SUM(BO31:BV31)+SUM(BX31:CD31)+SUM(CF31:CH31)</f>
        <v>0</v>
      </c>
      <c r="BH31" s="584"/>
      <c r="BI31" s="584"/>
      <c r="BJ31" s="584"/>
      <c r="BK31" s="584"/>
      <c r="BL31" s="584"/>
      <c r="BM31" s="584"/>
      <c r="BN31" s="584"/>
      <c r="BO31" s="584"/>
      <c r="BP31" s="584"/>
      <c r="BQ31" s="584"/>
      <c r="BR31" s="584"/>
      <c r="BS31" s="584"/>
      <c r="BT31" s="584"/>
      <c r="BU31" s="584"/>
      <c r="BV31" s="584"/>
      <c r="BW31" s="584"/>
      <c r="BX31" s="584"/>
      <c r="BY31" s="584"/>
      <c r="BZ31" s="584"/>
      <c r="CA31" s="584"/>
      <c r="CB31" s="584"/>
      <c r="CC31" s="584"/>
      <c r="CD31" s="584"/>
      <c r="CE31" s="584"/>
      <c r="CF31" s="584"/>
      <c r="CG31" s="584"/>
      <c r="CH31" s="584"/>
      <c r="CI31" s="584">
        <f>SUM(CJ31:CK31)</f>
        <v>0</v>
      </c>
      <c r="CJ31" s="584">
        <f>SUM(CL31:CL31)</f>
        <v>0</v>
      </c>
      <c r="CK31" s="584">
        <f>SUM(CM31:CN31)</f>
        <v>0</v>
      </c>
      <c r="CL31" s="584"/>
      <c r="CM31" s="584"/>
      <c r="CN31" s="584"/>
      <c r="CO31" s="583" t="s">
        <v>184</v>
      </c>
      <c r="CP31" s="584">
        <f>CQ31+ER31+FV31+GB31</f>
        <v>1546272213</v>
      </c>
      <c r="CQ31" s="584">
        <f>CR31+CW31</f>
        <v>1546272213</v>
      </c>
      <c r="CR31" s="584">
        <f>SUM(CS31:CV31)</f>
        <v>0</v>
      </c>
      <c r="CS31" s="584"/>
      <c r="CT31" s="584"/>
      <c r="CU31" s="584"/>
      <c r="CV31" s="584"/>
      <c r="CW31" s="584">
        <f>SUM(CX31:EQ31)</f>
        <v>1546272213</v>
      </c>
      <c r="CX31" s="584"/>
      <c r="CY31" s="584"/>
      <c r="CZ31" s="584"/>
      <c r="DA31" s="584"/>
      <c r="DB31" s="584"/>
      <c r="DC31" s="584"/>
      <c r="DD31" s="584"/>
      <c r="DE31" s="584"/>
      <c r="DF31" s="584"/>
      <c r="DG31" s="584"/>
      <c r="DH31" s="584"/>
      <c r="DI31" s="584"/>
      <c r="DJ31" s="584"/>
      <c r="DK31" s="584"/>
      <c r="DL31" s="584"/>
      <c r="DM31" s="584"/>
      <c r="DN31" s="584"/>
      <c r="DO31" s="584"/>
      <c r="DP31" s="584"/>
      <c r="DQ31" s="584"/>
      <c r="DR31" s="584"/>
      <c r="DS31" s="584"/>
      <c r="DT31" s="584"/>
      <c r="DU31" s="584"/>
      <c r="DV31" s="584"/>
      <c r="DW31" s="584"/>
      <c r="DX31" s="584"/>
      <c r="DY31" s="584"/>
      <c r="DZ31" s="584"/>
      <c r="EA31" s="584"/>
      <c r="EB31" s="584"/>
      <c r="EC31" s="584"/>
      <c r="ED31" s="584"/>
      <c r="EE31" s="584"/>
      <c r="EF31" s="584"/>
      <c r="EG31" s="584"/>
      <c r="EH31" s="584"/>
      <c r="EI31" s="584"/>
      <c r="EJ31" s="584"/>
      <c r="EK31" s="584"/>
      <c r="EL31" s="584"/>
      <c r="EM31" s="584"/>
      <c r="EN31" s="584">
        <v>1546272213</v>
      </c>
      <c r="EO31" s="584"/>
      <c r="EP31" s="584"/>
      <c r="EQ31" s="584"/>
      <c r="ER31" s="584">
        <f>SUM(ES31:ET31)</f>
        <v>0</v>
      </c>
      <c r="ES31" s="584">
        <f>SUM(EU31:EV31)+EW31+SUM(EY31:FA31)+FJ31+FR31</f>
        <v>0</v>
      </c>
      <c r="ET31" s="584">
        <f>EX31+SUM(FB31:FI31)+SUM(FK31:FQ31)+SUM(FS31:FU31)</f>
        <v>0</v>
      </c>
      <c r="EU31" s="584"/>
      <c r="EV31" s="584"/>
      <c r="EW31" s="584"/>
      <c r="EX31" s="584"/>
      <c r="EY31" s="584"/>
      <c r="EZ31" s="584"/>
      <c r="FA31" s="584"/>
      <c r="FB31" s="584"/>
      <c r="FC31" s="584"/>
      <c r="FD31" s="584"/>
      <c r="FE31" s="584"/>
      <c r="FF31" s="584"/>
      <c r="FG31" s="584"/>
      <c r="FH31" s="584"/>
      <c r="FI31" s="584"/>
      <c r="FJ31" s="584"/>
      <c r="FK31" s="584"/>
      <c r="FL31" s="584"/>
      <c r="FM31" s="584"/>
      <c r="FN31" s="584"/>
      <c r="FO31" s="584"/>
      <c r="FP31" s="584"/>
      <c r="FQ31" s="584"/>
      <c r="FR31" s="584"/>
      <c r="FS31" s="584"/>
      <c r="FT31" s="584"/>
      <c r="FU31" s="584"/>
      <c r="FV31" s="584">
        <f>SUM(FW31:FX31)</f>
        <v>0</v>
      </c>
      <c r="FW31" s="584">
        <f>SUM(FY31:FY31)</f>
        <v>0</v>
      </c>
      <c r="FX31" s="584">
        <f>SUM(FZ31:GA31)</f>
        <v>0</v>
      </c>
      <c r="FY31" s="584"/>
      <c r="FZ31" s="584"/>
      <c r="GA31" s="584"/>
      <c r="GB31" s="584"/>
      <c r="GC31" s="586">
        <f>CP31/C31</f>
        <v>1</v>
      </c>
      <c r="GD31" s="586"/>
      <c r="GE31" s="586">
        <f>CW31/J31</f>
        <v>1</v>
      </c>
      <c r="GF31" s="586"/>
      <c r="GG31" s="586"/>
    </row>
    <row r="32" spans="1:189" s="92" customFormat="1" ht="17.25" customHeight="1">
      <c r="A32" s="582">
        <v>7</v>
      </c>
      <c r="B32" s="583" t="s">
        <v>395</v>
      </c>
      <c r="C32" s="584">
        <f t="shared" ref="C32:AU32" si="32">C33+C34</f>
        <v>19324676084</v>
      </c>
      <c r="D32" s="584">
        <f t="shared" si="32"/>
        <v>14925676084</v>
      </c>
      <c r="E32" s="584">
        <f t="shared" si="32"/>
        <v>0</v>
      </c>
      <c r="F32" s="584">
        <f t="shared" si="32"/>
        <v>0</v>
      </c>
      <c r="G32" s="584">
        <f t="shared" si="32"/>
        <v>0</v>
      </c>
      <c r="H32" s="584">
        <f t="shared" si="32"/>
        <v>0</v>
      </c>
      <c r="I32" s="584">
        <f t="shared" si="32"/>
        <v>0</v>
      </c>
      <c r="J32" s="584">
        <f t="shared" si="32"/>
        <v>14925676084</v>
      </c>
      <c r="K32" s="584">
        <f t="shared" si="32"/>
        <v>0</v>
      </c>
      <c r="L32" s="584">
        <f t="shared" si="32"/>
        <v>0</v>
      </c>
      <c r="M32" s="584">
        <f t="shared" si="32"/>
        <v>0</v>
      </c>
      <c r="N32" s="584">
        <f t="shared" si="32"/>
        <v>0</v>
      </c>
      <c r="O32" s="584">
        <f t="shared" si="32"/>
        <v>0</v>
      </c>
      <c r="P32" s="584">
        <f t="shared" si="32"/>
        <v>0</v>
      </c>
      <c r="Q32" s="584">
        <f t="shared" si="32"/>
        <v>0</v>
      </c>
      <c r="R32" s="584">
        <f t="shared" si="32"/>
        <v>0</v>
      </c>
      <c r="S32" s="584">
        <f t="shared" si="32"/>
        <v>0</v>
      </c>
      <c r="T32" s="584">
        <f t="shared" si="32"/>
        <v>0</v>
      </c>
      <c r="U32" s="584">
        <f t="shared" si="32"/>
        <v>0</v>
      </c>
      <c r="V32" s="584">
        <f t="shared" si="32"/>
        <v>0</v>
      </c>
      <c r="W32" s="584">
        <f t="shared" si="32"/>
        <v>0</v>
      </c>
      <c r="X32" s="584">
        <f t="shared" si="32"/>
        <v>0</v>
      </c>
      <c r="Y32" s="584">
        <f t="shared" si="32"/>
        <v>0</v>
      </c>
      <c r="Z32" s="584">
        <f t="shared" si="32"/>
        <v>0</v>
      </c>
      <c r="AA32" s="584">
        <f t="shared" si="32"/>
        <v>0</v>
      </c>
      <c r="AB32" s="584">
        <f t="shared" si="32"/>
        <v>315080670</v>
      </c>
      <c r="AC32" s="584">
        <f t="shared" si="32"/>
        <v>0</v>
      </c>
      <c r="AD32" s="584">
        <f t="shared" si="32"/>
        <v>0</v>
      </c>
      <c r="AE32" s="584">
        <f t="shared" si="32"/>
        <v>0</v>
      </c>
      <c r="AF32" s="584">
        <f t="shared" si="32"/>
        <v>0</v>
      </c>
      <c r="AG32" s="584">
        <f t="shared" si="32"/>
        <v>0</v>
      </c>
      <c r="AH32" s="584">
        <f t="shared" si="32"/>
        <v>0</v>
      </c>
      <c r="AI32" s="584">
        <f t="shared" si="32"/>
        <v>0</v>
      </c>
      <c r="AJ32" s="584">
        <f t="shared" si="32"/>
        <v>0</v>
      </c>
      <c r="AK32" s="584">
        <f t="shared" si="32"/>
        <v>0</v>
      </c>
      <c r="AL32" s="584">
        <f t="shared" si="32"/>
        <v>0</v>
      </c>
      <c r="AM32" s="584">
        <f t="shared" si="32"/>
        <v>0</v>
      </c>
      <c r="AN32" s="584">
        <f t="shared" si="32"/>
        <v>0</v>
      </c>
      <c r="AO32" s="584">
        <f t="shared" si="32"/>
        <v>7921741000</v>
      </c>
      <c r="AP32" s="584">
        <f t="shared" si="32"/>
        <v>1314429823</v>
      </c>
      <c r="AQ32" s="584">
        <f t="shared" si="32"/>
        <v>0</v>
      </c>
      <c r="AR32" s="584">
        <f t="shared" si="32"/>
        <v>0</v>
      </c>
      <c r="AS32" s="584">
        <f t="shared" si="32"/>
        <v>0</v>
      </c>
      <c r="AT32" s="584">
        <f t="shared" si="32"/>
        <v>0</v>
      </c>
      <c r="AU32" s="584">
        <f t="shared" si="32"/>
        <v>33000000</v>
      </c>
      <c r="AV32" s="584">
        <f>AV33+AV34</f>
        <v>0</v>
      </c>
      <c r="AW32" s="584">
        <f>AW33+AW34</f>
        <v>0</v>
      </c>
      <c r="AX32" s="584">
        <f t="shared" ref="AX32:CN32" si="33">AX33+AX34</f>
        <v>0</v>
      </c>
      <c r="AY32" s="584">
        <f t="shared" si="33"/>
        <v>0</v>
      </c>
      <c r="AZ32" s="584">
        <f t="shared" si="33"/>
        <v>0</v>
      </c>
      <c r="BA32" s="584">
        <f t="shared" si="33"/>
        <v>5341424591</v>
      </c>
      <c r="BB32" s="584">
        <f t="shared" si="33"/>
        <v>0</v>
      </c>
      <c r="BC32" s="584">
        <f t="shared" si="33"/>
        <v>0</v>
      </c>
      <c r="BD32" s="584">
        <f t="shared" si="33"/>
        <v>0</v>
      </c>
      <c r="BE32" s="584">
        <f t="shared" si="33"/>
        <v>4304000000</v>
      </c>
      <c r="BF32" s="584">
        <f t="shared" si="33"/>
        <v>0</v>
      </c>
      <c r="BG32" s="584">
        <f t="shared" si="33"/>
        <v>4304000000</v>
      </c>
      <c r="BH32" s="584">
        <f t="shared" si="33"/>
        <v>0</v>
      </c>
      <c r="BI32" s="584">
        <f t="shared" si="33"/>
        <v>0</v>
      </c>
      <c r="BJ32" s="584">
        <f t="shared" si="33"/>
        <v>0</v>
      </c>
      <c r="BK32" s="584">
        <f t="shared" si="33"/>
        <v>0</v>
      </c>
      <c r="BL32" s="584">
        <f>BL33+BL34</f>
        <v>0</v>
      </c>
      <c r="BM32" s="584">
        <f>BM33+BM34</f>
        <v>0</v>
      </c>
      <c r="BN32" s="584">
        <f t="shared" si="33"/>
        <v>0</v>
      </c>
      <c r="BO32" s="584">
        <f t="shared" si="33"/>
        <v>0</v>
      </c>
      <c r="BP32" s="584">
        <f t="shared" si="33"/>
        <v>0</v>
      </c>
      <c r="BQ32" s="584">
        <f t="shared" si="33"/>
        <v>0</v>
      </c>
      <c r="BR32" s="584">
        <f t="shared" si="33"/>
        <v>0</v>
      </c>
      <c r="BS32" s="584">
        <f t="shared" si="33"/>
        <v>0</v>
      </c>
      <c r="BT32" s="584">
        <f t="shared" si="33"/>
        <v>0</v>
      </c>
      <c r="BU32" s="584">
        <f t="shared" si="33"/>
        <v>0</v>
      </c>
      <c r="BV32" s="584">
        <f t="shared" si="33"/>
        <v>0</v>
      </c>
      <c r="BW32" s="584">
        <f t="shared" si="33"/>
        <v>0</v>
      </c>
      <c r="BX32" s="584">
        <f t="shared" si="33"/>
        <v>4304000000</v>
      </c>
      <c r="BY32" s="584">
        <f t="shared" si="33"/>
        <v>0</v>
      </c>
      <c r="BZ32" s="584">
        <f t="shared" si="33"/>
        <v>0</v>
      </c>
      <c r="CA32" s="584">
        <f t="shared" si="33"/>
        <v>0</v>
      </c>
      <c r="CB32" s="584">
        <f t="shared" si="33"/>
        <v>0</v>
      </c>
      <c r="CC32" s="584">
        <f t="shared" si="33"/>
        <v>0</v>
      </c>
      <c r="CD32" s="584">
        <f t="shared" si="33"/>
        <v>0</v>
      </c>
      <c r="CE32" s="584">
        <f t="shared" si="33"/>
        <v>0</v>
      </c>
      <c r="CF32" s="584">
        <f t="shared" si="33"/>
        <v>0</v>
      </c>
      <c r="CG32" s="584">
        <f t="shared" si="33"/>
        <v>0</v>
      </c>
      <c r="CH32" s="584">
        <f t="shared" si="33"/>
        <v>0</v>
      </c>
      <c r="CI32" s="584">
        <f t="shared" si="33"/>
        <v>95000000</v>
      </c>
      <c r="CJ32" s="584">
        <f t="shared" si="33"/>
        <v>0</v>
      </c>
      <c r="CK32" s="584">
        <f t="shared" si="33"/>
        <v>95000000</v>
      </c>
      <c r="CL32" s="584">
        <f t="shared" si="33"/>
        <v>0</v>
      </c>
      <c r="CM32" s="584">
        <f t="shared" si="33"/>
        <v>0</v>
      </c>
      <c r="CN32" s="584">
        <f t="shared" si="33"/>
        <v>95000000</v>
      </c>
      <c r="CO32" s="583" t="s">
        <v>399</v>
      </c>
      <c r="CP32" s="584">
        <f t="shared" ref="CP32:FA32" si="34">CP33+CP34</f>
        <v>19324676084</v>
      </c>
      <c r="CQ32" s="584">
        <f t="shared" si="34"/>
        <v>14925676084</v>
      </c>
      <c r="CR32" s="584">
        <f t="shared" si="34"/>
        <v>0</v>
      </c>
      <c r="CS32" s="584">
        <f t="shared" si="34"/>
        <v>0</v>
      </c>
      <c r="CT32" s="584">
        <f t="shared" si="34"/>
        <v>0</v>
      </c>
      <c r="CU32" s="584">
        <f t="shared" si="34"/>
        <v>0</v>
      </c>
      <c r="CV32" s="584">
        <f t="shared" si="34"/>
        <v>0</v>
      </c>
      <c r="CW32" s="584">
        <f t="shared" si="34"/>
        <v>14925676084</v>
      </c>
      <c r="CX32" s="584">
        <f t="shared" si="34"/>
        <v>0</v>
      </c>
      <c r="CY32" s="584">
        <f t="shared" si="34"/>
        <v>0</v>
      </c>
      <c r="CZ32" s="584">
        <f t="shared" si="34"/>
        <v>0</v>
      </c>
      <c r="DA32" s="584">
        <f t="shared" si="34"/>
        <v>0</v>
      </c>
      <c r="DB32" s="584">
        <f t="shared" si="34"/>
        <v>0</v>
      </c>
      <c r="DC32" s="584">
        <f t="shared" si="34"/>
        <v>0</v>
      </c>
      <c r="DD32" s="584">
        <f t="shared" si="34"/>
        <v>0</v>
      </c>
      <c r="DE32" s="584">
        <f t="shared" si="34"/>
        <v>0</v>
      </c>
      <c r="DF32" s="584">
        <f t="shared" si="34"/>
        <v>0</v>
      </c>
      <c r="DG32" s="584">
        <f t="shared" si="34"/>
        <v>0</v>
      </c>
      <c r="DH32" s="584">
        <f t="shared" si="34"/>
        <v>0</v>
      </c>
      <c r="DI32" s="584">
        <f t="shared" si="34"/>
        <v>0</v>
      </c>
      <c r="DJ32" s="584">
        <f t="shared" si="34"/>
        <v>0</v>
      </c>
      <c r="DK32" s="584">
        <f t="shared" si="34"/>
        <v>0</v>
      </c>
      <c r="DL32" s="584">
        <f t="shared" si="34"/>
        <v>0</v>
      </c>
      <c r="DM32" s="584">
        <f>DM33+DM34</f>
        <v>0</v>
      </c>
      <c r="DN32" s="584">
        <f t="shared" si="34"/>
        <v>0</v>
      </c>
      <c r="DO32" s="584">
        <f t="shared" si="34"/>
        <v>315080670</v>
      </c>
      <c r="DP32" s="584">
        <f t="shared" si="34"/>
        <v>0</v>
      </c>
      <c r="DQ32" s="584">
        <f t="shared" si="34"/>
        <v>0</v>
      </c>
      <c r="DR32" s="584">
        <f t="shared" si="34"/>
        <v>0</v>
      </c>
      <c r="DS32" s="584">
        <f t="shared" si="34"/>
        <v>0</v>
      </c>
      <c r="DT32" s="584">
        <f t="shared" si="34"/>
        <v>0</v>
      </c>
      <c r="DU32" s="584">
        <f t="shared" si="34"/>
        <v>0</v>
      </c>
      <c r="DV32" s="584">
        <f t="shared" si="34"/>
        <v>0</v>
      </c>
      <c r="DW32" s="584">
        <f t="shared" si="34"/>
        <v>0</v>
      </c>
      <c r="DX32" s="584">
        <f t="shared" si="34"/>
        <v>0</v>
      </c>
      <c r="DY32" s="584">
        <f t="shared" si="34"/>
        <v>0</v>
      </c>
      <c r="DZ32" s="584">
        <f t="shared" si="34"/>
        <v>0</v>
      </c>
      <c r="EA32" s="584">
        <f t="shared" si="34"/>
        <v>0</v>
      </c>
      <c r="EB32" s="584">
        <f t="shared" si="34"/>
        <v>7921741000</v>
      </c>
      <c r="EC32" s="584">
        <f t="shared" si="34"/>
        <v>1314429823</v>
      </c>
      <c r="ED32" s="584">
        <f t="shared" si="34"/>
        <v>0</v>
      </c>
      <c r="EE32" s="584">
        <f t="shared" si="34"/>
        <v>0</v>
      </c>
      <c r="EF32" s="584">
        <f t="shared" si="34"/>
        <v>0</v>
      </c>
      <c r="EG32" s="584">
        <f t="shared" si="34"/>
        <v>0</v>
      </c>
      <c r="EH32" s="584">
        <f t="shared" si="34"/>
        <v>33000000</v>
      </c>
      <c r="EI32" s="584">
        <f>EI33+EI34</f>
        <v>0</v>
      </c>
      <c r="EJ32" s="584">
        <f>EJ33+EJ34</f>
        <v>0</v>
      </c>
      <c r="EK32" s="584">
        <f t="shared" si="34"/>
        <v>0</v>
      </c>
      <c r="EL32" s="584">
        <f t="shared" si="34"/>
        <v>0</v>
      </c>
      <c r="EM32" s="584">
        <f t="shared" si="34"/>
        <v>0</v>
      </c>
      <c r="EN32" s="584">
        <f t="shared" si="34"/>
        <v>5341424591</v>
      </c>
      <c r="EO32" s="584">
        <f t="shared" si="34"/>
        <v>0</v>
      </c>
      <c r="EP32" s="584">
        <f t="shared" si="34"/>
        <v>0</v>
      </c>
      <c r="EQ32" s="584">
        <f t="shared" si="34"/>
        <v>0</v>
      </c>
      <c r="ER32" s="584">
        <f t="shared" si="34"/>
        <v>2890129000</v>
      </c>
      <c r="ES32" s="584">
        <f t="shared" si="34"/>
        <v>0</v>
      </c>
      <c r="ET32" s="584">
        <f t="shared" si="34"/>
        <v>2890129000</v>
      </c>
      <c r="EU32" s="584">
        <f t="shared" si="34"/>
        <v>0</v>
      </c>
      <c r="EV32" s="584">
        <f t="shared" si="34"/>
        <v>0</v>
      </c>
      <c r="EW32" s="584">
        <f t="shared" si="34"/>
        <v>0</v>
      </c>
      <c r="EX32" s="584">
        <f t="shared" si="34"/>
        <v>0</v>
      </c>
      <c r="EY32" s="584">
        <f>EY33+EY34</f>
        <v>0</v>
      </c>
      <c r="EZ32" s="584">
        <f>EZ33+EZ34</f>
        <v>0</v>
      </c>
      <c r="FA32" s="584">
        <f t="shared" si="34"/>
        <v>0</v>
      </c>
      <c r="FB32" s="584">
        <f t="shared" ref="FB32:GB32" si="35">FB33+FB34</f>
        <v>0</v>
      </c>
      <c r="FC32" s="584">
        <f t="shared" si="35"/>
        <v>0</v>
      </c>
      <c r="FD32" s="584">
        <f t="shared" si="35"/>
        <v>0</v>
      </c>
      <c r="FE32" s="584">
        <f t="shared" si="35"/>
        <v>0</v>
      </c>
      <c r="FF32" s="584">
        <f t="shared" si="35"/>
        <v>0</v>
      </c>
      <c r="FG32" s="584">
        <f t="shared" si="35"/>
        <v>0</v>
      </c>
      <c r="FH32" s="584">
        <f t="shared" si="35"/>
        <v>0</v>
      </c>
      <c r="FI32" s="584">
        <f t="shared" si="35"/>
        <v>0</v>
      </c>
      <c r="FJ32" s="584">
        <f t="shared" si="35"/>
        <v>0</v>
      </c>
      <c r="FK32" s="584">
        <f t="shared" si="35"/>
        <v>2890129000</v>
      </c>
      <c r="FL32" s="584">
        <f t="shared" si="35"/>
        <v>0</v>
      </c>
      <c r="FM32" s="584">
        <f t="shared" si="35"/>
        <v>0</v>
      </c>
      <c r="FN32" s="584">
        <f t="shared" si="35"/>
        <v>0</v>
      </c>
      <c r="FO32" s="584">
        <f t="shared" si="35"/>
        <v>0</v>
      </c>
      <c r="FP32" s="584">
        <f t="shared" si="35"/>
        <v>0</v>
      </c>
      <c r="FQ32" s="584">
        <f t="shared" si="35"/>
        <v>0</v>
      </c>
      <c r="FR32" s="584">
        <f t="shared" si="35"/>
        <v>0</v>
      </c>
      <c r="FS32" s="584">
        <f t="shared" si="35"/>
        <v>0</v>
      </c>
      <c r="FT32" s="584">
        <f t="shared" si="35"/>
        <v>0</v>
      </c>
      <c r="FU32" s="584">
        <f t="shared" si="35"/>
        <v>0</v>
      </c>
      <c r="FV32" s="584">
        <f t="shared" si="35"/>
        <v>95000000</v>
      </c>
      <c r="FW32" s="584">
        <f t="shared" si="35"/>
        <v>0</v>
      </c>
      <c r="FX32" s="584">
        <f t="shared" si="35"/>
        <v>95000000</v>
      </c>
      <c r="FY32" s="584">
        <f t="shared" si="35"/>
        <v>0</v>
      </c>
      <c r="FZ32" s="584">
        <f t="shared" si="35"/>
        <v>0</v>
      </c>
      <c r="GA32" s="584">
        <f t="shared" si="35"/>
        <v>95000000</v>
      </c>
      <c r="GB32" s="584">
        <f t="shared" si="35"/>
        <v>1413871000</v>
      </c>
      <c r="GC32" s="586">
        <f>CP32/C32</f>
        <v>1</v>
      </c>
      <c r="GD32" s="586"/>
      <c r="GE32" s="586">
        <f>CW32/J32</f>
        <v>1</v>
      </c>
      <c r="GF32" s="586">
        <f>ER32/BE32</f>
        <v>0.671498373605948</v>
      </c>
      <c r="GG32" s="586">
        <f>FV32/CI32</f>
        <v>1</v>
      </c>
    </row>
    <row r="33" spans="1:189" s="92" customFormat="1" ht="17.25" hidden="1" customHeight="1">
      <c r="A33" s="582"/>
      <c r="B33" s="583" t="s">
        <v>183</v>
      </c>
      <c r="C33" s="584">
        <f>D33+BE33+CI33</f>
        <v>0</v>
      </c>
      <c r="D33" s="584">
        <f>E33+J33</f>
        <v>0</v>
      </c>
      <c r="E33" s="584">
        <f>SUM(F33:I33)</f>
        <v>0</v>
      </c>
      <c r="F33" s="584"/>
      <c r="G33" s="584"/>
      <c r="H33" s="584"/>
      <c r="I33" s="584"/>
      <c r="J33" s="584">
        <f>SUM(K33:BD33)</f>
        <v>0</v>
      </c>
      <c r="K33" s="584"/>
      <c r="L33" s="584"/>
      <c r="M33" s="584"/>
      <c r="N33" s="584"/>
      <c r="O33" s="584"/>
      <c r="P33" s="584"/>
      <c r="Q33" s="584"/>
      <c r="R33" s="584"/>
      <c r="S33" s="584"/>
      <c r="T33" s="584"/>
      <c r="U33" s="584"/>
      <c r="V33" s="584"/>
      <c r="W33" s="584"/>
      <c r="X33" s="584"/>
      <c r="Y33" s="584"/>
      <c r="Z33" s="584"/>
      <c r="AA33" s="584"/>
      <c r="AB33" s="584"/>
      <c r="AC33" s="584"/>
      <c r="AD33" s="584"/>
      <c r="AE33" s="584"/>
      <c r="AF33" s="584"/>
      <c r="AG33" s="584"/>
      <c r="AH33" s="584"/>
      <c r="AI33" s="584"/>
      <c r="AJ33" s="584"/>
      <c r="AK33" s="584"/>
      <c r="AL33" s="584"/>
      <c r="AM33" s="584"/>
      <c r="AN33" s="584"/>
      <c r="AO33" s="584"/>
      <c r="AP33" s="584"/>
      <c r="AQ33" s="584"/>
      <c r="AR33" s="584"/>
      <c r="AS33" s="584"/>
      <c r="AT33" s="584"/>
      <c r="AU33" s="584"/>
      <c r="AV33" s="584"/>
      <c r="AW33" s="584"/>
      <c r="AX33" s="584"/>
      <c r="AY33" s="584"/>
      <c r="AZ33" s="584"/>
      <c r="BA33" s="584"/>
      <c r="BB33" s="584"/>
      <c r="BC33" s="584"/>
      <c r="BD33" s="584"/>
      <c r="BE33" s="584">
        <f>SUM(BF33:BG33)</f>
        <v>0</v>
      </c>
      <c r="BF33" s="584">
        <f>SUM(BH33:BI33)+BJ33+SUM(BL33:BN33)+BW33+CE33</f>
        <v>0</v>
      </c>
      <c r="BG33" s="584">
        <f>BK33+SUM(BO33:BV33)+SUM(BX33:CD33)+SUM(CF33:CH33)</f>
        <v>0</v>
      </c>
      <c r="BH33" s="584"/>
      <c r="BI33" s="584"/>
      <c r="BJ33" s="584"/>
      <c r="BK33" s="584"/>
      <c r="BL33" s="584"/>
      <c r="BM33" s="584"/>
      <c r="BN33" s="584"/>
      <c r="BO33" s="584"/>
      <c r="BP33" s="584"/>
      <c r="BQ33" s="584"/>
      <c r="BR33" s="584"/>
      <c r="BS33" s="584"/>
      <c r="BT33" s="584"/>
      <c r="BU33" s="584"/>
      <c r="BV33" s="584"/>
      <c r="BW33" s="584"/>
      <c r="BX33" s="584"/>
      <c r="BY33" s="584"/>
      <c r="BZ33" s="584"/>
      <c r="CA33" s="584"/>
      <c r="CB33" s="584"/>
      <c r="CC33" s="584"/>
      <c r="CD33" s="584"/>
      <c r="CE33" s="584"/>
      <c r="CF33" s="584"/>
      <c r="CG33" s="584"/>
      <c r="CH33" s="584"/>
      <c r="CI33" s="584">
        <f>SUM(CJ33:CK33)</f>
        <v>0</v>
      </c>
      <c r="CJ33" s="584">
        <f>SUM(CL33:CL33)</f>
        <v>0</v>
      </c>
      <c r="CK33" s="584">
        <f>SUM(CM33:CN33)</f>
        <v>0</v>
      </c>
      <c r="CL33" s="584"/>
      <c r="CM33" s="584"/>
      <c r="CN33" s="584"/>
      <c r="CO33" s="583" t="s">
        <v>183</v>
      </c>
      <c r="CP33" s="584">
        <f>CQ33+ER33+FV33+GB33</f>
        <v>0</v>
      </c>
      <c r="CQ33" s="584">
        <f>CR33+CW33</f>
        <v>0</v>
      </c>
      <c r="CR33" s="584">
        <f>SUM(CS33:CV33)</f>
        <v>0</v>
      </c>
      <c r="CS33" s="584"/>
      <c r="CT33" s="584"/>
      <c r="CU33" s="584"/>
      <c r="CV33" s="584"/>
      <c r="CW33" s="584">
        <f>SUM(CX33:EQ33)</f>
        <v>0</v>
      </c>
      <c r="CX33" s="584"/>
      <c r="CY33" s="584"/>
      <c r="CZ33" s="584"/>
      <c r="DA33" s="584"/>
      <c r="DB33" s="584"/>
      <c r="DC33" s="584"/>
      <c r="DD33" s="584"/>
      <c r="DE33" s="584"/>
      <c r="DF33" s="584"/>
      <c r="DG33" s="584"/>
      <c r="DH33" s="584"/>
      <c r="DI33" s="584"/>
      <c r="DJ33" s="584"/>
      <c r="DK33" s="584"/>
      <c r="DL33" s="584"/>
      <c r="DM33" s="584"/>
      <c r="DN33" s="584"/>
      <c r="DO33" s="584"/>
      <c r="DP33" s="584"/>
      <c r="DQ33" s="584"/>
      <c r="DR33" s="584"/>
      <c r="DS33" s="584"/>
      <c r="DT33" s="584"/>
      <c r="DU33" s="584"/>
      <c r="DV33" s="584"/>
      <c r="DW33" s="584"/>
      <c r="DX33" s="584"/>
      <c r="DY33" s="584"/>
      <c r="DZ33" s="584"/>
      <c r="EA33" s="584"/>
      <c r="EB33" s="584"/>
      <c r="EC33" s="584"/>
      <c r="ED33" s="584"/>
      <c r="EE33" s="584"/>
      <c r="EF33" s="584"/>
      <c r="EG33" s="584"/>
      <c r="EH33" s="584"/>
      <c r="EI33" s="584"/>
      <c r="EJ33" s="584"/>
      <c r="EK33" s="584"/>
      <c r="EL33" s="584"/>
      <c r="EM33" s="584"/>
      <c r="EN33" s="584"/>
      <c r="EO33" s="584"/>
      <c r="EP33" s="584"/>
      <c r="EQ33" s="584"/>
      <c r="ER33" s="584">
        <f>SUM(ES33:ET33)</f>
        <v>0</v>
      </c>
      <c r="ES33" s="584">
        <f>SUM(EU33:EV33)+EW33+SUM(EY33:FA33)+FJ33+FR33</f>
        <v>0</v>
      </c>
      <c r="ET33" s="584">
        <f>EX33+SUM(FB33:FI33)+SUM(FK33:FQ33)+SUM(FS33:FU33)</f>
        <v>0</v>
      </c>
      <c r="EU33" s="584"/>
      <c r="EV33" s="584"/>
      <c r="EW33" s="584"/>
      <c r="EX33" s="584"/>
      <c r="EY33" s="584"/>
      <c r="EZ33" s="584"/>
      <c r="FA33" s="584"/>
      <c r="FB33" s="584"/>
      <c r="FC33" s="584"/>
      <c r="FD33" s="584"/>
      <c r="FE33" s="584"/>
      <c r="FF33" s="584"/>
      <c r="FG33" s="584"/>
      <c r="FH33" s="584"/>
      <c r="FI33" s="584"/>
      <c r="FJ33" s="584"/>
      <c r="FK33" s="584"/>
      <c r="FL33" s="584"/>
      <c r="FM33" s="584"/>
      <c r="FN33" s="584"/>
      <c r="FO33" s="584"/>
      <c r="FP33" s="584"/>
      <c r="FQ33" s="584"/>
      <c r="FR33" s="584"/>
      <c r="FS33" s="584"/>
      <c r="FT33" s="584"/>
      <c r="FU33" s="584"/>
      <c r="FV33" s="584">
        <f>SUM(FW33:FX33)</f>
        <v>0</v>
      </c>
      <c r="FW33" s="584">
        <f>SUM(FY33:FY33)</f>
        <v>0</v>
      </c>
      <c r="FX33" s="584">
        <f>SUM(FZ33:GA33)</f>
        <v>0</v>
      </c>
      <c r="FY33" s="584"/>
      <c r="FZ33" s="584"/>
      <c r="GA33" s="584"/>
      <c r="GB33" s="584"/>
      <c r="GC33" s="586"/>
      <c r="GD33" s="586"/>
      <c r="GE33" s="586"/>
      <c r="GF33" s="586"/>
      <c r="GG33" s="586"/>
    </row>
    <row r="34" spans="1:189" s="92" customFormat="1" ht="17.25" hidden="1" customHeight="1">
      <c r="A34" s="582"/>
      <c r="B34" s="583" t="s">
        <v>184</v>
      </c>
      <c r="C34" s="584">
        <f>D34+BE34+CI34</f>
        <v>19324676084</v>
      </c>
      <c r="D34" s="584">
        <f>E34+J34</f>
        <v>14925676084</v>
      </c>
      <c r="E34" s="584">
        <f>SUM(F34:I34)</f>
        <v>0</v>
      </c>
      <c r="F34" s="584"/>
      <c r="G34" s="584"/>
      <c r="H34" s="584"/>
      <c r="I34" s="584"/>
      <c r="J34" s="584">
        <f>SUM(K34:BD34)</f>
        <v>14925676084</v>
      </c>
      <c r="K34" s="584"/>
      <c r="L34" s="584"/>
      <c r="M34" s="584"/>
      <c r="N34" s="584"/>
      <c r="O34" s="584"/>
      <c r="P34" s="584"/>
      <c r="Q34" s="584"/>
      <c r="R34" s="584"/>
      <c r="S34" s="584"/>
      <c r="T34" s="584"/>
      <c r="U34" s="584"/>
      <c r="V34" s="584"/>
      <c r="W34" s="584"/>
      <c r="X34" s="584"/>
      <c r="Y34" s="584"/>
      <c r="Z34" s="584"/>
      <c r="AA34" s="584"/>
      <c r="AB34" s="584">
        <v>315080670</v>
      </c>
      <c r="AC34" s="584"/>
      <c r="AD34" s="584"/>
      <c r="AE34" s="584"/>
      <c r="AF34" s="584"/>
      <c r="AG34" s="584"/>
      <c r="AH34" s="584"/>
      <c r="AI34" s="584"/>
      <c r="AJ34" s="584"/>
      <c r="AK34" s="584"/>
      <c r="AL34" s="584"/>
      <c r="AM34" s="584"/>
      <c r="AN34" s="584"/>
      <c r="AO34" s="584">
        <v>7921741000</v>
      </c>
      <c r="AP34" s="584">
        <v>1314429823</v>
      </c>
      <c r="AQ34" s="584"/>
      <c r="AR34" s="584"/>
      <c r="AS34" s="584"/>
      <c r="AT34" s="584"/>
      <c r="AU34" s="584">
        <v>33000000</v>
      </c>
      <c r="AV34" s="584"/>
      <c r="AW34" s="584"/>
      <c r="AX34" s="584"/>
      <c r="AY34" s="584"/>
      <c r="AZ34" s="584"/>
      <c r="BA34" s="584">
        <v>5341424591</v>
      </c>
      <c r="BB34" s="584"/>
      <c r="BC34" s="584"/>
      <c r="BD34" s="584"/>
      <c r="BE34" s="584">
        <f>SUM(BF34:BG34)</f>
        <v>4304000000</v>
      </c>
      <c r="BF34" s="584">
        <f>SUM(BH34:BI34)+BJ34+SUM(BL34:BN34)+BW34+CE34</f>
        <v>0</v>
      </c>
      <c r="BG34" s="584">
        <f>BK34+SUM(BO34:BV34)+SUM(BX34:CD34)+SUM(CF34:CH34)</f>
        <v>4304000000</v>
      </c>
      <c r="BH34" s="584"/>
      <c r="BI34" s="584"/>
      <c r="BJ34" s="584"/>
      <c r="BK34" s="584"/>
      <c r="BL34" s="584"/>
      <c r="BM34" s="584"/>
      <c r="BN34" s="584"/>
      <c r="BO34" s="584"/>
      <c r="BP34" s="584"/>
      <c r="BQ34" s="584"/>
      <c r="BR34" s="584"/>
      <c r="BS34" s="584"/>
      <c r="BT34" s="584"/>
      <c r="BU34" s="584"/>
      <c r="BV34" s="584"/>
      <c r="BW34" s="584"/>
      <c r="BX34" s="584">
        <v>4304000000</v>
      </c>
      <c r="BY34" s="584"/>
      <c r="BZ34" s="584"/>
      <c r="CA34" s="584"/>
      <c r="CB34" s="584"/>
      <c r="CC34" s="584"/>
      <c r="CD34" s="584"/>
      <c r="CE34" s="584"/>
      <c r="CF34" s="584"/>
      <c r="CG34" s="584"/>
      <c r="CH34" s="584"/>
      <c r="CI34" s="584">
        <f>SUM(CJ34:CK34)</f>
        <v>95000000</v>
      </c>
      <c r="CJ34" s="584">
        <f>SUM(CL34:CL34)</f>
        <v>0</v>
      </c>
      <c r="CK34" s="584">
        <f>SUM(CM34:CN34)</f>
        <v>95000000</v>
      </c>
      <c r="CL34" s="584"/>
      <c r="CM34" s="584"/>
      <c r="CN34" s="584">
        <v>95000000</v>
      </c>
      <c r="CO34" s="583" t="s">
        <v>184</v>
      </c>
      <c r="CP34" s="584">
        <f>CQ34+ER34+FV34+GB34</f>
        <v>19324676084</v>
      </c>
      <c r="CQ34" s="584">
        <f>CR34+CW34</f>
        <v>14925676084</v>
      </c>
      <c r="CR34" s="584">
        <f>SUM(CS34:CV34)</f>
        <v>0</v>
      </c>
      <c r="CS34" s="584"/>
      <c r="CT34" s="584"/>
      <c r="CU34" s="584"/>
      <c r="CV34" s="584"/>
      <c r="CW34" s="584">
        <f>SUM(CX34:EQ34)</f>
        <v>14925676084</v>
      </c>
      <c r="CX34" s="584"/>
      <c r="CY34" s="584"/>
      <c r="CZ34" s="584"/>
      <c r="DA34" s="584"/>
      <c r="DB34" s="584"/>
      <c r="DC34" s="584"/>
      <c r="DD34" s="584"/>
      <c r="DE34" s="584"/>
      <c r="DF34" s="584"/>
      <c r="DG34" s="584"/>
      <c r="DH34" s="584"/>
      <c r="DI34" s="584"/>
      <c r="DJ34" s="584"/>
      <c r="DK34" s="584"/>
      <c r="DL34" s="584"/>
      <c r="DM34" s="584"/>
      <c r="DN34" s="584"/>
      <c r="DO34" s="584">
        <v>315080670</v>
      </c>
      <c r="DP34" s="584"/>
      <c r="DQ34" s="584"/>
      <c r="DR34" s="584"/>
      <c r="DS34" s="584"/>
      <c r="DT34" s="584"/>
      <c r="DU34" s="584"/>
      <c r="DV34" s="584"/>
      <c r="DW34" s="584"/>
      <c r="DX34" s="584"/>
      <c r="DY34" s="584"/>
      <c r="DZ34" s="584"/>
      <c r="EA34" s="584"/>
      <c r="EB34" s="584">
        <v>7921741000</v>
      </c>
      <c r="EC34" s="584">
        <v>1314429823</v>
      </c>
      <c r="ED34" s="584"/>
      <c r="EE34" s="584"/>
      <c r="EF34" s="584"/>
      <c r="EG34" s="584"/>
      <c r="EH34" s="584">
        <v>33000000</v>
      </c>
      <c r="EI34" s="584"/>
      <c r="EJ34" s="584"/>
      <c r="EK34" s="584"/>
      <c r="EL34" s="584"/>
      <c r="EM34" s="584"/>
      <c r="EN34" s="584">
        <v>5341424591</v>
      </c>
      <c r="EO34" s="584"/>
      <c r="EP34" s="584"/>
      <c r="EQ34" s="584"/>
      <c r="ER34" s="584">
        <f>SUM(ES34:ET34)</f>
        <v>2890129000</v>
      </c>
      <c r="ES34" s="584">
        <f>SUM(EU34:EV34)+EW34+SUM(EY34:FA34)+FJ34+FR34</f>
        <v>0</v>
      </c>
      <c r="ET34" s="584">
        <f>EX34+SUM(FB34:FI34)+SUM(FK34:FQ34)+SUM(FS34:FU34)</f>
        <v>2890129000</v>
      </c>
      <c r="EU34" s="584"/>
      <c r="EV34" s="584"/>
      <c r="EW34" s="584"/>
      <c r="EX34" s="584"/>
      <c r="EY34" s="584"/>
      <c r="EZ34" s="584"/>
      <c r="FA34" s="584"/>
      <c r="FB34" s="584"/>
      <c r="FC34" s="584"/>
      <c r="FD34" s="584"/>
      <c r="FE34" s="584"/>
      <c r="FF34" s="584"/>
      <c r="FG34" s="584"/>
      <c r="FH34" s="584"/>
      <c r="FI34" s="584"/>
      <c r="FJ34" s="584"/>
      <c r="FK34" s="584">
        <v>2890129000</v>
      </c>
      <c r="FL34" s="584"/>
      <c r="FM34" s="584"/>
      <c r="FN34" s="584"/>
      <c r="FO34" s="584"/>
      <c r="FP34" s="584"/>
      <c r="FQ34" s="584"/>
      <c r="FR34" s="584"/>
      <c r="FS34" s="584"/>
      <c r="FT34" s="584"/>
      <c r="FU34" s="584"/>
      <c r="FV34" s="584">
        <f>SUM(FW34:FX34)</f>
        <v>95000000</v>
      </c>
      <c r="FW34" s="584">
        <f>SUM(FY34:FY34)</f>
        <v>0</v>
      </c>
      <c r="FX34" s="584">
        <f>SUM(FZ34:GA34)</f>
        <v>95000000</v>
      </c>
      <c r="FY34" s="584"/>
      <c r="FZ34" s="584"/>
      <c r="GA34" s="584">
        <v>95000000</v>
      </c>
      <c r="GB34" s="584">
        <v>1413871000</v>
      </c>
      <c r="GC34" s="586">
        <f>CP34/C34</f>
        <v>1</v>
      </c>
      <c r="GD34" s="586"/>
      <c r="GE34" s="586">
        <f>CW34/J34</f>
        <v>1</v>
      </c>
      <c r="GF34" s="586">
        <f>ER34/BE34</f>
        <v>0.671498373605948</v>
      </c>
      <c r="GG34" s="586">
        <f>FV34/CI34</f>
        <v>1</v>
      </c>
    </row>
    <row r="35" spans="1:189" s="92" customFormat="1" ht="17.25" customHeight="1">
      <c r="A35" s="582">
        <v>8</v>
      </c>
      <c r="B35" s="583" t="s">
        <v>398</v>
      </c>
      <c r="C35" s="584">
        <f t="shared" ref="C35:AU35" si="36">C36+C37</f>
        <v>460428776509</v>
      </c>
      <c r="D35" s="584">
        <f t="shared" si="36"/>
        <v>460428776509</v>
      </c>
      <c r="E35" s="584">
        <f t="shared" si="36"/>
        <v>1833372000</v>
      </c>
      <c r="F35" s="584">
        <f t="shared" si="36"/>
        <v>0</v>
      </c>
      <c r="G35" s="584">
        <f t="shared" si="36"/>
        <v>0</v>
      </c>
      <c r="H35" s="584">
        <f t="shared" si="36"/>
        <v>1833372000</v>
      </c>
      <c r="I35" s="584">
        <f t="shared" si="36"/>
        <v>0</v>
      </c>
      <c r="J35" s="584">
        <f t="shared" si="36"/>
        <v>458595404509</v>
      </c>
      <c r="K35" s="584">
        <f t="shared" si="36"/>
        <v>0</v>
      </c>
      <c r="L35" s="584">
        <f t="shared" si="36"/>
        <v>0</v>
      </c>
      <c r="M35" s="584">
        <f t="shared" si="36"/>
        <v>382976553509</v>
      </c>
      <c r="N35" s="584">
        <f t="shared" si="36"/>
        <v>28029225000</v>
      </c>
      <c r="O35" s="584">
        <f t="shared" si="36"/>
        <v>1615790000</v>
      </c>
      <c r="P35" s="584">
        <f t="shared" si="36"/>
        <v>29515801000</v>
      </c>
      <c r="Q35" s="584">
        <f t="shared" si="36"/>
        <v>5060180000</v>
      </c>
      <c r="R35" s="584">
        <f t="shared" si="36"/>
        <v>7279200000</v>
      </c>
      <c r="S35" s="584">
        <f t="shared" si="36"/>
        <v>1096200000</v>
      </c>
      <c r="T35" s="584">
        <f t="shared" si="36"/>
        <v>1524000000</v>
      </c>
      <c r="U35" s="584">
        <f t="shared" si="36"/>
        <v>21714000</v>
      </c>
      <c r="V35" s="584">
        <f t="shared" si="36"/>
        <v>0</v>
      </c>
      <c r="W35" s="584">
        <f t="shared" si="36"/>
        <v>0</v>
      </c>
      <c r="X35" s="584">
        <f t="shared" si="36"/>
        <v>0</v>
      </c>
      <c r="Y35" s="584">
        <f t="shared" si="36"/>
        <v>0</v>
      </c>
      <c r="Z35" s="584">
        <f t="shared" si="36"/>
        <v>0</v>
      </c>
      <c r="AA35" s="584">
        <f t="shared" si="36"/>
        <v>0</v>
      </c>
      <c r="AB35" s="584">
        <f t="shared" si="36"/>
        <v>0</v>
      </c>
      <c r="AC35" s="584">
        <f t="shared" si="36"/>
        <v>0</v>
      </c>
      <c r="AD35" s="584">
        <f t="shared" si="36"/>
        <v>0</v>
      </c>
      <c r="AE35" s="584">
        <f t="shared" si="36"/>
        <v>0</v>
      </c>
      <c r="AF35" s="584">
        <f t="shared" si="36"/>
        <v>0</v>
      </c>
      <c r="AG35" s="584">
        <f t="shared" si="36"/>
        <v>0</v>
      </c>
      <c r="AH35" s="584">
        <f t="shared" si="36"/>
        <v>0</v>
      </c>
      <c r="AI35" s="584">
        <f t="shared" si="36"/>
        <v>0</v>
      </c>
      <c r="AJ35" s="584">
        <f t="shared" si="36"/>
        <v>0</v>
      </c>
      <c r="AK35" s="584">
        <f t="shared" si="36"/>
        <v>0</v>
      </c>
      <c r="AL35" s="584">
        <f t="shared" si="36"/>
        <v>0</v>
      </c>
      <c r="AM35" s="584">
        <f t="shared" si="36"/>
        <v>0</v>
      </c>
      <c r="AN35" s="584">
        <f t="shared" si="36"/>
        <v>0</v>
      </c>
      <c r="AO35" s="584">
        <f t="shared" si="36"/>
        <v>0</v>
      </c>
      <c r="AP35" s="584">
        <f t="shared" si="36"/>
        <v>0</v>
      </c>
      <c r="AQ35" s="584">
        <f t="shared" si="36"/>
        <v>0</v>
      </c>
      <c r="AR35" s="584">
        <f t="shared" si="36"/>
        <v>0</v>
      </c>
      <c r="AS35" s="584">
        <f t="shared" si="36"/>
        <v>0</v>
      </c>
      <c r="AT35" s="584">
        <f t="shared" si="36"/>
        <v>0</v>
      </c>
      <c r="AU35" s="584">
        <f t="shared" si="36"/>
        <v>0</v>
      </c>
      <c r="AV35" s="584">
        <f>AV36+AV37</f>
        <v>0</v>
      </c>
      <c r="AW35" s="584">
        <f>AW36+AW37</f>
        <v>0</v>
      </c>
      <c r="AX35" s="584">
        <f t="shared" ref="AX35:CN35" si="37">AX36+AX37</f>
        <v>0</v>
      </c>
      <c r="AY35" s="584">
        <f t="shared" si="37"/>
        <v>0</v>
      </c>
      <c r="AZ35" s="584">
        <f t="shared" si="37"/>
        <v>0</v>
      </c>
      <c r="BA35" s="584">
        <f t="shared" si="37"/>
        <v>1456741000</v>
      </c>
      <c r="BB35" s="584">
        <f t="shared" si="37"/>
        <v>20000000</v>
      </c>
      <c r="BC35" s="584">
        <f t="shared" si="37"/>
        <v>0</v>
      </c>
      <c r="BD35" s="584">
        <f t="shared" si="37"/>
        <v>0</v>
      </c>
      <c r="BE35" s="584">
        <f t="shared" si="37"/>
        <v>0</v>
      </c>
      <c r="BF35" s="584">
        <f t="shared" si="37"/>
        <v>0</v>
      </c>
      <c r="BG35" s="584">
        <f t="shared" si="37"/>
        <v>0</v>
      </c>
      <c r="BH35" s="584">
        <f t="shared" si="37"/>
        <v>0</v>
      </c>
      <c r="BI35" s="584">
        <f t="shared" si="37"/>
        <v>0</v>
      </c>
      <c r="BJ35" s="584">
        <f t="shared" si="37"/>
        <v>0</v>
      </c>
      <c r="BK35" s="584">
        <f t="shared" si="37"/>
        <v>0</v>
      </c>
      <c r="BL35" s="584">
        <f>BL36+BL37</f>
        <v>0</v>
      </c>
      <c r="BM35" s="584">
        <f>BM36+BM37</f>
        <v>0</v>
      </c>
      <c r="BN35" s="584">
        <f t="shared" si="37"/>
        <v>0</v>
      </c>
      <c r="BO35" s="584">
        <f t="shared" si="37"/>
        <v>0</v>
      </c>
      <c r="BP35" s="584">
        <f t="shared" si="37"/>
        <v>0</v>
      </c>
      <c r="BQ35" s="584">
        <f t="shared" si="37"/>
        <v>0</v>
      </c>
      <c r="BR35" s="584">
        <f t="shared" si="37"/>
        <v>0</v>
      </c>
      <c r="BS35" s="584">
        <f t="shared" si="37"/>
        <v>0</v>
      </c>
      <c r="BT35" s="584">
        <f t="shared" si="37"/>
        <v>0</v>
      </c>
      <c r="BU35" s="584">
        <f t="shared" si="37"/>
        <v>0</v>
      </c>
      <c r="BV35" s="584">
        <f t="shared" si="37"/>
        <v>0</v>
      </c>
      <c r="BW35" s="584">
        <f t="shared" si="37"/>
        <v>0</v>
      </c>
      <c r="BX35" s="584">
        <f t="shared" si="37"/>
        <v>0</v>
      </c>
      <c r="BY35" s="584">
        <f t="shared" si="37"/>
        <v>0</v>
      </c>
      <c r="BZ35" s="584">
        <f t="shared" si="37"/>
        <v>0</v>
      </c>
      <c r="CA35" s="584">
        <f t="shared" si="37"/>
        <v>0</v>
      </c>
      <c r="CB35" s="584">
        <f t="shared" si="37"/>
        <v>0</v>
      </c>
      <c r="CC35" s="584">
        <f t="shared" si="37"/>
        <v>0</v>
      </c>
      <c r="CD35" s="584">
        <f t="shared" si="37"/>
        <v>0</v>
      </c>
      <c r="CE35" s="584">
        <f t="shared" si="37"/>
        <v>0</v>
      </c>
      <c r="CF35" s="584">
        <f t="shared" si="37"/>
        <v>0</v>
      </c>
      <c r="CG35" s="584">
        <f t="shared" si="37"/>
        <v>0</v>
      </c>
      <c r="CH35" s="584">
        <f t="shared" si="37"/>
        <v>0</v>
      </c>
      <c r="CI35" s="584">
        <f t="shared" si="37"/>
        <v>0</v>
      </c>
      <c r="CJ35" s="584">
        <f t="shared" si="37"/>
        <v>0</v>
      </c>
      <c r="CK35" s="584">
        <f t="shared" si="37"/>
        <v>0</v>
      </c>
      <c r="CL35" s="584">
        <f t="shared" si="37"/>
        <v>0</v>
      </c>
      <c r="CM35" s="584">
        <f t="shared" si="37"/>
        <v>0</v>
      </c>
      <c r="CN35" s="584">
        <f t="shared" si="37"/>
        <v>0</v>
      </c>
      <c r="CO35" s="583" t="s">
        <v>194</v>
      </c>
      <c r="CP35" s="584">
        <f t="shared" ref="CP35:FA35" si="38">CP36+CP37</f>
        <v>460428776509</v>
      </c>
      <c r="CQ35" s="584">
        <f t="shared" si="38"/>
        <v>459164280509</v>
      </c>
      <c r="CR35" s="584">
        <f t="shared" si="38"/>
        <v>1833372000</v>
      </c>
      <c r="CS35" s="584">
        <f t="shared" si="38"/>
        <v>0</v>
      </c>
      <c r="CT35" s="584">
        <f t="shared" si="38"/>
        <v>0</v>
      </c>
      <c r="CU35" s="584">
        <f t="shared" si="38"/>
        <v>1833372000</v>
      </c>
      <c r="CV35" s="584">
        <f t="shared" si="38"/>
        <v>0</v>
      </c>
      <c r="CW35" s="584">
        <f t="shared" si="38"/>
        <v>457330908509</v>
      </c>
      <c r="CX35" s="584">
        <f t="shared" si="38"/>
        <v>0</v>
      </c>
      <c r="CY35" s="584">
        <f t="shared" si="38"/>
        <v>0</v>
      </c>
      <c r="CZ35" s="584">
        <f t="shared" si="38"/>
        <v>381712057509</v>
      </c>
      <c r="DA35" s="584">
        <f t="shared" si="38"/>
        <v>28029225000</v>
      </c>
      <c r="DB35" s="584">
        <f t="shared" si="38"/>
        <v>1615790000</v>
      </c>
      <c r="DC35" s="584">
        <f t="shared" si="38"/>
        <v>29515801000</v>
      </c>
      <c r="DD35" s="584">
        <f t="shared" si="38"/>
        <v>5060180000</v>
      </c>
      <c r="DE35" s="584">
        <f t="shared" si="38"/>
        <v>7279200000</v>
      </c>
      <c r="DF35" s="584">
        <f t="shared" si="38"/>
        <v>1096200000</v>
      </c>
      <c r="DG35" s="584">
        <f t="shared" si="38"/>
        <v>1524000000</v>
      </c>
      <c r="DH35" s="584">
        <f t="shared" si="38"/>
        <v>21714000</v>
      </c>
      <c r="DI35" s="584">
        <f t="shared" si="38"/>
        <v>0</v>
      </c>
      <c r="DJ35" s="584">
        <f t="shared" si="38"/>
        <v>0</v>
      </c>
      <c r="DK35" s="584">
        <f t="shared" si="38"/>
        <v>0</v>
      </c>
      <c r="DL35" s="584">
        <f t="shared" si="38"/>
        <v>0</v>
      </c>
      <c r="DM35" s="584">
        <f>DM36+DM37</f>
        <v>0</v>
      </c>
      <c r="DN35" s="584">
        <f t="shared" si="38"/>
        <v>0</v>
      </c>
      <c r="DO35" s="584">
        <f t="shared" si="38"/>
        <v>0</v>
      </c>
      <c r="DP35" s="584">
        <f t="shared" si="38"/>
        <v>0</v>
      </c>
      <c r="DQ35" s="584">
        <f t="shared" si="38"/>
        <v>0</v>
      </c>
      <c r="DR35" s="584">
        <f t="shared" si="38"/>
        <v>0</v>
      </c>
      <c r="DS35" s="584">
        <f t="shared" si="38"/>
        <v>0</v>
      </c>
      <c r="DT35" s="584">
        <f t="shared" si="38"/>
        <v>0</v>
      </c>
      <c r="DU35" s="584">
        <f t="shared" si="38"/>
        <v>0</v>
      </c>
      <c r="DV35" s="584">
        <f t="shared" si="38"/>
        <v>0</v>
      </c>
      <c r="DW35" s="584">
        <f t="shared" si="38"/>
        <v>0</v>
      </c>
      <c r="DX35" s="584">
        <f t="shared" si="38"/>
        <v>0</v>
      </c>
      <c r="DY35" s="584">
        <f t="shared" si="38"/>
        <v>0</v>
      </c>
      <c r="DZ35" s="584">
        <f t="shared" si="38"/>
        <v>0</v>
      </c>
      <c r="EA35" s="584">
        <f t="shared" si="38"/>
        <v>0</v>
      </c>
      <c r="EB35" s="584">
        <f t="shared" si="38"/>
        <v>0</v>
      </c>
      <c r="EC35" s="584">
        <f t="shared" si="38"/>
        <v>0</v>
      </c>
      <c r="ED35" s="584">
        <f t="shared" si="38"/>
        <v>0</v>
      </c>
      <c r="EE35" s="584">
        <f t="shared" si="38"/>
        <v>0</v>
      </c>
      <c r="EF35" s="584">
        <f t="shared" si="38"/>
        <v>0</v>
      </c>
      <c r="EG35" s="584">
        <f t="shared" si="38"/>
        <v>0</v>
      </c>
      <c r="EH35" s="584">
        <f t="shared" si="38"/>
        <v>0</v>
      </c>
      <c r="EI35" s="584">
        <f>EI36+EI37</f>
        <v>0</v>
      </c>
      <c r="EJ35" s="584">
        <f>EJ36+EJ37</f>
        <v>0</v>
      </c>
      <c r="EK35" s="584">
        <f t="shared" si="38"/>
        <v>0</v>
      </c>
      <c r="EL35" s="584">
        <f t="shared" si="38"/>
        <v>0</v>
      </c>
      <c r="EM35" s="584">
        <f t="shared" si="38"/>
        <v>0</v>
      </c>
      <c r="EN35" s="584">
        <f t="shared" si="38"/>
        <v>1456741000</v>
      </c>
      <c r="EO35" s="584">
        <f t="shared" si="38"/>
        <v>20000000</v>
      </c>
      <c r="EP35" s="584">
        <f t="shared" si="38"/>
        <v>0</v>
      </c>
      <c r="EQ35" s="584">
        <f t="shared" si="38"/>
        <v>0</v>
      </c>
      <c r="ER35" s="584">
        <f t="shared" si="38"/>
        <v>0</v>
      </c>
      <c r="ES35" s="584">
        <f t="shared" si="38"/>
        <v>0</v>
      </c>
      <c r="ET35" s="584">
        <f t="shared" si="38"/>
        <v>0</v>
      </c>
      <c r="EU35" s="584">
        <f t="shared" si="38"/>
        <v>0</v>
      </c>
      <c r="EV35" s="584">
        <f t="shared" si="38"/>
        <v>0</v>
      </c>
      <c r="EW35" s="584">
        <f t="shared" si="38"/>
        <v>0</v>
      </c>
      <c r="EX35" s="584">
        <f t="shared" si="38"/>
        <v>0</v>
      </c>
      <c r="EY35" s="584">
        <f>EY36+EY37</f>
        <v>0</v>
      </c>
      <c r="EZ35" s="584">
        <f>EZ36+EZ37</f>
        <v>0</v>
      </c>
      <c r="FA35" s="584">
        <f t="shared" si="38"/>
        <v>0</v>
      </c>
      <c r="FB35" s="584">
        <f t="shared" ref="FB35:GB35" si="39">FB36+FB37</f>
        <v>0</v>
      </c>
      <c r="FC35" s="584">
        <f t="shared" si="39"/>
        <v>0</v>
      </c>
      <c r="FD35" s="584">
        <f t="shared" si="39"/>
        <v>0</v>
      </c>
      <c r="FE35" s="584">
        <f t="shared" si="39"/>
        <v>0</v>
      </c>
      <c r="FF35" s="584">
        <f t="shared" si="39"/>
        <v>0</v>
      </c>
      <c r="FG35" s="584">
        <f t="shared" si="39"/>
        <v>0</v>
      </c>
      <c r="FH35" s="584">
        <f t="shared" si="39"/>
        <v>0</v>
      </c>
      <c r="FI35" s="584">
        <f t="shared" si="39"/>
        <v>0</v>
      </c>
      <c r="FJ35" s="584">
        <f t="shared" si="39"/>
        <v>0</v>
      </c>
      <c r="FK35" s="584">
        <f t="shared" si="39"/>
        <v>0</v>
      </c>
      <c r="FL35" s="584">
        <f t="shared" si="39"/>
        <v>0</v>
      </c>
      <c r="FM35" s="584">
        <f t="shared" si="39"/>
        <v>0</v>
      </c>
      <c r="FN35" s="584">
        <f t="shared" si="39"/>
        <v>0</v>
      </c>
      <c r="FO35" s="584">
        <f t="shared" si="39"/>
        <v>0</v>
      </c>
      <c r="FP35" s="584">
        <f t="shared" si="39"/>
        <v>0</v>
      </c>
      <c r="FQ35" s="584">
        <f t="shared" si="39"/>
        <v>0</v>
      </c>
      <c r="FR35" s="584">
        <f t="shared" si="39"/>
        <v>0</v>
      </c>
      <c r="FS35" s="584">
        <f t="shared" si="39"/>
        <v>0</v>
      </c>
      <c r="FT35" s="584">
        <f t="shared" si="39"/>
        <v>0</v>
      </c>
      <c r="FU35" s="584">
        <f t="shared" si="39"/>
        <v>0</v>
      </c>
      <c r="FV35" s="584">
        <f t="shared" si="39"/>
        <v>0</v>
      </c>
      <c r="FW35" s="584">
        <f t="shared" si="39"/>
        <v>0</v>
      </c>
      <c r="FX35" s="584">
        <f t="shared" si="39"/>
        <v>0</v>
      </c>
      <c r="FY35" s="584">
        <f t="shared" si="39"/>
        <v>0</v>
      </c>
      <c r="FZ35" s="584">
        <f t="shared" si="39"/>
        <v>0</v>
      </c>
      <c r="GA35" s="584">
        <f t="shared" si="39"/>
        <v>0</v>
      </c>
      <c r="GB35" s="584">
        <f t="shared" si="39"/>
        <v>1264496000</v>
      </c>
      <c r="GC35" s="586">
        <f>CP35/C35</f>
        <v>1</v>
      </c>
      <c r="GD35" s="586"/>
      <c r="GE35" s="586">
        <f>CW35/J35</f>
        <v>0.99724267625107621</v>
      </c>
      <c r="GF35" s="586"/>
      <c r="GG35" s="586"/>
    </row>
    <row r="36" spans="1:189" s="92" customFormat="1" ht="17.25" hidden="1" customHeight="1">
      <c r="A36" s="582"/>
      <c r="B36" s="583" t="s">
        <v>183</v>
      </c>
      <c r="C36" s="584">
        <f>D36+BE36+CI36</f>
        <v>1833372000</v>
      </c>
      <c r="D36" s="584">
        <f>E36+J36</f>
        <v>1833372000</v>
      </c>
      <c r="E36" s="584">
        <f>SUM(F36:I36)</f>
        <v>1833372000</v>
      </c>
      <c r="F36" s="584"/>
      <c r="G36" s="584"/>
      <c r="H36" s="584">
        <v>1833372000</v>
      </c>
      <c r="I36" s="584"/>
      <c r="J36" s="584">
        <f>SUM(K36:BD36)</f>
        <v>0</v>
      </c>
      <c r="K36" s="584"/>
      <c r="L36" s="584"/>
      <c r="M36" s="584"/>
      <c r="N36" s="584"/>
      <c r="O36" s="584"/>
      <c r="P36" s="584"/>
      <c r="Q36" s="584"/>
      <c r="R36" s="584"/>
      <c r="S36" s="584"/>
      <c r="T36" s="584"/>
      <c r="U36" s="584"/>
      <c r="V36" s="584"/>
      <c r="W36" s="584"/>
      <c r="X36" s="584"/>
      <c r="Y36" s="584"/>
      <c r="Z36" s="584"/>
      <c r="AA36" s="584"/>
      <c r="AB36" s="584"/>
      <c r="AC36" s="584"/>
      <c r="AD36" s="584"/>
      <c r="AE36" s="584"/>
      <c r="AF36" s="584"/>
      <c r="AG36" s="584"/>
      <c r="AH36" s="584"/>
      <c r="AI36" s="584"/>
      <c r="AJ36" s="584"/>
      <c r="AK36" s="584"/>
      <c r="AL36" s="584"/>
      <c r="AM36" s="584"/>
      <c r="AN36" s="584"/>
      <c r="AO36" s="584"/>
      <c r="AP36" s="584"/>
      <c r="AQ36" s="584"/>
      <c r="AR36" s="584"/>
      <c r="AS36" s="584"/>
      <c r="AT36" s="584"/>
      <c r="AU36" s="584"/>
      <c r="AV36" s="584"/>
      <c r="AW36" s="584"/>
      <c r="AX36" s="584"/>
      <c r="AY36" s="584"/>
      <c r="AZ36" s="584"/>
      <c r="BA36" s="584"/>
      <c r="BB36" s="584"/>
      <c r="BC36" s="584"/>
      <c r="BD36" s="584"/>
      <c r="BE36" s="584">
        <f>SUM(BF36:BG36)</f>
        <v>0</v>
      </c>
      <c r="BF36" s="584">
        <f>SUM(BH36:BI36)+BJ36+SUM(BL36:BN36)+BW36+CE36</f>
        <v>0</v>
      </c>
      <c r="BG36" s="584">
        <f>BK36+SUM(BO36:BV36)+SUM(BX36:CD36)+SUM(CF36:CH36)</f>
        <v>0</v>
      </c>
      <c r="BH36" s="584"/>
      <c r="BI36" s="584"/>
      <c r="BJ36" s="584"/>
      <c r="BK36" s="584"/>
      <c r="BL36" s="584"/>
      <c r="BM36" s="584"/>
      <c r="BN36" s="584"/>
      <c r="BO36" s="584"/>
      <c r="BP36" s="584"/>
      <c r="BQ36" s="584"/>
      <c r="BR36" s="584"/>
      <c r="BS36" s="584"/>
      <c r="BT36" s="584"/>
      <c r="BU36" s="584"/>
      <c r="BV36" s="584"/>
      <c r="BW36" s="584"/>
      <c r="BX36" s="584"/>
      <c r="BY36" s="584"/>
      <c r="BZ36" s="584"/>
      <c r="CA36" s="584"/>
      <c r="CB36" s="584"/>
      <c r="CC36" s="584"/>
      <c r="CD36" s="584"/>
      <c r="CE36" s="584"/>
      <c r="CF36" s="584"/>
      <c r="CG36" s="584"/>
      <c r="CH36" s="584"/>
      <c r="CI36" s="584">
        <f>SUM(CJ36:CK36)</f>
        <v>0</v>
      </c>
      <c r="CJ36" s="584">
        <f>SUM(CL36:CL36)</f>
        <v>0</v>
      </c>
      <c r="CK36" s="584">
        <f>SUM(CM36:CN36)</f>
        <v>0</v>
      </c>
      <c r="CL36" s="584"/>
      <c r="CM36" s="584"/>
      <c r="CN36" s="584"/>
      <c r="CO36" s="583" t="s">
        <v>183</v>
      </c>
      <c r="CP36" s="584">
        <f>CQ36+ER36+FV36+GB36</f>
        <v>1833372000</v>
      </c>
      <c r="CQ36" s="584">
        <f>CR36+CW36</f>
        <v>1833372000</v>
      </c>
      <c r="CR36" s="584">
        <f>SUM(CS36:CV36)</f>
        <v>1833372000</v>
      </c>
      <c r="CS36" s="584"/>
      <c r="CT36" s="584"/>
      <c r="CU36" s="584">
        <v>1833372000</v>
      </c>
      <c r="CV36" s="584"/>
      <c r="CW36" s="584">
        <f>SUM(CX36:EQ36)</f>
        <v>0</v>
      </c>
      <c r="CX36" s="584"/>
      <c r="CY36" s="584"/>
      <c r="CZ36" s="584"/>
      <c r="DA36" s="584"/>
      <c r="DB36" s="584"/>
      <c r="DC36" s="584"/>
      <c r="DD36" s="584"/>
      <c r="DE36" s="584"/>
      <c r="DF36" s="584"/>
      <c r="DG36" s="584"/>
      <c r="DH36" s="584"/>
      <c r="DI36" s="584"/>
      <c r="DJ36" s="584"/>
      <c r="DK36" s="584"/>
      <c r="DL36" s="584"/>
      <c r="DM36" s="584"/>
      <c r="DN36" s="584"/>
      <c r="DO36" s="584"/>
      <c r="DP36" s="584"/>
      <c r="DQ36" s="584"/>
      <c r="DR36" s="584"/>
      <c r="DS36" s="584"/>
      <c r="DT36" s="584"/>
      <c r="DU36" s="584"/>
      <c r="DV36" s="584"/>
      <c r="DW36" s="584"/>
      <c r="DX36" s="584"/>
      <c r="DY36" s="584"/>
      <c r="DZ36" s="584"/>
      <c r="EA36" s="584"/>
      <c r="EB36" s="584"/>
      <c r="EC36" s="584"/>
      <c r="ED36" s="584"/>
      <c r="EE36" s="584"/>
      <c r="EF36" s="584"/>
      <c r="EG36" s="584"/>
      <c r="EH36" s="584"/>
      <c r="EI36" s="584"/>
      <c r="EJ36" s="584"/>
      <c r="EK36" s="584"/>
      <c r="EL36" s="584"/>
      <c r="EM36" s="584"/>
      <c r="EN36" s="584"/>
      <c r="EO36" s="584"/>
      <c r="EP36" s="584"/>
      <c r="EQ36" s="584"/>
      <c r="ER36" s="584">
        <f>SUM(ES36:ET36)</f>
        <v>0</v>
      </c>
      <c r="ES36" s="584">
        <f>SUM(EU36:EV36)+EW36+SUM(EY36:FA36)+FJ36+FR36</f>
        <v>0</v>
      </c>
      <c r="ET36" s="584">
        <f>EX36+SUM(FB36:FI36)+SUM(FK36:FQ36)+SUM(FS36:FU36)</f>
        <v>0</v>
      </c>
      <c r="EU36" s="584"/>
      <c r="EV36" s="584"/>
      <c r="EW36" s="584"/>
      <c r="EX36" s="584"/>
      <c r="EY36" s="584"/>
      <c r="EZ36" s="584"/>
      <c r="FA36" s="584"/>
      <c r="FB36" s="584"/>
      <c r="FC36" s="584"/>
      <c r="FD36" s="584"/>
      <c r="FE36" s="584"/>
      <c r="FF36" s="584"/>
      <c r="FG36" s="584"/>
      <c r="FH36" s="584"/>
      <c r="FI36" s="584"/>
      <c r="FJ36" s="584"/>
      <c r="FK36" s="584"/>
      <c r="FL36" s="584"/>
      <c r="FM36" s="584"/>
      <c r="FN36" s="584"/>
      <c r="FO36" s="584"/>
      <c r="FP36" s="584"/>
      <c r="FQ36" s="584"/>
      <c r="FR36" s="584"/>
      <c r="FS36" s="584"/>
      <c r="FT36" s="584"/>
      <c r="FU36" s="584"/>
      <c r="FV36" s="584">
        <f>SUM(FW36:FX36)</f>
        <v>0</v>
      </c>
      <c r="FW36" s="584">
        <f>SUM(FY36:FY36)</f>
        <v>0</v>
      </c>
      <c r="FX36" s="584">
        <f>SUM(FZ36:GA36)</f>
        <v>0</v>
      </c>
      <c r="FY36" s="584"/>
      <c r="FZ36" s="584"/>
      <c r="GA36" s="584"/>
      <c r="GB36" s="584"/>
      <c r="GC36" s="586">
        <f>CP36/C36</f>
        <v>1</v>
      </c>
      <c r="GD36" s="586"/>
      <c r="GE36" s="586"/>
      <c r="GF36" s="586"/>
      <c r="GG36" s="586"/>
    </row>
    <row r="37" spans="1:189" s="92" customFormat="1" ht="17.25" hidden="1" customHeight="1">
      <c r="A37" s="582"/>
      <c r="B37" s="583" t="s">
        <v>184</v>
      </c>
      <c r="C37" s="584">
        <f>D37+BE37+CI37</f>
        <v>458595404509</v>
      </c>
      <c r="D37" s="584">
        <f>E37+J37</f>
        <v>458595404509</v>
      </c>
      <c r="E37" s="584">
        <f>SUM(F37:I37)</f>
        <v>0</v>
      </c>
      <c r="F37" s="584"/>
      <c r="G37" s="584"/>
      <c r="H37" s="584"/>
      <c r="I37" s="584"/>
      <c r="J37" s="584">
        <f>SUM(K37:BD37)</f>
        <v>458595404509</v>
      </c>
      <c r="K37" s="584"/>
      <c r="L37" s="584"/>
      <c r="M37" s="584">
        <f>(457102894656+15768853)-74142110000</f>
        <v>382976553509</v>
      </c>
      <c r="N37" s="584">
        <v>28029225000</v>
      </c>
      <c r="O37" s="584">
        <v>1615790000</v>
      </c>
      <c r="P37" s="584">
        <v>29515801000</v>
      </c>
      <c r="Q37" s="584">
        <v>5060180000</v>
      </c>
      <c r="R37" s="584">
        <v>7279200000</v>
      </c>
      <c r="S37" s="584">
        <v>1096200000</v>
      </c>
      <c r="T37" s="584">
        <v>1524000000</v>
      </c>
      <c r="U37" s="584">
        <v>21714000</v>
      </c>
      <c r="V37" s="584"/>
      <c r="W37" s="584"/>
      <c r="X37" s="584"/>
      <c r="Y37" s="584"/>
      <c r="Z37" s="584"/>
      <c r="AA37" s="584"/>
      <c r="AB37" s="584"/>
      <c r="AC37" s="584"/>
      <c r="AD37" s="584"/>
      <c r="AE37" s="584"/>
      <c r="AF37" s="584"/>
      <c r="AG37" s="584"/>
      <c r="AH37" s="584"/>
      <c r="AI37" s="584"/>
      <c r="AJ37" s="584"/>
      <c r="AK37" s="584"/>
      <c r="AL37" s="584"/>
      <c r="AM37" s="584"/>
      <c r="AN37" s="584"/>
      <c r="AO37" s="584"/>
      <c r="AP37" s="584"/>
      <c r="AQ37" s="584"/>
      <c r="AR37" s="584"/>
      <c r="AS37" s="584"/>
      <c r="AT37" s="584"/>
      <c r="AU37" s="584"/>
      <c r="AV37" s="584"/>
      <c r="AW37" s="584"/>
      <c r="AX37" s="584"/>
      <c r="AY37" s="584"/>
      <c r="AZ37" s="584"/>
      <c r="BA37" s="584">
        <v>1456741000</v>
      </c>
      <c r="BB37" s="584">
        <v>20000000</v>
      </c>
      <c r="BC37" s="584"/>
      <c r="BD37" s="584"/>
      <c r="BE37" s="584">
        <f>SUM(BF37:BG37)</f>
        <v>0</v>
      </c>
      <c r="BF37" s="584">
        <f>SUM(BH37:BI37)+BJ37+SUM(BL37:BN37)+BW37+CE37</f>
        <v>0</v>
      </c>
      <c r="BG37" s="584">
        <f>BK37+SUM(BO37:BV37)+SUM(BX37:CD37)+SUM(CF37:CH37)</f>
        <v>0</v>
      </c>
      <c r="BH37" s="584"/>
      <c r="BI37" s="584"/>
      <c r="BJ37" s="584"/>
      <c r="BK37" s="584"/>
      <c r="BL37" s="584"/>
      <c r="BM37" s="584"/>
      <c r="BN37" s="584"/>
      <c r="BO37" s="584"/>
      <c r="BP37" s="584"/>
      <c r="BQ37" s="584"/>
      <c r="BR37" s="584"/>
      <c r="BS37" s="584"/>
      <c r="BT37" s="584"/>
      <c r="BU37" s="584"/>
      <c r="BV37" s="584"/>
      <c r="BW37" s="584"/>
      <c r="BX37" s="584"/>
      <c r="BY37" s="584"/>
      <c r="BZ37" s="584"/>
      <c r="CA37" s="584"/>
      <c r="CB37" s="584"/>
      <c r="CC37" s="584"/>
      <c r="CD37" s="584"/>
      <c r="CE37" s="584"/>
      <c r="CF37" s="584"/>
      <c r="CG37" s="584"/>
      <c r="CH37" s="584"/>
      <c r="CI37" s="584">
        <f>SUM(CJ37:CK37)</f>
        <v>0</v>
      </c>
      <c r="CJ37" s="584">
        <f>SUM(CL37:CL37)</f>
        <v>0</v>
      </c>
      <c r="CK37" s="584">
        <f>SUM(CM37:CN37)</f>
        <v>0</v>
      </c>
      <c r="CL37" s="584"/>
      <c r="CM37" s="584"/>
      <c r="CN37" s="584"/>
      <c r="CO37" s="583" t="s">
        <v>184</v>
      </c>
      <c r="CP37" s="584">
        <f>CQ37+ER37+FV37+GB37</f>
        <v>458595404509</v>
      </c>
      <c r="CQ37" s="584">
        <f>CR37+CW37</f>
        <v>457330908509</v>
      </c>
      <c r="CR37" s="584">
        <f>SUM(CS37:CV37)</f>
        <v>0</v>
      </c>
      <c r="CS37" s="584"/>
      <c r="CT37" s="584"/>
      <c r="CU37" s="584"/>
      <c r="CV37" s="584"/>
      <c r="CW37" s="584">
        <f>SUM(CX37:EQ37)</f>
        <v>457330908509</v>
      </c>
      <c r="CX37" s="584"/>
      <c r="CY37" s="584"/>
      <c r="CZ37" s="584">
        <f>(457102894656+15768853)-74142110000-1264496000</f>
        <v>381712057509</v>
      </c>
      <c r="DA37" s="584">
        <v>28029225000</v>
      </c>
      <c r="DB37" s="584">
        <v>1615790000</v>
      </c>
      <c r="DC37" s="584">
        <v>29515801000</v>
      </c>
      <c r="DD37" s="584">
        <v>5060180000</v>
      </c>
      <c r="DE37" s="584">
        <v>7279200000</v>
      </c>
      <c r="DF37" s="584">
        <v>1096200000</v>
      </c>
      <c r="DG37" s="584">
        <v>1524000000</v>
      </c>
      <c r="DH37" s="584">
        <v>21714000</v>
      </c>
      <c r="DI37" s="584"/>
      <c r="DJ37" s="584"/>
      <c r="DK37" s="584"/>
      <c r="DL37" s="584"/>
      <c r="DM37" s="584"/>
      <c r="DN37" s="584"/>
      <c r="DO37" s="584"/>
      <c r="DP37" s="584"/>
      <c r="DQ37" s="584"/>
      <c r="DR37" s="584"/>
      <c r="DS37" s="584"/>
      <c r="DT37" s="584"/>
      <c r="DU37" s="584"/>
      <c r="DV37" s="584"/>
      <c r="DW37" s="584"/>
      <c r="DX37" s="584"/>
      <c r="DY37" s="584"/>
      <c r="DZ37" s="584"/>
      <c r="EA37" s="584"/>
      <c r="EB37" s="584"/>
      <c r="EC37" s="584"/>
      <c r="ED37" s="584"/>
      <c r="EE37" s="584"/>
      <c r="EF37" s="584"/>
      <c r="EG37" s="584"/>
      <c r="EH37" s="584"/>
      <c r="EI37" s="584"/>
      <c r="EJ37" s="584"/>
      <c r="EK37" s="584"/>
      <c r="EL37" s="584"/>
      <c r="EM37" s="584"/>
      <c r="EN37" s="584">
        <v>1456741000</v>
      </c>
      <c r="EO37" s="584">
        <v>20000000</v>
      </c>
      <c r="EP37" s="584"/>
      <c r="EQ37" s="584"/>
      <c r="ER37" s="584">
        <f>SUM(ES37:ET37)</f>
        <v>0</v>
      </c>
      <c r="ES37" s="584">
        <f>SUM(EU37:EV37)+EW37+SUM(EY37:FA37)+FJ37+FR37</f>
        <v>0</v>
      </c>
      <c r="ET37" s="584">
        <f>EX37+SUM(FB37:FI37)+SUM(FK37:FQ37)+SUM(FS37:FU37)</f>
        <v>0</v>
      </c>
      <c r="EU37" s="584"/>
      <c r="EV37" s="584"/>
      <c r="EW37" s="584"/>
      <c r="EX37" s="584"/>
      <c r="EY37" s="584"/>
      <c r="EZ37" s="584"/>
      <c r="FA37" s="584"/>
      <c r="FB37" s="584"/>
      <c r="FC37" s="584"/>
      <c r="FD37" s="584"/>
      <c r="FE37" s="584"/>
      <c r="FF37" s="584"/>
      <c r="FG37" s="584"/>
      <c r="FH37" s="584"/>
      <c r="FI37" s="584"/>
      <c r="FJ37" s="584"/>
      <c r="FK37" s="584"/>
      <c r="FL37" s="584"/>
      <c r="FM37" s="584"/>
      <c r="FN37" s="584"/>
      <c r="FO37" s="584"/>
      <c r="FP37" s="584"/>
      <c r="FQ37" s="584"/>
      <c r="FR37" s="584"/>
      <c r="FS37" s="584"/>
      <c r="FT37" s="584"/>
      <c r="FU37" s="584"/>
      <c r="FV37" s="584">
        <f>SUM(FW37:FX37)</f>
        <v>0</v>
      </c>
      <c r="FW37" s="584">
        <f>SUM(FY37:FY37)</f>
        <v>0</v>
      </c>
      <c r="FX37" s="584">
        <f>SUM(FZ37:GA37)</f>
        <v>0</v>
      </c>
      <c r="FY37" s="584"/>
      <c r="FZ37" s="584"/>
      <c r="GA37" s="584"/>
      <c r="GB37" s="584">
        <v>1264496000</v>
      </c>
      <c r="GC37" s="586">
        <f>CP37/C37</f>
        <v>1</v>
      </c>
      <c r="GD37" s="586"/>
      <c r="GE37" s="586">
        <f>CW37/J37</f>
        <v>0.99724267625107621</v>
      </c>
      <c r="GF37" s="586"/>
      <c r="GG37" s="586"/>
    </row>
    <row r="38" spans="1:189" s="92" customFormat="1" ht="17.25" customHeight="1">
      <c r="A38" s="582">
        <v>9</v>
      </c>
      <c r="B38" s="583" t="s">
        <v>190</v>
      </c>
      <c r="C38" s="584">
        <f t="shared" ref="C38:AU38" si="40">C39+C40</f>
        <v>2125457600</v>
      </c>
      <c r="D38" s="584">
        <f t="shared" si="40"/>
        <v>310457600</v>
      </c>
      <c r="E38" s="584">
        <f t="shared" si="40"/>
        <v>0</v>
      </c>
      <c r="F38" s="584">
        <f t="shared" si="40"/>
        <v>0</v>
      </c>
      <c r="G38" s="584">
        <f t="shared" si="40"/>
        <v>0</v>
      </c>
      <c r="H38" s="584">
        <f t="shared" si="40"/>
        <v>0</v>
      </c>
      <c r="I38" s="584">
        <f t="shared" si="40"/>
        <v>0</v>
      </c>
      <c r="J38" s="584">
        <f t="shared" si="40"/>
        <v>310457600</v>
      </c>
      <c r="K38" s="584">
        <f t="shared" si="40"/>
        <v>0</v>
      </c>
      <c r="L38" s="584">
        <f t="shared" si="40"/>
        <v>0</v>
      </c>
      <c r="M38" s="584">
        <f t="shared" si="40"/>
        <v>0</v>
      </c>
      <c r="N38" s="584">
        <f t="shared" si="40"/>
        <v>0</v>
      </c>
      <c r="O38" s="584">
        <f t="shared" si="40"/>
        <v>0</v>
      </c>
      <c r="P38" s="584">
        <f t="shared" si="40"/>
        <v>0</v>
      </c>
      <c r="Q38" s="584">
        <f t="shared" si="40"/>
        <v>0</v>
      </c>
      <c r="R38" s="584">
        <f t="shared" si="40"/>
        <v>0</v>
      </c>
      <c r="S38" s="584">
        <f t="shared" si="40"/>
        <v>0</v>
      </c>
      <c r="T38" s="584">
        <f t="shared" si="40"/>
        <v>0</v>
      </c>
      <c r="U38" s="584">
        <f t="shared" si="40"/>
        <v>0</v>
      </c>
      <c r="V38" s="584">
        <f t="shared" si="40"/>
        <v>0</v>
      </c>
      <c r="W38" s="584">
        <f t="shared" si="40"/>
        <v>0</v>
      </c>
      <c r="X38" s="584">
        <f t="shared" si="40"/>
        <v>0</v>
      </c>
      <c r="Y38" s="584">
        <f t="shared" si="40"/>
        <v>0</v>
      </c>
      <c r="Z38" s="584">
        <f t="shared" si="40"/>
        <v>0</v>
      </c>
      <c r="AA38" s="584">
        <f t="shared" si="40"/>
        <v>0</v>
      </c>
      <c r="AB38" s="584">
        <f t="shared" si="40"/>
        <v>0</v>
      </c>
      <c r="AC38" s="584">
        <f t="shared" si="40"/>
        <v>0</v>
      </c>
      <c r="AD38" s="584">
        <f t="shared" si="40"/>
        <v>0</v>
      </c>
      <c r="AE38" s="584">
        <f t="shared" si="40"/>
        <v>0</v>
      </c>
      <c r="AF38" s="584">
        <f t="shared" si="40"/>
        <v>0</v>
      </c>
      <c r="AG38" s="584">
        <f t="shared" si="40"/>
        <v>0</v>
      </c>
      <c r="AH38" s="584">
        <f t="shared" si="40"/>
        <v>0</v>
      </c>
      <c r="AI38" s="584">
        <f t="shared" si="40"/>
        <v>0</v>
      </c>
      <c r="AJ38" s="584">
        <f t="shared" si="40"/>
        <v>0</v>
      </c>
      <c r="AK38" s="584">
        <f t="shared" si="40"/>
        <v>0</v>
      </c>
      <c r="AL38" s="584">
        <f t="shared" si="40"/>
        <v>0</v>
      </c>
      <c r="AM38" s="584">
        <f t="shared" si="40"/>
        <v>0</v>
      </c>
      <c r="AN38" s="584">
        <f t="shared" si="40"/>
        <v>0</v>
      </c>
      <c r="AO38" s="584">
        <f t="shared" si="40"/>
        <v>0</v>
      </c>
      <c r="AP38" s="584">
        <f t="shared" si="40"/>
        <v>0</v>
      </c>
      <c r="AQ38" s="584">
        <f t="shared" si="40"/>
        <v>0</v>
      </c>
      <c r="AR38" s="584">
        <f t="shared" si="40"/>
        <v>0</v>
      </c>
      <c r="AS38" s="584">
        <f t="shared" si="40"/>
        <v>0</v>
      </c>
      <c r="AT38" s="584">
        <f t="shared" si="40"/>
        <v>0</v>
      </c>
      <c r="AU38" s="584">
        <f t="shared" si="40"/>
        <v>0</v>
      </c>
      <c r="AV38" s="584">
        <f>AV39+AV40</f>
        <v>0</v>
      </c>
      <c r="AW38" s="584">
        <f>AW39+AW40</f>
        <v>0</v>
      </c>
      <c r="AX38" s="584">
        <f t="shared" ref="AX38:CN38" si="41">AX39+AX40</f>
        <v>0</v>
      </c>
      <c r="AY38" s="584">
        <f t="shared" si="41"/>
        <v>0</v>
      </c>
      <c r="AZ38" s="584">
        <f t="shared" si="41"/>
        <v>0</v>
      </c>
      <c r="BA38" s="584">
        <f t="shared" si="41"/>
        <v>310457600</v>
      </c>
      <c r="BB38" s="584">
        <f t="shared" si="41"/>
        <v>0</v>
      </c>
      <c r="BC38" s="584">
        <f t="shared" si="41"/>
        <v>0</v>
      </c>
      <c r="BD38" s="584">
        <f t="shared" si="41"/>
        <v>0</v>
      </c>
      <c r="BE38" s="584">
        <f t="shared" si="41"/>
        <v>1815000000</v>
      </c>
      <c r="BF38" s="584">
        <f t="shared" si="41"/>
        <v>0</v>
      </c>
      <c r="BG38" s="584">
        <f t="shared" si="41"/>
        <v>1815000000</v>
      </c>
      <c r="BH38" s="584">
        <f t="shared" si="41"/>
        <v>0</v>
      </c>
      <c r="BI38" s="584">
        <f t="shared" si="41"/>
        <v>0</v>
      </c>
      <c r="BJ38" s="584">
        <f t="shared" si="41"/>
        <v>0</v>
      </c>
      <c r="BK38" s="584">
        <f t="shared" si="41"/>
        <v>0</v>
      </c>
      <c r="BL38" s="584">
        <f>BL39+BL40</f>
        <v>0</v>
      </c>
      <c r="BM38" s="584">
        <f>BM39+BM40</f>
        <v>0</v>
      </c>
      <c r="BN38" s="584">
        <f t="shared" si="41"/>
        <v>0</v>
      </c>
      <c r="BO38" s="584">
        <f t="shared" si="41"/>
        <v>0</v>
      </c>
      <c r="BP38" s="584">
        <f t="shared" si="41"/>
        <v>0</v>
      </c>
      <c r="BQ38" s="584">
        <f t="shared" si="41"/>
        <v>0</v>
      </c>
      <c r="BR38" s="584">
        <f t="shared" si="41"/>
        <v>0</v>
      </c>
      <c r="BS38" s="584">
        <f t="shared" si="41"/>
        <v>0</v>
      </c>
      <c r="BT38" s="584">
        <f t="shared" si="41"/>
        <v>0</v>
      </c>
      <c r="BU38" s="584">
        <f t="shared" si="41"/>
        <v>0</v>
      </c>
      <c r="BV38" s="584">
        <f t="shared" si="41"/>
        <v>0</v>
      </c>
      <c r="BW38" s="584">
        <f t="shared" si="41"/>
        <v>0</v>
      </c>
      <c r="BX38" s="584">
        <f t="shared" si="41"/>
        <v>0</v>
      </c>
      <c r="BY38" s="584">
        <f t="shared" si="41"/>
        <v>0</v>
      </c>
      <c r="BZ38" s="584">
        <f t="shared" si="41"/>
        <v>1815000000</v>
      </c>
      <c r="CA38" s="584">
        <f t="shared" si="41"/>
        <v>0</v>
      </c>
      <c r="CB38" s="584">
        <f t="shared" si="41"/>
        <v>0</v>
      </c>
      <c r="CC38" s="584">
        <f t="shared" si="41"/>
        <v>0</v>
      </c>
      <c r="CD38" s="584">
        <f t="shared" si="41"/>
        <v>0</v>
      </c>
      <c r="CE38" s="584">
        <f t="shared" si="41"/>
        <v>0</v>
      </c>
      <c r="CF38" s="584">
        <f t="shared" si="41"/>
        <v>0</v>
      </c>
      <c r="CG38" s="584">
        <f t="shared" si="41"/>
        <v>0</v>
      </c>
      <c r="CH38" s="584">
        <f t="shared" si="41"/>
        <v>0</v>
      </c>
      <c r="CI38" s="584">
        <f t="shared" si="41"/>
        <v>0</v>
      </c>
      <c r="CJ38" s="584">
        <f t="shared" si="41"/>
        <v>0</v>
      </c>
      <c r="CK38" s="584">
        <f t="shared" si="41"/>
        <v>0</v>
      </c>
      <c r="CL38" s="584">
        <f t="shared" si="41"/>
        <v>0</v>
      </c>
      <c r="CM38" s="584">
        <f t="shared" si="41"/>
        <v>0</v>
      </c>
      <c r="CN38" s="584">
        <f t="shared" si="41"/>
        <v>0</v>
      </c>
      <c r="CO38" s="583" t="s">
        <v>190</v>
      </c>
      <c r="CP38" s="584">
        <f t="shared" ref="CP38:FA38" si="42">CP39+CP40</f>
        <v>2125457600</v>
      </c>
      <c r="CQ38" s="584">
        <f t="shared" si="42"/>
        <v>310457600</v>
      </c>
      <c r="CR38" s="584">
        <f t="shared" si="42"/>
        <v>0</v>
      </c>
      <c r="CS38" s="584">
        <f t="shared" si="42"/>
        <v>0</v>
      </c>
      <c r="CT38" s="584">
        <f t="shared" si="42"/>
        <v>0</v>
      </c>
      <c r="CU38" s="584">
        <f t="shared" si="42"/>
        <v>0</v>
      </c>
      <c r="CV38" s="584">
        <f t="shared" si="42"/>
        <v>0</v>
      </c>
      <c r="CW38" s="584">
        <f t="shared" si="42"/>
        <v>310457600</v>
      </c>
      <c r="CX38" s="584">
        <f t="shared" si="42"/>
        <v>0</v>
      </c>
      <c r="CY38" s="584">
        <f t="shared" si="42"/>
        <v>0</v>
      </c>
      <c r="CZ38" s="584">
        <f t="shared" si="42"/>
        <v>0</v>
      </c>
      <c r="DA38" s="584">
        <f t="shared" si="42"/>
        <v>0</v>
      </c>
      <c r="DB38" s="584">
        <f t="shared" si="42"/>
        <v>0</v>
      </c>
      <c r="DC38" s="584">
        <f t="shared" si="42"/>
        <v>0</v>
      </c>
      <c r="DD38" s="584">
        <f t="shared" si="42"/>
        <v>0</v>
      </c>
      <c r="DE38" s="584">
        <f t="shared" si="42"/>
        <v>0</v>
      </c>
      <c r="DF38" s="584">
        <f t="shared" si="42"/>
        <v>0</v>
      </c>
      <c r="DG38" s="584">
        <f t="shared" si="42"/>
        <v>0</v>
      </c>
      <c r="DH38" s="584">
        <f t="shared" si="42"/>
        <v>0</v>
      </c>
      <c r="DI38" s="584">
        <f t="shared" si="42"/>
        <v>0</v>
      </c>
      <c r="DJ38" s="584">
        <f t="shared" si="42"/>
        <v>0</v>
      </c>
      <c r="DK38" s="584">
        <f t="shared" si="42"/>
        <v>0</v>
      </c>
      <c r="DL38" s="584">
        <f t="shared" si="42"/>
        <v>0</v>
      </c>
      <c r="DM38" s="584">
        <f>DM39+DM40</f>
        <v>0</v>
      </c>
      <c r="DN38" s="584">
        <f t="shared" si="42"/>
        <v>0</v>
      </c>
      <c r="DO38" s="584">
        <f t="shared" si="42"/>
        <v>0</v>
      </c>
      <c r="DP38" s="584">
        <f t="shared" si="42"/>
        <v>0</v>
      </c>
      <c r="DQ38" s="584">
        <f t="shared" si="42"/>
        <v>0</v>
      </c>
      <c r="DR38" s="584">
        <f t="shared" si="42"/>
        <v>0</v>
      </c>
      <c r="DS38" s="584">
        <f t="shared" si="42"/>
        <v>0</v>
      </c>
      <c r="DT38" s="584">
        <f t="shared" si="42"/>
        <v>0</v>
      </c>
      <c r="DU38" s="584">
        <f t="shared" si="42"/>
        <v>0</v>
      </c>
      <c r="DV38" s="584">
        <f t="shared" si="42"/>
        <v>0</v>
      </c>
      <c r="DW38" s="584">
        <f t="shared" si="42"/>
        <v>0</v>
      </c>
      <c r="DX38" s="584">
        <f t="shared" si="42"/>
        <v>0</v>
      </c>
      <c r="DY38" s="584">
        <f t="shared" si="42"/>
        <v>0</v>
      </c>
      <c r="DZ38" s="584">
        <f t="shared" si="42"/>
        <v>0</v>
      </c>
      <c r="EA38" s="584">
        <f t="shared" si="42"/>
        <v>0</v>
      </c>
      <c r="EB38" s="584">
        <f t="shared" si="42"/>
        <v>0</v>
      </c>
      <c r="EC38" s="584">
        <f t="shared" si="42"/>
        <v>0</v>
      </c>
      <c r="ED38" s="584">
        <f t="shared" si="42"/>
        <v>0</v>
      </c>
      <c r="EE38" s="584">
        <f t="shared" si="42"/>
        <v>0</v>
      </c>
      <c r="EF38" s="584">
        <f t="shared" si="42"/>
        <v>0</v>
      </c>
      <c r="EG38" s="584">
        <f t="shared" si="42"/>
        <v>0</v>
      </c>
      <c r="EH38" s="584">
        <f t="shared" si="42"/>
        <v>0</v>
      </c>
      <c r="EI38" s="584">
        <f>EI39+EI40</f>
        <v>0</v>
      </c>
      <c r="EJ38" s="584">
        <f>EJ39+EJ40</f>
        <v>0</v>
      </c>
      <c r="EK38" s="584">
        <f t="shared" si="42"/>
        <v>0</v>
      </c>
      <c r="EL38" s="584">
        <f t="shared" si="42"/>
        <v>0</v>
      </c>
      <c r="EM38" s="584">
        <f t="shared" si="42"/>
        <v>0</v>
      </c>
      <c r="EN38" s="584">
        <f t="shared" si="42"/>
        <v>310457600</v>
      </c>
      <c r="EO38" s="584">
        <f t="shared" si="42"/>
        <v>0</v>
      </c>
      <c r="EP38" s="584">
        <f t="shared" si="42"/>
        <v>0</v>
      </c>
      <c r="EQ38" s="584">
        <f t="shared" si="42"/>
        <v>0</v>
      </c>
      <c r="ER38" s="584">
        <f t="shared" si="42"/>
        <v>1796150000</v>
      </c>
      <c r="ES38" s="584">
        <f t="shared" si="42"/>
        <v>0</v>
      </c>
      <c r="ET38" s="584">
        <f t="shared" si="42"/>
        <v>1796150000</v>
      </c>
      <c r="EU38" s="584">
        <f t="shared" si="42"/>
        <v>0</v>
      </c>
      <c r="EV38" s="584">
        <f t="shared" si="42"/>
        <v>0</v>
      </c>
      <c r="EW38" s="584">
        <f t="shared" si="42"/>
        <v>0</v>
      </c>
      <c r="EX38" s="584">
        <f t="shared" si="42"/>
        <v>0</v>
      </c>
      <c r="EY38" s="584">
        <f>EY39+EY40</f>
        <v>0</v>
      </c>
      <c r="EZ38" s="584">
        <f>EZ39+EZ40</f>
        <v>0</v>
      </c>
      <c r="FA38" s="584">
        <f t="shared" si="42"/>
        <v>0</v>
      </c>
      <c r="FB38" s="584">
        <f t="shared" ref="FB38:GB38" si="43">FB39+FB40</f>
        <v>0</v>
      </c>
      <c r="FC38" s="584">
        <f t="shared" si="43"/>
        <v>0</v>
      </c>
      <c r="FD38" s="584">
        <f t="shared" si="43"/>
        <v>0</v>
      </c>
      <c r="FE38" s="584">
        <f t="shared" si="43"/>
        <v>0</v>
      </c>
      <c r="FF38" s="584">
        <f t="shared" si="43"/>
        <v>0</v>
      </c>
      <c r="FG38" s="584">
        <f t="shared" si="43"/>
        <v>0</v>
      </c>
      <c r="FH38" s="584">
        <f t="shared" si="43"/>
        <v>0</v>
      </c>
      <c r="FI38" s="584">
        <f t="shared" si="43"/>
        <v>0</v>
      </c>
      <c r="FJ38" s="584">
        <f t="shared" si="43"/>
        <v>0</v>
      </c>
      <c r="FK38" s="584">
        <f t="shared" si="43"/>
        <v>0</v>
      </c>
      <c r="FL38" s="584">
        <f t="shared" si="43"/>
        <v>0</v>
      </c>
      <c r="FM38" s="584">
        <f t="shared" si="43"/>
        <v>1796150000</v>
      </c>
      <c r="FN38" s="584">
        <f t="shared" si="43"/>
        <v>0</v>
      </c>
      <c r="FO38" s="584">
        <f t="shared" si="43"/>
        <v>0</v>
      </c>
      <c r="FP38" s="584">
        <f t="shared" si="43"/>
        <v>0</v>
      </c>
      <c r="FQ38" s="584">
        <f t="shared" si="43"/>
        <v>0</v>
      </c>
      <c r="FR38" s="584">
        <f t="shared" si="43"/>
        <v>0</v>
      </c>
      <c r="FS38" s="584">
        <f t="shared" si="43"/>
        <v>0</v>
      </c>
      <c r="FT38" s="584">
        <f t="shared" si="43"/>
        <v>0</v>
      </c>
      <c r="FU38" s="584">
        <f t="shared" si="43"/>
        <v>0</v>
      </c>
      <c r="FV38" s="584">
        <f t="shared" si="43"/>
        <v>0</v>
      </c>
      <c r="FW38" s="584">
        <f t="shared" si="43"/>
        <v>0</v>
      </c>
      <c r="FX38" s="584">
        <f t="shared" si="43"/>
        <v>0</v>
      </c>
      <c r="FY38" s="584">
        <f t="shared" si="43"/>
        <v>0</v>
      </c>
      <c r="FZ38" s="584">
        <f t="shared" si="43"/>
        <v>0</v>
      </c>
      <c r="GA38" s="584">
        <f t="shared" si="43"/>
        <v>0</v>
      </c>
      <c r="GB38" s="584">
        <f t="shared" si="43"/>
        <v>18850000</v>
      </c>
      <c r="GC38" s="586">
        <f>CP38/C38</f>
        <v>1</v>
      </c>
      <c r="GD38" s="586"/>
      <c r="GE38" s="586">
        <f>CW38/J38</f>
        <v>1</v>
      </c>
      <c r="GF38" s="586">
        <f>ER38/BE38</f>
        <v>0.98961432506887048</v>
      </c>
      <c r="GG38" s="586"/>
    </row>
    <row r="39" spans="1:189" s="92" customFormat="1" ht="17.25" hidden="1" customHeight="1">
      <c r="A39" s="582"/>
      <c r="B39" s="583" t="s">
        <v>183</v>
      </c>
      <c r="C39" s="584">
        <f>D39+BE39+CI39</f>
        <v>0</v>
      </c>
      <c r="D39" s="584">
        <f>E39+J39</f>
        <v>0</v>
      </c>
      <c r="E39" s="584">
        <f>SUM(F39:I39)</f>
        <v>0</v>
      </c>
      <c r="F39" s="584"/>
      <c r="G39" s="584"/>
      <c r="H39" s="584"/>
      <c r="I39" s="584"/>
      <c r="J39" s="584">
        <f>SUM(K39:BD39)</f>
        <v>0</v>
      </c>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c r="AH39" s="584"/>
      <c r="AI39" s="584"/>
      <c r="AJ39" s="584"/>
      <c r="AK39" s="584"/>
      <c r="AL39" s="584"/>
      <c r="AM39" s="584"/>
      <c r="AN39" s="584"/>
      <c r="AO39" s="584"/>
      <c r="AP39" s="584"/>
      <c r="AQ39" s="584"/>
      <c r="AR39" s="584"/>
      <c r="AS39" s="584"/>
      <c r="AT39" s="584"/>
      <c r="AU39" s="584"/>
      <c r="AV39" s="584"/>
      <c r="AW39" s="584"/>
      <c r="AX39" s="584"/>
      <c r="AY39" s="584"/>
      <c r="AZ39" s="584"/>
      <c r="BA39" s="584"/>
      <c r="BB39" s="584"/>
      <c r="BC39" s="584"/>
      <c r="BD39" s="584"/>
      <c r="BE39" s="584">
        <f>SUM(BF39:BG39)</f>
        <v>0</v>
      </c>
      <c r="BF39" s="584">
        <f>SUM(BH39:BI39)+BJ39+SUM(BL39:BN39)+BW39+CE39</f>
        <v>0</v>
      </c>
      <c r="BG39" s="584">
        <f>BK39+SUM(BO39:BV39)+SUM(BX39:CD39)+SUM(CF39:CH39)</f>
        <v>0</v>
      </c>
      <c r="BH39" s="584"/>
      <c r="BI39" s="584"/>
      <c r="BJ39" s="584"/>
      <c r="BK39" s="584"/>
      <c r="BL39" s="584"/>
      <c r="BM39" s="584"/>
      <c r="BN39" s="584"/>
      <c r="BO39" s="584"/>
      <c r="BP39" s="584"/>
      <c r="BQ39" s="584"/>
      <c r="BR39" s="584"/>
      <c r="BS39" s="584"/>
      <c r="BT39" s="584"/>
      <c r="BU39" s="584"/>
      <c r="BV39" s="584"/>
      <c r="BW39" s="584"/>
      <c r="BX39" s="584"/>
      <c r="BY39" s="584"/>
      <c r="BZ39" s="584"/>
      <c r="CA39" s="584"/>
      <c r="CB39" s="584"/>
      <c r="CC39" s="584"/>
      <c r="CD39" s="584"/>
      <c r="CE39" s="584"/>
      <c r="CF39" s="584"/>
      <c r="CG39" s="584"/>
      <c r="CH39" s="584"/>
      <c r="CI39" s="584">
        <f>SUM(CJ39:CK39)</f>
        <v>0</v>
      </c>
      <c r="CJ39" s="584">
        <f>SUM(CL39:CL39)</f>
        <v>0</v>
      </c>
      <c r="CK39" s="584">
        <f>SUM(CM39:CN39)</f>
        <v>0</v>
      </c>
      <c r="CL39" s="584"/>
      <c r="CM39" s="584"/>
      <c r="CN39" s="584"/>
      <c r="CO39" s="583" t="s">
        <v>183</v>
      </c>
      <c r="CP39" s="584">
        <f>CQ39+ER39+FV39+GB39</f>
        <v>0</v>
      </c>
      <c r="CQ39" s="584">
        <f>CR39+CW39</f>
        <v>0</v>
      </c>
      <c r="CR39" s="584">
        <f>SUM(CS39:CV39)</f>
        <v>0</v>
      </c>
      <c r="CS39" s="584"/>
      <c r="CT39" s="584"/>
      <c r="CU39" s="584"/>
      <c r="CV39" s="584"/>
      <c r="CW39" s="584">
        <f>SUM(CX39:EQ39)</f>
        <v>0</v>
      </c>
      <c r="CX39" s="584"/>
      <c r="CY39" s="584"/>
      <c r="CZ39" s="584"/>
      <c r="DA39" s="584"/>
      <c r="DB39" s="584"/>
      <c r="DC39" s="584"/>
      <c r="DD39" s="584"/>
      <c r="DE39" s="584"/>
      <c r="DF39" s="584"/>
      <c r="DG39" s="584"/>
      <c r="DH39" s="584"/>
      <c r="DI39" s="584"/>
      <c r="DJ39" s="584"/>
      <c r="DK39" s="584"/>
      <c r="DL39" s="584"/>
      <c r="DM39" s="584"/>
      <c r="DN39" s="584"/>
      <c r="DO39" s="584"/>
      <c r="DP39" s="584"/>
      <c r="DQ39" s="584"/>
      <c r="DR39" s="584"/>
      <c r="DS39" s="584"/>
      <c r="DT39" s="584"/>
      <c r="DU39" s="584"/>
      <c r="DV39" s="584"/>
      <c r="DW39" s="584"/>
      <c r="DX39" s="584"/>
      <c r="DY39" s="584"/>
      <c r="DZ39" s="584"/>
      <c r="EA39" s="584"/>
      <c r="EB39" s="584"/>
      <c r="EC39" s="584"/>
      <c r="ED39" s="584"/>
      <c r="EE39" s="584"/>
      <c r="EF39" s="584"/>
      <c r="EG39" s="584"/>
      <c r="EH39" s="584"/>
      <c r="EI39" s="584"/>
      <c r="EJ39" s="584"/>
      <c r="EK39" s="584"/>
      <c r="EL39" s="584"/>
      <c r="EM39" s="584"/>
      <c r="EN39" s="584"/>
      <c r="EO39" s="584"/>
      <c r="EP39" s="584"/>
      <c r="EQ39" s="584"/>
      <c r="ER39" s="584">
        <f>SUM(ES39:ET39)</f>
        <v>0</v>
      </c>
      <c r="ES39" s="584">
        <f>SUM(EU39:EV39)+EW39+SUM(EY39:FA39)+FJ39+FR39</f>
        <v>0</v>
      </c>
      <c r="ET39" s="584">
        <f>EX39+SUM(FB39:FI39)+SUM(FK39:FQ39)+SUM(FS39:FU39)</f>
        <v>0</v>
      </c>
      <c r="EU39" s="584"/>
      <c r="EV39" s="584"/>
      <c r="EW39" s="584"/>
      <c r="EX39" s="584"/>
      <c r="EY39" s="584"/>
      <c r="EZ39" s="584"/>
      <c r="FA39" s="584"/>
      <c r="FB39" s="584"/>
      <c r="FC39" s="584"/>
      <c r="FD39" s="584"/>
      <c r="FE39" s="584"/>
      <c r="FF39" s="584"/>
      <c r="FG39" s="584"/>
      <c r="FH39" s="584"/>
      <c r="FI39" s="584"/>
      <c r="FJ39" s="584"/>
      <c r="FK39" s="584"/>
      <c r="FL39" s="584"/>
      <c r="FM39" s="584"/>
      <c r="FN39" s="584"/>
      <c r="FO39" s="584"/>
      <c r="FP39" s="584"/>
      <c r="FQ39" s="584"/>
      <c r="FR39" s="584"/>
      <c r="FS39" s="584"/>
      <c r="FT39" s="584"/>
      <c r="FU39" s="584"/>
      <c r="FV39" s="584">
        <f>SUM(FW39:FX39)</f>
        <v>0</v>
      </c>
      <c r="FW39" s="584">
        <f>SUM(FY39:FY39)</f>
        <v>0</v>
      </c>
      <c r="FX39" s="584">
        <f>SUM(FZ39:GA39)</f>
        <v>0</v>
      </c>
      <c r="FY39" s="584"/>
      <c r="FZ39" s="584"/>
      <c r="GA39" s="584"/>
      <c r="GB39" s="584"/>
      <c r="GC39" s="586"/>
      <c r="GD39" s="586"/>
      <c r="GE39" s="586"/>
      <c r="GF39" s="586"/>
      <c r="GG39" s="586"/>
    </row>
    <row r="40" spans="1:189" s="92" customFormat="1" ht="17.25" hidden="1" customHeight="1">
      <c r="A40" s="582"/>
      <c r="B40" s="583" t="s">
        <v>184</v>
      </c>
      <c r="C40" s="584">
        <f>D40+BE40+CI40</f>
        <v>2125457600</v>
      </c>
      <c r="D40" s="584">
        <f>E40+J40</f>
        <v>310457600</v>
      </c>
      <c r="E40" s="584">
        <f>SUM(F40:I40)</f>
        <v>0</v>
      </c>
      <c r="F40" s="584"/>
      <c r="G40" s="584"/>
      <c r="H40" s="584"/>
      <c r="I40" s="584"/>
      <c r="J40" s="584">
        <f>SUM(K40:BD40)</f>
        <v>310457600</v>
      </c>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c r="AH40" s="584"/>
      <c r="AI40" s="584"/>
      <c r="AJ40" s="584"/>
      <c r="AK40" s="584"/>
      <c r="AL40" s="584"/>
      <c r="AM40" s="584"/>
      <c r="AN40" s="584"/>
      <c r="AO40" s="584"/>
      <c r="AP40" s="584"/>
      <c r="AQ40" s="584"/>
      <c r="AR40" s="584"/>
      <c r="AS40" s="584"/>
      <c r="AT40" s="584"/>
      <c r="AU40" s="584"/>
      <c r="AV40" s="584"/>
      <c r="AW40" s="584"/>
      <c r="AX40" s="584"/>
      <c r="AY40" s="584"/>
      <c r="AZ40" s="584"/>
      <c r="BA40" s="584">
        <v>310457600</v>
      </c>
      <c r="BB40" s="584"/>
      <c r="BC40" s="584"/>
      <c r="BD40" s="584"/>
      <c r="BE40" s="584">
        <f>SUM(BF40:BG40)</f>
        <v>1815000000</v>
      </c>
      <c r="BF40" s="584">
        <f>SUM(BH40:BI40)+BJ40+SUM(BL40:BN40)+BW40+CE40</f>
        <v>0</v>
      </c>
      <c r="BG40" s="584">
        <f>BK40+SUM(BO40:BV40)+SUM(BX40:CD40)+SUM(CF40:CH40)</f>
        <v>1815000000</v>
      </c>
      <c r="BH40" s="584"/>
      <c r="BI40" s="584"/>
      <c r="BJ40" s="584"/>
      <c r="BK40" s="584"/>
      <c r="BL40" s="584"/>
      <c r="BM40" s="584"/>
      <c r="BN40" s="584"/>
      <c r="BO40" s="584"/>
      <c r="BP40" s="584"/>
      <c r="BQ40" s="584"/>
      <c r="BR40" s="584"/>
      <c r="BS40" s="584"/>
      <c r="BT40" s="584"/>
      <c r="BU40" s="584"/>
      <c r="BV40" s="584"/>
      <c r="BW40" s="584"/>
      <c r="BX40" s="584"/>
      <c r="BY40" s="584"/>
      <c r="BZ40" s="584">
        <v>1815000000</v>
      </c>
      <c r="CA40" s="584"/>
      <c r="CB40" s="584"/>
      <c r="CC40" s="584"/>
      <c r="CD40" s="584"/>
      <c r="CE40" s="584"/>
      <c r="CF40" s="584"/>
      <c r="CG40" s="584"/>
      <c r="CH40" s="584"/>
      <c r="CI40" s="584">
        <f>SUM(CJ40:CK40)</f>
        <v>0</v>
      </c>
      <c r="CJ40" s="584">
        <f>SUM(CL40:CL40)</f>
        <v>0</v>
      </c>
      <c r="CK40" s="584">
        <f>SUM(CM40:CN40)</f>
        <v>0</v>
      </c>
      <c r="CL40" s="584"/>
      <c r="CM40" s="584"/>
      <c r="CN40" s="584"/>
      <c r="CO40" s="583" t="s">
        <v>184</v>
      </c>
      <c r="CP40" s="584">
        <f>CQ40+ER40+FV40+GB40</f>
        <v>2125457600</v>
      </c>
      <c r="CQ40" s="584">
        <f>CR40+CW40</f>
        <v>310457600</v>
      </c>
      <c r="CR40" s="584">
        <f>SUM(CS40:CV40)</f>
        <v>0</v>
      </c>
      <c r="CS40" s="584"/>
      <c r="CT40" s="584"/>
      <c r="CU40" s="584"/>
      <c r="CV40" s="584"/>
      <c r="CW40" s="584">
        <f>SUM(CX40:EQ40)</f>
        <v>310457600</v>
      </c>
      <c r="CX40" s="584"/>
      <c r="CY40" s="584"/>
      <c r="CZ40" s="584"/>
      <c r="DA40" s="584"/>
      <c r="DB40" s="584"/>
      <c r="DC40" s="584"/>
      <c r="DD40" s="584"/>
      <c r="DE40" s="584"/>
      <c r="DF40" s="584"/>
      <c r="DG40" s="584"/>
      <c r="DH40" s="584"/>
      <c r="DI40" s="584"/>
      <c r="DJ40" s="584"/>
      <c r="DK40" s="584"/>
      <c r="DL40" s="584"/>
      <c r="DM40" s="584"/>
      <c r="DN40" s="584"/>
      <c r="DO40" s="584"/>
      <c r="DP40" s="584"/>
      <c r="DQ40" s="584"/>
      <c r="DR40" s="584"/>
      <c r="DS40" s="584"/>
      <c r="DT40" s="584"/>
      <c r="DU40" s="584"/>
      <c r="DV40" s="584"/>
      <c r="DW40" s="584"/>
      <c r="DX40" s="584"/>
      <c r="DY40" s="584"/>
      <c r="DZ40" s="584"/>
      <c r="EA40" s="584"/>
      <c r="EB40" s="584"/>
      <c r="EC40" s="584"/>
      <c r="ED40" s="584"/>
      <c r="EE40" s="584"/>
      <c r="EF40" s="584"/>
      <c r="EG40" s="584"/>
      <c r="EH40" s="584"/>
      <c r="EI40" s="584"/>
      <c r="EJ40" s="584"/>
      <c r="EK40" s="584"/>
      <c r="EL40" s="584"/>
      <c r="EM40" s="584"/>
      <c r="EN40" s="584">
        <v>310457600</v>
      </c>
      <c r="EO40" s="584"/>
      <c r="EP40" s="584"/>
      <c r="EQ40" s="584"/>
      <c r="ER40" s="584">
        <f>SUM(ES40:ET40)</f>
        <v>1796150000</v>
      </c>
      <c r="ES40" s="584">
        <f>SUM(EU40:EV40)+EW40+SUM(EY40:FA40)+FJ40+FR40</f>
        <v>0</v>
      </c>
      <c r="ET40" s="584">
        <f>EX40+SUM(FB40:FI40)+SUM(FK40:FQ40)+SUM(FS40:FU40)</f>
        <v>1796150000</v>
      </c>
      <c r="EU40" s="584"/>
      <c r="EV40" s="584"/>
      <c r="EW40" s="584"/>
      <c r="EX40" s="584"/>
      <c r="EY40" s="584"/>
      <c r="EZ40" s="584"/>
      <c r="FA40" s="584"/>
      <c r="FB40" s="584"/>
      <c r="FC40" s="584"/>
      <c r="FD40" s="584"/>
      <c r="FE40" s="584"/>
      <c r="FF40" s="584"/>
      <c r="FG40" s="584"/>
      <c r="FH40" s="584"/>
      <c r="FI40" s="584"/>
      <c r="FJ40" s="584"/>
      <c r="FK40" s="584"/>
      <c r="FL40" s="584"/>
      <c r="FM40" s="584">
        <v>1796150000</v>
      </c>
      <c r="FN40" s="584"/>
      <c r="FO40" s="584"/>
      <c r="FP40" s="584"/>
      <c r="FQ40" s="584"/>
      <c r="FR40" s="584"/>
      <c r="FS40" s="584"/>
      <c r="FT40" s="584"/>
      <c r="FU40" s="584"/>
      <c r="FV40" s="584">
        <f>SUM(FW40:FX40)</f>
        <v>0</v>
      </c>
      <c r="FW40" s="584">
        <f>SUM(FY40:FY40)</f>
        <v>0</v>
      </c>
      <c r="FX40" s="584">
        <f>SUM(FZ40:GA40)</f>
        <v>0</v>
      </c>
      <c r="FY40" s="584"/>
      <c r="FZ40" s="584"/>
      <c r="GA40" s="584"/>
      <c r="GB40" s="584">
        <v>18850000</v>
      </c>
      <c r="GC40" s="586">
        <f>CP40/C40</f>
        <v>1</v>
      </c>
      <c r="GD40" s="586"/>
      <c r="GE40" s="586">
        <f>CW40/J40</f>
        <v>1</v>
      </c>
      <c r="GF40" s="586">
        <f>ER40/BE40</f>
        <v>0.98961432506887048</v>
      </c>
      <c r="GG40" s="586"/>
    </row>
    <row r="41" spans="1:189" s="92" customFormat="1" ht="17.25" customHeight="1">
      <c r="A41" s="582">
        <v>10</v>
      </c>
      <c r="B41" s="583" t="s">
        <v>343</v>
      </c>
      <c r="C41" s="584">
        <f t="shared" ref="C41:AU41" si="44">C42+C43</f>
        <v>62876072052</v>
      </c>
      <c r="D41" s="584">
        <f t="shared" si="44"/>
        <v>56760673576</v>
      </c>
      <c r="E41" s="584">
        <f t="shared" si="44"/>
        <v>0</v>
      </c>
      <c r="F41" s="584">
        <f t="shared" si="44"/>
        <v>0</v>
      </c>
      <c r="G41" s="584">
        <f t="shared" si="44"/>
        <v>0</v>
      </c>
      <c r="H41" s="584">
        <f t="shared" si="44"/>
        <v>0</v>
      </c>
      <c r="I41" s="584">
        <f t="shared" si="44"/>
        <v>0</v>
      </c>
      <c r="J41" s="584">
        <f t="shared" si="44"/>
        <v>56760673576</v>
      </c>
      <c r="K41" s="584">
        <f t="shared" si="44"/>
        <v>0</v>
      </c>
      <c r="L41" s="584">
        <f t="shared" si="44"/>
        <v>0</v>
      </c>
      <c r="M41" s="584">
        <f t="shared" si="44"/>
        <v>0</v>
      </c>
      <c r="N41" s="584">
        <f t="shared" si="44"/>
        <v>0</v>
      </c>
      <c r="O41" s="584">
        <f t="shared" si="44"/>
        <v>0</v>
      </c>
      <c r="P41" s="584">
        <f t="shared" si="44"/>
        <v>0</v>
      </c>
      <c r="Q41" s="584">
        <f t="shared" si="44"/>
        <v>0</v>
      </c>
      <c r="R41" s="584">
        <f t="shared" si="44"/>
        <v>0</v>
      </c>
      <c r="S41" s="584">
        <f t="shared" si="44"/>
        <v>0</v>
      </c>
      <c r="T41" s="584">
        <f t="shared" si="44"/>
        <v>0</v>
      </c>
      <c r="U41" s="584">
        <f t="shared" si="44"/>
        <v>0</v>
      </c>
      <c r="V41" s="584">
        <f t="shared" si="44"/>
        <v>0</v>
      </c>
      <c r="W41" s="584">
        <f t="shared" si="44"/>
        <v>0</v>
      </c>
      <c r="X41" s="584">
        <f t="shared" si="44"/>
        <v>0</v>
      </c>
      <c r="Y41" s="584">
        <f t="shared" si="44"/>
        <v>0</v>
      </c>
      <c r="Z41" s="584">
        <f t="shared" si="44"/>
        <v>0</v>
      </c>
      <c r="AA41" s="584">
        <f t="shared" si="44"/>
        <v>0</v>
      </c>
      <c r="AB41" s="584">
        <f t="shared" si="44"/>
        <v>0</v>
      </c>
      <c r="AC41" s="584">
        <f t="shared" si="44"/>
        <v>0</v>
      </c>
      <c r="AD41" s="584">
        <f t="shared" si="44"/>
        <v>0</v>
      </c>
      <c r="AE41" s="584">
        <f t="shared" si="44"/>
        <v>0</v>
      </c>
      <c r="AF41" s="584">
        <f t="shared" si="44"/>
        <v>5645407000</v>
      </c>
      <c r="AG41" s="584">
        <f t="shared" si="44"/>
        <v>0</v>
      </c>
      <c r="AH41" s="584">
        <f t="shared" si="44"/>
        <v>46170780000</v>
      </c>
      <c r="AI41" s="584">
        <f t="shared" si="44"/>
        <v>3962284576</v>
      </c>
      <c r="AJ41" s="584">
        <f t="shared" si="44"/>
        <v>0</v>
      </c>
      <c r="AK41" s="584">
        <f t="shared" si="44"/>
        <v>0</v>
      </c>
      <c r="AL41" s="584">
        <f t="shared" si="44"/>
        <v>0</v>
      </c>
      <c r="AM41" s="584">
        <f t="shared" si="44"/>
        <v>0</v>
      </c>
      <c r="AN41" s="584">
        <f t="shared" si="44"/>
        <v>0</v>
      </c>
      <c r="AO41" s="584">
        <f t="shared" si="44"/>
        <v>0</v>
      </c>
      <c r="AP41" s="584">
        <f t="shared" si="44"/>
        <v>0</v>
      </c>
      <c r="AQ41" s="584">
        <f t="shared" si="44"/>
        <v>0</v>
      </c>
      <c r="AR41" s="584">
        <f t="shared" si="44"/>
        <v>0</v>
      </c>
      <c r="AS41" s="584">
        <f t="shared" si="44"/>
        <v>0</v>
      </c>
      <c r="AT41" s="584">
        <f t="shared" si="44"/>
        <v>0</v>
      </c>
      <c r="AU41" s="584">
        <f t="shared" si="44"/>
        <v>0</v>
      </c>
      <c r="AV41" s="584">
        <f>AV42+AV43</f>
        <v>0</v>
      </c>
      <c r="AW41" s="584">
        <f>AW42+AW43</f>
        <v>0</v>
      </c>
      <c r="AX41" s="584">
        <f t="shared" ref="AX41:CN41" si="45">AX42+AX43</f>
        <v>0</v>
      </c>
      <c r="AY41" s="584">
        <f t="shared" si="45"/>
        <v>0</v>
      </c>
      <c r="AZ41" s="584">
        <f t="shared" si="45"/>
        <v>0</v>
      </c>
      <c r="BA41" s="584">
        <f t="shared" si="45"/>
        <v>982202000</v>
      </c>
      <c r="BB41" s="584">
        <f t="shared" si="45"/>
        <v>0</v>
      </c>
      <c r="BC41" s="584">
        <f t="shared" si="45"/>
        <v>0</v>
      </c>
      <c r="BD41" s="584">
        <f t="shared" si="45"/>
        <v>0</v>
      </c>
      <c r="BE41" s="584">
        <f t="shared" si="45"/>
        <v>6115398476</v>
      </c>
      <c r="BF41" s="584">
        <f t="shared" si="45"/>
        <v>0</v>
      </c>
      <c r="BG41" s="584">
        <f t="shared" si="45"/>
        <v>6115398476</v>
      </c>
      <c r="BH41" s="584">
        <f t="shared" si="45"/>
        <v>0</v>
      </c>
      <c r="BI41" s="584">
        <f t="shared" si="45"/>
        <v>0</v>
      </c>
      <c r="BJ41" s="584">
        <f t="shared" si="45"/>
        <v>0</v>
      </c>
      <c r="BK41" s="584">
        <f t="shared" si="45"/>
        <v>0</v>
      </c>
      <c r="BL41" s="584">
        <f>BL42+BL43</f>
        <v>0</v>
      </c>
      <c r="BM41" s="584">
        <f>BM42+BM43</f>
        <v>0</v>
      </c>
      <c r="BN41" s="584">
        <f t="shared" si="45"/>
        <v>0</v>
      </c>
      <c r="BO41" s="584">
        <f t="shared" si="45"/>
        <v>0</v>
      </c>
      <c r="BP41" s="584">
        <f t="shared" si="45"/>
        <v>0</v>
      </c>
      <c r="BQ41" s="584">
        <f t="shared" si="45"/>
        <v>0</v>
      </c>
      <c r="BR41" s="584">
        <f t="shared" si="45"/>
        <v>1328000000</v>
      </c>
      <c r="BS41" s="584">
        <f t="shared" si="45"/>
        <v>0</v>
      </c>
      <c r="BT41" s="584">
        <f t="shared" si="45"/>
        <v>0</v>
      </c>
      <c r="BU41" s="584">
        <f t="shared" si="45"/>
        <v>0</v>
      </c>
      <c r="BV41" s="584">
        <f t="shared" si="45"/>
        <v>0</v>
      </c>
      <c r="BW41" s="584">
        <f t="shared" si="45"/>
        <v>0</v>
      </c>
      <c r="BX41" s="584">
        <f t="shared" si="45"/>
        <v>0</v>
      </c>
      <c r="BY41" s="584">
        <f t="shared" si="45"/>
        <v>0</v>
      </c>
      <c r="BZ41" s="584">
        <f t="shared" si="45"/>
        <v>0</v>
      </c>
      <c r="CA41" s="584">
        <f t="shared" si="45"/>
        <v>3029000000</v>
      </c>
      <c r="CB41" s="584">
        <f t="shared" si="45"/>
        <v>0</v>
      </c>
      <c r="CC41" s="584">
        <f t="shared" si="45"/>
        <v>477000000</v>
      </c>
      <c r="CD41" s="584">
        <f t="shared" si="45"/>
        <v>1281398476</v>
      </c>
      <c r="CE41" s="584">
        <f t="shared" si="45"/>
        <v>0</v>
      </c>
      <c r="CF41" s="584">
        <f t="shared" si="45"/>
        <v>0</v>
      </c>
      <c r="CG41" s="584">
        <f t="shared" si="45"/>
        <v>0</v>
      </c>
      <c r="CH41" s="584">
        <f t="shared" si="45"/>
        <v>0</v>
      </c>
      <c r="CI41" s="584">
        <f t="shared" si="45"/>
        <v>0</v>
      </c>
      <c r="CJ41" s="584">
        <f t="shared" si="45"/>
        <v>0</v>
      </c>
      <c r="CK41" s="584">
        <f t="shared" si="45"/>
        <v>0</v>
      </c>
      <c r="CL41" s="584">
        <f t="shared" si="45"/>
        <v>0</v>
      </c>
      <c r="CM41" s="584">
        <f t="shared" si="45"/>
        <v>0</v>
      </c>
      <c r="CN41" s="584">
        <f t="shared" si="45"/>
        <v>0</v>
      </c>
      <c r="CO41" s="583" t="s">
        <v>192</v>
      </c>
      <c r="CP41" s="584">
        <f t="shared" ref="CP41:FA41" si="46">CP42+CP43</f>
        <v>62876072052</v>
      </c>
      <c r="CQ41" s="584">
        <f t="shared" si="46"/>
        <v>55918933576</v>
      </c>
      <c r="CR41" s="584">
        <f t="shared" si="46"/>
        <v>0</v>
      </c>
      <c r="CS41" s="584">
        <f t="shared" si="46"/>
        <v>0</v>
      </c>
      <c r="CT41" s="584">
        <f t="shared" si="46"/>
        <v>0</v>
      </c>
      <c r="CU41" s="584">
        <f t="shared" si="46"/>
        <v>0</v>
      </c>
      <c r="CV41" s="584">
        <f t="shared" si="46"/>
        <v>0</v>
      </c>
      <c r="CW41" s="584">
        <f t="shared" si="46"/>
        <v>55918933576</v>
      </c>
      <c r="CX41" s="584">
        <f t="shared" si="46"/>
        <v>0</v>
      </c>
      <c r="CY41" s="584">
        <f t="shared" si="46"/>
        <v>0</v>
      </c>
      <c r="CZ41" s="584">
        <f t="shared" si="46"/>
        <v>0</v>
      </c>
      <c r="DA41" s="584">
        <f t="shared" si="46"/>
        <v>0</v>
      </c>
      <c r="DB41" s="584">
        <f t="shared" si="46"/>
        <v>0</v>
      </c>
      <c r="DC41" s="584">
        <f t="shared" si="46"/>
        <v>0</v>
      </c>
      <c r="DD41" s="584">
        <f t="shared" si="46"/>
        <v>0</v>
      </c>
      <c r="DE41" s="584">
        <f t="shared" si="46"/>
        <v>0</v>
      </c>
      <c r="DF41" s="584">
        <f t="shared" si="46"/>
        <v>0</v>
      </c>
      <c r="DG41" s="584">
        <f t="shared" si="46"/>
        <v>0</v>
      </c>
      <c r="DH41" s="584">
        <f t="shared" si="46"/>
        <v>0</v>
      </c>
      <c r="DI41" s="584">
        <f t="shared" si="46"/>
        <v>0</v>
      </c>
      <c r="DJ41" s="584">
        <f t="shared" si="46"/>
        <v>0</v>
      </c>
      <c r="DK41" s="584">
        <f t="shared" si="46"/>
        <v>0</v>
      </c>
      <c r="DL41" s="584">
        <f t="shared" si="46"/>
        <v>0</v>
      </c>
      <c r="DM41" s="584">
        <f>DM42+DM43</f>
        <v>0</v>
      </c>
      <c r="DN41" s="584">
        <f t="shared" si="46"/>
        <v>0</v>
      </c>
      <c r="DO41" s="584">
        <f t="shared" si="46"/>
        <v>0</v>
      </c>
      <c r="DP41" s="584">
        <f t="shared" si="46"/>
        <v>0</v>
      </c>
      <c r="DQ41" s="584">
        <f t="shared" si="46"/>
        <v>0</v>
      </c>
      <c r="DR41" s="584">
        <f t="shared" si="46"/>
        <v>0</v>
      </c>
      <c r="DS41" s="584">
        <f t="shared" si="46"/>
        <v>5645407000</v>
      </c>
      <c r="DT41" s="584">
        <f t="shared" si="46"/>
        <v>0</v>
      </c>
      <c r="DU41" s="584">
        <f t="shared" si="46"/>
        <v>45329040000</v>
      </c>
      <c r="DV41" s="584">
        <f t="shared" si="46"/>
        <v>3962284576</v>
      </c>
      <c r="DW41" s="584">
        <f t="shared" si="46"/>
        <v>0</v>
      </c>
      <c r="DX41" s="584">
        <f t="shared" si="46"/>
        <v>0</v>
      </c>
      <c r="DY41" s="584">
        <f t="shared" si="46"/>
        <v>0</v>
      </c>
      <c r="DZ41" s="584">
        <f t="shared" si="46"/>
        <v>0</v>
      </c>
      <c r="EA41" s="584">
        <f t="shared" si="46"/>
        <v>0</v>
      </c>
      <c r="EB41" s="584">
        <f t="shared" si="46"/>
        <v>0</v>
      </c>
      <c r="EC41" s="584">
        <f t="shared" si="46"/>
        <v>0</v>
      </c>
      <c r="ED41" s="584">
        <f t="shared" si="46"/>
        <v>0</v>
      </c>
      <c r="EE41" s="584">
        <f t="shared" si="46"/>
        <v>0</v>
      </c>
      <c r="EF41" s="584">
        <f t="shared" si="46"/>
        <v>0</v>
      </c>
      <c r="EG41" s="584">
        <f t="shared" si="46"/>
        <v>0</v>
      </c>
      <c r="EH41" s="584">
        <f t="shared" si="46"/>
        <v>0</v>
      </c>
      <c r="EI41" s="584">
        <f>EI42+EI43</f>
        <v>0</v>
      </c>
      <c r="EJ41" s="584">
        <f>EJ42+EJ43</f>
        <v>0</v>
      </c>
      <c r="EK41" s="584">
        <f t="shared" si="46"/>
        <v>0</v>
      </c>
      <c r="EL41" s="584">
        <f t="shared" si="46"/>
        <v>0</v>
      </c>
      <c r="EM41" s="584">
        <f t="shared" si="46"/>
        <v>0</v>
      </c>
      <c r="EN41" s="584">
        <f t="shared" si="46"/>
        <v>982202000</v>
      </c>
      <c r="EO41" s="584">
        <f t="shared" si="46"/>
        <v>0</v>
      </c>
      <c r="EP41" s="584">
        <f t="shared" si="46"/>
        <v>0</v>
      </c>
      <c r="EQ41" s="584">
        <f t="shared" si="46"/>
        <v>0</v>
      </c>
      <c r="ER41" s="584">
        <f t="shared" si="46"/>
        <v>1970181276</v>
      </c>
      <c r="ES41" s="584">
        <f t="shared" si="46"/>
        <v>0</v>
      </c>
      <c r="ET41" s="584">
        <f t="shared" si="46"/>
        <v>1970181276</v>
      </c>
      <c r="EU41" s="584">
        <f t="shared" si="46"/>
        <v>0</v>
      </c>
      <c r="EV41" s="584">
        <f t="shared" si="46"/>
        <v>0</v>
      </c>
      <c r="EW41" s="584">
        <f t="shared" si="46"/>
        <v>0</v>
      </c>
      <c r="EX41" s="584">
        <f t="shared" si="46"/>
        <v>0</v>
      </c>
      <c r="EY41" s="584">
        <f>EY42+EY43</f>
        <v>0</v>
      </c>
      <c r="EZ41" s="584">
        <f>EZ42+EZ43</f>
        <v>0</v>
      </c>
      <c r="FA41" s="584">
        <f t="shared" si="46"/>
        <v>0</v>
      </c>
      <c r="FB41" s="584">
        <f t="shared" ref="FB41:GB41" si="47">FB42+FB43</f>
        <v>0</v>
      </c>
      <c r="FC41" s="584">
        <f t="shared" si="47"/>
        <v>0</v>
      </c>
      <c r="FD41" s="584">
        <f t="shared" si="47"/>
        <v>0</v>
      </c>
      <c r="FE41" s="584">
        <f t="shared" si="47"/>
        <v>0</v>
      </c>
      <c r="FF41" s="584">
        <f t="shared" si="47"/>
        <v>0</v>
      </c>
      <c r="FG41" s="584">
        <f t="shared" si="47"/>
        <v>0</v>
      </c>
      <c r="FH41" s="584">
        <f t="shared" si="47"/>
        <v>0</v>
      </c>
      <c r="FI41" s="584">
        <f t="shared" si="47"/>
        <v>0</v>
      </c>
      <c r="FJ41" s="584">
        <f t="shared" si="47"/>
        <v>0</v>
      </c>
      <c r="FK41" s="584">
        <f t="shared" si="47"/>
        <v>0</v>
      </c>
      <c r="FL41" s="584">
        <f t="shared" si="47"/>
        <v>0</v>
      </c>
      <c r="FM41" s="584">
        <f t="shared" si="47"/>
        <v>0</v>
      </c>
      <c r="FN41" s="584">
        <f t="shared" si="47"/>
        <v>397763800</v>
      </c>
      <c r="FO41" s="584">
        <f t="shared" si="47"/>
        <v>0</v>
      </c>
      <c r="FP41" s="584">
        <f t="shared" si="47"/>
        <v>468290000</v>
      </c>
      <c r="FQ41" s="584">
        <f t="shared" si="47"/>
        <v>1104127476</v>
      </c>
      <c r="FR41" s="584">
        <f t="shared" si="47"/>
        <v>0</v>
      </c>
      <c r="FS41" s="584">
        <f t="shared" si="47"/>
        <v>0</v>
      </c>
      <c r="FT41" s="584">
        <f t="shared" si="47"/>
        <v>0</v>
      </c>
      <c r="FU41" s="584">
        <f t="shared" si="47"/>
        <v>0</v>
      </c>
      <c r="FV41" s="584">
        <f t="shared" si="47"/>
        <v>0</v>
      </c>
      <c r="FW41" s="584">
        <f t="shared" si="47"/>
        <v>0</v>
      </c>
      <c r="FX41" s="584">
        <f t="shared" si="47"/>
        <v>0</v>
      </c>
      <c r="FY41" s="584">
        <f t="shared" si="47"/>
        <v>0</v>
      </c>
      <c r="FZ41" s="584">
        <f t="shared" si="47"/>
        <v>0</v>
      </c>
      <c r="GA41" s="584">
        <f t="shared" si="47"/>
        <v>0</v>
      </c>
      <c r="GB41" s="584">
        <f t="shared" si="47"/>
        <v>4986957200</v>
      </c>
      <c r="GC41" s="586">
        <f>CP41/C41</f>
        <v>1</v>
      </c>
      <c r="GD41" s="586"/>
      <c r="GE41" s="586">
        <f>CW41/J41</f>
        <v>0.98517036625943233</v>
      </c>
      <c r="GF41" s="586">
        <f>ER41/BE41</f>
        <v>0.3221672771990271</v>
      </c>
      <c r="GG41" s="586"/>
    </row>
    <row r="42" spans="1:189" s="92" customFormat="1" ht="17.25" hidden="1" customHeight="1">
      <c r="A42" s="582"/>
      <c r="B42" s="583" t="s">
        <v>183</v>
      </c>
      <c r="C42" s="584">
        <f>D42+BE42+CI42</f>
        <v>0</v>
      </c>
      <c r="D42" s="584">
        <f>E42+J42</f>
        <v>0</v>
      </c>
      <c r="E42" s="584">
        <f>SUM(F42:I42)</f>
        <v>0</v>
      </c>
      <c r="F42" s="584"/>
      <c r="G42" s="584"/>
      <c r="H42" s="584"/>
      <c r="I42" s="584"/>
      <c r="J42" s="584">
        <f>SUM(K42:BD42)</f>
        <v>0</v>
      </c>
      <c r="K42" s="584"/>
      <c r="L42" s="584"/>
      <c r="M42" s="584"/>
      <c r="N42" s="584"/>
      <c r="O42" s="584"/>
      <c r="P42" s="584"/>
      <c r="Q42" s="584"/>
      <c r="R42" s="584"/>
      <c r="S42" s="584"/>
      <c r="T42" s="584"/>
      <c r="U42" s="584"/>
      <c r="V42" s="584"/>
      <c r="W42" s="584"/>
      <c r="X42" s="584"/>
      <c r="Y42" s="584"/>
      <c r="Z42" s="584"/>
      <c r="AA42" s="584"/>
      <c r="AB42" s="584"/>
      <c r="AC42" s="584"/>
      <c r="AD42" s="584"/>
      <c r="AE42" s="584"/>
      <c r="AF42" s="584"/>
      <c r="AG42" s="584"/>
      <c r="AH42" s="584"/>
      <c r="AI42" s="584"/>
      <c r="AJ42" s="584"/>
      <c r="AK42" s="584"/>
      <c r="AL42" s="584"/>
      <c r="AM42" s="584"/>
      <c r="AN42" s="584"/>
      <c r="AO42" s="584"/>
      <c r="AP42" s="584"/>
      <c r="AQ42" s="584"/>
      <c r="AR42" s="584"/>
      <c r="AS42" s="584"/>
      <c r="AT42" s="584"/>
      <c r="AU42" s="584"/>
      <c r="AV42" s="584"/>
      <c r="AW42" s="584"/>
      <c r="AX42" s="584"/>
      <c r="AY42" s="584"/>
      <c r="AZ42" s="584"/>
      <c r="BA42" s="584"/>
      <c r="BB42" s="584"/>
      <c r="BC42" s="584"/>
      <c r="BD42" s="584"/>
      <c r="BE42" s="584">
        <f>SUM(BF42:BG42)</f>
        <v>0</v>
      </c>
      <c r="BF42" s="584">
        <f>SUM(BH42:BI42)+BJ42+BM42+BW42+CE42</f>
        <v>0</v>
      </c>
      <c r="BG42" s="584">
        <f>BK42+SUM(BO42:BV42)+SUM(BX42:CD42)+SUM(CF42:CH42)</f>
        <v>0</v>
      </c>
      <c r="BH42" s="584"/>
      <c r="BI42" s="584"/>
      <c r="BJ42" s="584"/>
      <c r="BK42" s="584"/>
      <c r="BL42" s="584"/>
      <c r="BM42" s="584"/>
      <c r="BN42" s="584"/>
      <c r="BO42" s="584"/>
      <c r="BP42" s="584"/>
      <c r="BQ42" s="584"/>
      <c r="BR42" s="584"/>
      <c r="BS42" s="584"/>
      <c r="BT42" s="584"/>
      <c r="BU42" s="584"/>
      <c r="BV42" s="584"/>
      <c r="BW42" s="584"/>
      <c r="BX42" s="584"/>
      <c r="BY42" s="584"/>
      <c r="BZ42" s="584"/>
      <c r="CA42" s="584"/>
      <c r="CB42" s="584"/>
      <c r="CC42" s="584"/>
      <c r="CD42" s="584"/>
      <c r="CE42" s="584"/>
      <c r="CF42" s="584"/>
      <c r="CG42" s="584"/>
      <c r="CH42" s="584"/>
      <c r="CI42" s="584">
        <f>SUM(CJ42:CK42)</f>
        <v>0</v>
      </c>
      <c r="CJ42" s="584">
        <f>SUM(CL42:CL42)</f>
        <v>0</v>
      </c>
      <c r="CK42" s="584">
        <f>SUM(CM42:CN42)</f>
        <v>0</v>
      </c>
      <c r="CL42" s="584"/>
      <c r="CM42" s="584"/>
      <c r="CN42" s="584"/>
      <c r="CO42" s="583" t="s">
        <v>183</v>
      </c>
      <c r="CP42" s="584">
        <f>CQ42+ER42+FV42+GB42</f>
        <v>0</v>
      </c>
      <c r="CQ42" s="584">
        <f>CR42+CW42</f>
        <v>0</v>
      </c>
      <c r="CR42" s="584">
        <f>SUM(CS42:CV42)</f>
        <v>0</v>
      </c>
      <c r="CS42" s="584"/>
      <c r="CT42" s="584"/>
      <c r="CU42" s="584"/>
      <c r="CV42" s="584"/>
      <c r="CW42" s="584">
        <f>SUM(CX42:EQ42)</f>
        <v>0</v>
      </c>
      <c r="CX42" s="584"/>
      <c r="CY42" s="584"/>
      <c r="CZ42" s="584"/>
      <c r="DA42" s="584"/>
      <c r="DB42" s="584"/>
      <c r="DC42" s="584"/>
      <c r="DD42" s="584"/>
      <c r="DE42" s="584"/>
      <c r="DF42" s="584"/>
      <c r="DG42" s="584"/>
      <c r="DH42" s="584"/>
      <c r="DI42" s="584"/>
      <c r="DJ42" s="584"/>
      <c r="DK42" s="584"/>
      <c r="DL42" s="584"/>
      <c r="DM42" s="584"/>
      <c r="DN42" s="584"/>
      <c r="DO42" s="584"/>
      <c r="DP42" s="584"/>
      <c r="DQ42" s="584"/>
      <c r="DR42" s="584"/>
      <c r="DS42" s="584"/>
      <c r="DT42" s="584"/>
      <c r="DU42" s="584"/>
      <c r="DV42" s="584"/>
      <c r="DW42" s="584"/>
      <c r="DX42" s="584"/>
      <c r="DY42" s="584"/>
      <c r="DZ42" s="584"/>
      <c r="EA42" s="584"/>
      <c r="EB42" s="584"/>
      <c r="EC42" s="584"/>
      <c r="ED42" s="584"/>
      <c r="EE42" s="584"/>
      <c r="EF42" s="584"/>
      <c r="EG42" s="584"/>
      <c r="EH42" s="584"/>
      <c r="EI42" s="584"/>
      <c r="EJ42" s="584"/>
      <c r="EK42" s="584"/>
      <c r="EL42" s="584"/>
      <c r="EM42" s="584"/>
      <c r="EN42" s="584"/>
      <c r="EO42" s="584"/>
      <c r="EP42" s="584"/>
      <c r="EQ42" s="584"/>
      <c r="ER42" s="584">
        <f>SUM(ES42:ET42)</f>
        <v>0</v>
      </c>
      <c r="ES42" s="584">
        <f>SUM(EU42:EV42)+EW42+EZ42+FJ42+FR42</f>
        <v>0</v>
      </c>
      <c r="ET42" s="584">
        <f>EX42+SUM(FB42:FI42)+SUM(FK42:FQ42)+SUM(FS42:FU42)</f>
        <v>0</v>
      </c>
      <c r="EU42" s="584"/>
      <c r="EV42" s="584"/>
      <c r="EW42" s="584"/>
      <c r="EX42" s="584"/>
      <c r="EY42" s="584"/>
      <c r="EZ42" s="584"/>
      <c r="FA42" s="584"/>
      <c r="FB42" s="584"/>
      <c r="FC42" s="584"/>
      <c r="FD42" s="584"/>
      <c r="FE42" s="584"/>
      <c r="FF42" s="584"/>
      <c r="FG42" s="584"/>
      <c r="FH42" s="584"/>
      <c r="FI42" s="584"/>
      <c r="FJ42" s="584"/>
      <c r="FK42" s="584"/>
      <c r="FL42" s="584"/>
      <c r="FM42" s="584"/>
      <c r="FN42" s="584"/>
      <c r="FO42" s="584"/>
      <c r="FP42" s="584"/>
      <c r="FQ42" s="584"/>
      <c r="FR42" s="584"/>
      <c r="FS42" s="584"/>
      <c r="FT42" s="584"/>
      <c r="FU42" s="584"/>
      <c r="FV42" s="584">
        <f>SUM(FW42:FX42)</f>
        <v>0</v>
      </c>
      <c r="FW42" s="584">
        <f>SUM(FY42:FY42)</f>
        <v>0</v>
      </c>
      <c r="FX42" s="584">
        <f>SUM(FZ42:GA42)</f>
        <v>0</v>
      </c>
      <c r="FY42" s="584"/>
      <c r="FZ42" s="584"/>
      <c r="GA42" s="584"/>
      <c r="GB42" s="584"/>
      <c r="GC42" s="586"/>
      <c r="GD42" s="586"/>
      <c r="GE42" s="586"/>
      <c r="GF42" s="586"/>
      <c r="GG42" s="586"/>
    </row>
    <row r="43" spans="1:189" s="92" customFormat="1" ht="17.25" hidden="1" customHeight="1">
      <c r="A43" s="582"/>
      <c r="B43" s="583" t="s">
        <v>184</v>
      </c>
      <c r="C43" s="584">
        <f>D43+BE43+CI43</f>
        <v>62876072052</v>
      </c>
      <c r="D43" s="584">
        <f>E43+J43</f>
        <v>56760673576</v>
      </c>
      <c r="E43" s="584">
        <f>SUM(F43:I43)</f>
        <v>0</v>
      </c>
      <c r="F43" s="584"/>
      <c r="G43" s="584"/>
      <c r="H43" s="584"/>
      <c r="I43" s="584"/>
      <c r="J43" s="584">
        <f>SUM(K43:BD43)</f>
        <v>56760673576</v>
      </c>
      <c r="K43" s="584"/>
      <c r="L43" s="584"/>
      <c r="M43" s="584"/>
      <c r="N43" s="584"/>
      <c r="O43" s="584"/>
      <c r="P43" s="584"/>
      <c r="Q43" s="584"/>
      <c r="R43" s="584"/>
      <c r="S43" s="584"/>
      <c r="T43" s="584"/>
      <c r="U43" s="584"/>
      <c r="V43" s="584"/>
      <c r="W43" s="584"/>
      <c r="X43" s="584"/>
      <c r="Y43" s="584"/>
      <c r="Z43" s="584"/>
      <c r="AA43" s="584"/>
      <c r="AB43" s="584"/>
      <c r="AC43" s="584"/>
      <c r="AD43" s="584"/>
      <c r="AE43" s="584"/>
      <c r="AF43" s="584">
        <f>5696535000-51128000</f>
        <v>5645407000</v>
      </c>
      <c r="AG43" s="584"/>
      <c r="AH43" s="584">
        <f>35382780000+10788000000</f>
        <v>46170780000</v>
      </c>
      <c r="AI43" s="584">
        <f>3862749576+99535000</f>
        <v>3962284576</v>
      </c>
      <c r="AJ43" s="584"/>
      <c r="AK43" s="584"/>
      <c r="AL43" s="584"/>
      <c r="AM43" s="584"/>
      <c r="AN43" s="584"/>
      <c r="AO43" s="584"/>
      <c r="AP43" s="584"/>
      <c r="AQ43" s="584"/>
      <c r="AR43" s="584"/>
      <c r="AS43" s="584"/>
      <c r="AT43" s="584"/>
      <c r="AU43" s="584"/>
      <c r="AV43" s="584"/>
      <c r="AW43" s="584"/>
      <c r="AX43" s="584"/>
      <c r="AY43" s="584"/>
      <c r="AZ43" s="584"/>
      <c r="BA43" s="584">
        <v>982202000</v>
      </c>
      <c r="BB43" s="584"/>
      <c r="BC43" s="584"/>
      <c r="BD43" s="584"/>
      <c r="BE43" s="584">
        <f>SUM(BF43:BG43)</f>
        <v>6115398476</v>
      </c>
      <c r="BF43" s="584">
        <f>SUM(BH43:BI43)+BJ43+BM43+BW43+CE43</f>
        <v>0</v>
      </c>
      <c r="BG43" s="584">
        <f>BK43+SUM(BO43:BV43)+SUM(BX43:CD43)+SUM(CF43:CH43)</f>
        <v>6115398476</v>
      </c>
      <c r="BH43" s="584"/>
      <c r="BI43" s="584"/>
      <c r="BJ43" s="584"/>
      <c r="BK43" s="584"/>
      <c r="BL43" s="584"/>
      <c r="BM43" s="584"/>
      <c r="BN43" s="584"/>
      <c r="BO43" s="584"/>
      <c r="BP43" s="584"/>
      <c r="BQ43" s="584"/>
      <c r="BR43" s="584">
        <v>1328000000</v>
      </c>
      <c r="BS43" s="584"/>
      <c r="BT43" s="584"/>
      <c r="BU43" s="584"/>
      <c r="BV43" s="584"/>
      <c r="BW43" s="584"/>
      <c r="BX43" s="584"/>
      <c r="BY43" s="584"/>
      <c r="BZ43" s="584"/>
      <c r="CA43" s="584">
        <v>3029000000</v>
      </c>
      <c r="CB43" s="584"/>
      <c r="CC43" s="584">
        <v>477000000</v>
      </c>
      <c r="CD43" s="584">
        <v>1281398476</v>
      </c>
      <c r="CE43" s="584"/>
      <c r="CF43" s="584"/>
      <c r="CG43" s="584"/>
      <c r="CH43" s="584"/>
      <c r="CI43" s="584">
        <f>SUM(CJ43:CK43)</f>
        <v>0</v>
      </c>
      <c r="CJ43" s="584">
        <f>SUM(CL43:CL43)</f>
        <v>0</v>
      </c>
      <c r="CK43" s="584">
        <f>SUM(CM43:CN43)</f>
        <v>0</v>
      </c>
      <c r="CL43" s="584"/>
      <c r="CM43" s="584"/>
      <c r="CN43" s="584"/>
      <c r="CO43" s="583" t="s">
        <v>184</v>
      </c>
      <c r="CP43" s="584">
        <f>CQ43+ER43+FV43+GB43</f>
        <v>62876072052</v>
      </c>
      <c r="CQ43" s="584">
        <f>CR43+CW43</f>
        <v>55918933576</v>
      </c>
      <c r="CR43" s="584">
        <f>SUM(CS43:CV43)</f>
        <v>0</v>
      </c>
      <c r="CS43" s="584"/>
      <c r="CT43" s="584"/>
      <c r="CU43" s="584"/>
      <c r="CV43" s="584"/>
      <c r="CW43" s="584">
        <f>SUM(CX43:EQ43)</f>
        <v>55918933576</v>
      </c>
      <c r="CX43" s="584"/>
      <c r="CY43" s="584"/>
      <c r="CZ43" s="584"/>
      <c r="DA43" s="584"/>
      <c r="DB43" s="584"/>
      <c r="DC43" s="584"/>
      <c r="DD43" s="584"/>
      <c r="DE43" s="584"/>
      <c r="DF43" s="584"/>
      <c r="DG43" s="584"/>
      <c r="DH43" s="584"/>
      <c r="DI43" s="584"/>
      <c r="DJ43" s="584"/>
      <c r="DK43" s="584"/>
      <c r="DL43" s="584"/>
      <c r="DM43" s="584"/>
      <c r="DN43" s="584"/>
      <c r="DO43" s="584"/>
      <c r="DP43" s="584"/>
      <c r="DQ43" s="584"/>
      <c r="DR43" s="584"/>
      <c r="DS43" s="584">
        <f>5696535000-51128000</f>
        <v>5645407000</v>
      </c>
      <c r="DT43" s="584"/>
      <c r="DU43" s="584">
        <v>45329040000</v>
      </c>
      <c r="DV43" s="584">
        <v>3962284576</v>
      </c>
      <c r="DW43" s="584"/>
      <c r="DX43" s="584"/>
      <c r="DY43" s="584"/>
      <c r="DZ43" s="584"/>
      <c r="EA43" s="584"/>
      <c r="EB43" s="584"/>
      <c r="EC43" s="584"/>
      <c r="ED43" s="584"/>
      <c r="EE43" s="584"/>
      <c r="EF43" s="584"/>
      <c r="EG43" s="584"/>
      <c r="EH43" s="584"/>
      <c r="EI43" s="584"/>
      <c r="EJ43" s="584"/>
      <c r="EK43" s="584"/>
      <c r="EL43" s="584"/>
      <c r="EM43" s="584"/>
      <c r="EN43" s="584">
        <v>982202000</v>
      </c>
      <c r="EO43" s="584"/>
      <c r="EP43" s="584"/>
      <c r="EQ43" s="584"/>
      <c r="ER43" s="584">
        <f>SUM(ES43:ET43)</f>
        <v>1970181276</v>
      </c>
      <c r="ES43" s="584">
        <f>SUM(EU43:EV43)+EW43+EZ43+FJ43+FR43</f>
        <v>0</v>
      </c>
      <c r="ET43" s="584">
        <f>EX43+SUM(FB43:FI43)+SUM(FK43:FQ43)+SUM(FS43:FU43)</f>
        <v>1970181276</v>
      </c>
      <c r="EU43" s="584"/>
      <c r="EV43" s="584"/>
      <c r="EW43" s="584"/>
      <c r="EX43" s="584"/>
      <c r="EY43" s="584"/>
      <c r="EZ43" s="584"/>
      <c r="FA43" s="584"/>
      <c r="FB43" s="584"/>
      <c r="FC43" s="584"/>
      <c r="FD43" s="584"/>
      <c r="FE43" s="584"/>
      <c r="FF43" s="584"/>
      <c r="FG43" s="584"/>
      <c r="FH43" s="584"/>
      <c r="FI43" s="584"/>
      <c r="FJ43" s="584"/>
      <c r="FK43" s="584"/>
      <c r="FL43" s="584"/>
      <c r="FM43" s="584"/>
      <c r="FN43" s="584">
        <v>397763800</v>
      </c>
      <c r="FO43" s="584"/>
      <c r="FP43" s="584">
        <v>468290000</v>
      </c>
      <c r="FQ43" s="584">
        <v>1104127476</v>
      </c>
      <c r="FR43" s="584"/>
      <c r="FS43" s="584"/>
      <c r="FT43" s="584"/>
      <c r="FU43" s="584"/>
      <c r="FV43" s="584">
        <f>SUM(FW43:FX43)</f>
        <v>0</v>
      </c>
      <c r="FW43" s="584">
        <f>SUM(FY43:FY43)</f>
        <v>0</v>
      </c>
      <c r="FX43" s="584">
        <f>SUM(FZ43:GA43)</f>
        <v>0</v>
      </c>
      <c r="FY43" s="584"/>
      <c r="FZ43" s="584"/>
      <c r="GA43" s="584"/>
      <c r="GB43" s="584">
        <v>4986957200</v>
      </c>
      <c r="GC43" s="586">
        <f>CP43/C43</f>
        <v>1</v>
      </c>
      <c r="GD43" s="586"/>
      <c r="GE43" s="586">
        <f>CW43/J43</f>
        <v>0.98517036625943233</v>
      </c>
      <c r="GF43" s="586">
        <f>ER43/BE43</f>
        <v>0.3221672771990271</v>
      </c>
      <c r="GG43" s="586"/>
    </row>
    <row r="44" spans="1:189" s="92" customFormat="1" ht="17.25" customHeight="1">
      <c r="A44" s="582">
        <v>11</v>
      </c>
      <c r="B44" s="583" t="s">
        <v>196</v>
      </c>
      <c r="C44" s="584">
        <f t="shared" ref="C44:AU44" si="48">C45+C46</f>
        <v>5732773646</v>
      </c>
      <c r="D44" s="584">
        <f t="shared" si="48"/>
        <v>850773646</v>
      </c>
      <c r="E44" s="584">
        <f t="shared" si="48"/>
        <v>0</v>
      </c>
      <c r="F44" s="584">
        <f t="shared" si="48"/>
        <v>0</v>
      </c>
      <c r="G44" s="584">
        <f t="shared" si="48"/>
        <v>0</v>
      </c>
      <c r="H44" s="584">
        <f t="shared" si="48"/>
        <v>0</v>
      </c>
      <c r="I44" s="584">
        <f t="shared" si="48"/>
        <v>0</v>
      </c>
      <c r="J44" s="584">
        <f t="shared" si="48"/>
        <v>850773646</v>
      </c>
      <c r="K44" s="584">
        <f t="shared" si="48"/>
        <v>0</v>
      </c>
      <c r="L44" s="584">
        <f t="shared" si="48"/>
        <v>0</v>
      </c>
      <c r="M44" s="584">
        <f t="shared" si="48"/>
        <v>0</v>
      </c>
      <c r="N44" s="584">
        <f t="shared" si="48"/>
        <v>0</v>
      </c>
      <c r="O44" s="584">
        <f t="shared" si="48"/>
        <v>0</v>
      </c>
      <c r="P44" s="584">
        <f t="shared" si="48"/>
        <v>0</v>
      </c>
      <c r="Q44" s="584">
        <f t="shared" si="48"/>
        <v>0</v>
      </c>
      <c r="R44" s="584">
        <f t="shared" si="48"/>
        <v>0</v>
      </c>
      <c r="S44" s="584">
        <f t="shared" si="48"/>
        <v>0</v>
      </c>
      <c r="T44" s="584">
        <f t="shared" si="48"/>
        <v>0</v>
      </c>
      <c r="U44" s="584">
        <f t="shared" si="48"/>
        <v>0</v>
      </c>
      <c r="V44" s="584">
        <f t="shared" si="48"/>
        <v>0</v>
      </c>
      <c r="W44" s="584">
        <f t="shared" si="48"/>
        <v>0</v>
      </c>
      <c r="X44" s="584">
        <f t="shared" si="48"/>
        <v>0</v>
      </c>
      <c r="Y44" s="584">
        <f t="shared" si="48"/>
        <v>0</v>
      </c>
      <c r="Z44" s="584">
        <f t="shared" si="48"/>
        <v>0</v>
      </c>
      <c r="AA44" s="584">
        <f t="shared" si="48"/>
        <v>0</v>
      </c>
      <c r="AB44" s="584">
        <f t="shared" si="48"/>
        <v>0</v>
      </c>
      <c r="AC44" s="584">
        <f t="shared" si="48"/>
        <v>17020000</v>
      </c>
      <c r="AD44" s="584">
        <f t="shared" si="48"/>
        <v>0</v>
      </c>
      <c r="AE44" s="584">
        <f t="shared" si="48"/>
        <v>0</v>
      </c>
      <c r="AF44" s="584">
        <f t="shared" si="48"/>
        <v>0</v>
      </c>
      <c r="AG44" s="584">
        <f t="shared" si="48"/>
        <v>0</v>
      </c>
      <c r="AH44" s="584">
        <f t="shared" si="48"/>
        <v>0</v>
      </c>
      <c r="AI44" s="584">
        <f t="shared" si="48"/>
        <v>0</v>
      </c>
      <c r="AJ44" s="584">
        <f t="shared" si="48"/>
        <v>0</v>
      </c>
      <c r="AK44" s="584">
        <f t="shared" si="48"/>
        <v>0</v>
      </c>
      <c r="AL44" s="584">
        <f t="shared" si="48"/>
        <v>0</v>
      </c>
      <c r="AM44" s="584">
        <f t="shared" si="48"/>
        <v>0</v>
      </c>
      <c r="AN44" s="584">
        <f t="shared" si="48"/>
        <v>0</v>
      </c>
      <c r="AO44" s="584">
        <f t="shared" si="48"/>
        <v>0</v>
      </c>
      <c r="AP44" s="584">
        <f t="shared" si="48"/>
        <v>0</v>
      </c>
      <c r="AQ44" s="584">
        <f t="shared" si="48"/>
        <v>0</v>
      </c>
      <c r="AR44" s="584">
        <f t="shared" si="48"/>
        <v>0</v>
      </c>
      <c r="AS44" s="584">
        <f t="shared" si="48"/>
        <v>0</v>
      </c>
      <c r="AT44" s="584">
        <f t="shared" si="48"/>
        <v>0</v>
      </c>
      <c r="AU44" s="584">
        <f t="shared" si="48"/>
        <v>0</v>
      </c>
      <c r="AV44" s="584">
        <f>AV45+AV46</f>
        <v>0</v>
      </c>
      <c r="AW44" s="584">
        <f>AW45+AW46</f>
        <v>0</v>
      </c>
      <c r="AX44" s="584">
        <f t="shared" ref="AX44:CN44" si="49">AX45+AX46</f>
        <v>0</v>
      </c>
      <c r="AY44" s="584">
        <f t="shared" si="49"/>
        <v>0</v>
      </c>
      <c r="AZ44" s="584">
        <f t="shared" si="49"/>
        <v>0</v>
      </c>
      <c r="BA44" s="584">
        <f t="shared" si="49"/>
        <v>833753646</v>
      </c>
      <c r="BB44" s="584">
        <f t="shared" si="49"/>
        <v>0</v>
      </c>
      <c r="BC44" s="584">
        <f t="shared" si="49"/>
        <v>0</v>
      </c>
      <c r="BD44" s="584">
        <f t="shared" si="49"/>
        <v>0</v>
      </c>
      <c r="BE44" s="584">
        <f t="shared" si="49"/>
        <v>4882000000</v>
      </c>
      <c r="BF44" s="584">
        <f t="shared" si="49"/>
        <v>0</v>
      </c>
      <c r="BG44" s="584">
        <f t="shared" si="49"/>
        <v>4882000000</v>
      </c>
      <c r="BH44" s="584">
        <f t="shared" si="49"/>
        <v>0</v>
      </c>
      <c r="BI44" s="584">
        <f t="shared" si="49"/>
        <v>0</v>
      </c>
      <c r="BJ44" s="584">
        <f t="shared" si="49"/>
        <v>0</v>
      </c>
      <c r="BK44" s="584">
        <f t="shared" si="49"/>
        <v>0</v>
      </c>
      <c r="BL44" s="584">
        <f>BL45+BL46</f>
        <v>0</v>
      </c>
      <c r="BM44" s="584">
        <f>BM45+BM46</f>
        <v>0</v>
      </c>
      <c r="BN44" s="584">
        <f t="shared" si="49"/>
        <v>0</v>
      </c>
      <c r="BO44" s="584">
        <f t="shared" si="49"/>
        <v>0</v>
      </c>
      <c r="BP44" s="584">
        <f t="shared" si="49"/>
        <v>0</v>
      </c>
      <c r="BQ44" s="584">
        <f t="shared" si="49"/>
        <v>0</v>
      </c>
      <c r="BR44" s="584">
        <f t="shared" si="49"/>
        <v>0</v>
      </c>
      <c r="BS44" s="584">
        <f t="shared" si="49"/>
        <v>753000000</v>
      </c>
      <c r="BT44" s="584">
        <f t="shared" si="49"/>
        <v>0</v>
      </c>
      <c r="BU44" s="584">
        <f t="shared" si="49"/>
        <v>0</v>
      </c>
      <c r="BV44" s="584">
        <f t="shared" si="49"/>
        <v>2029000000</v>
      </c>
      <c r="BW44" s="584">
        <f t="shared" si="49"/>
        <v>0</v>
      </c>
      <c r="BX44" s="584">
        <f t="shared" si="49"/>
        <v>0</v>
      </c>
      <c r="BY44" s="584">
        <f t="shared" si="49"/>
        <v>0</v>
      </c>
      <c r="BZ44" s="584">
        <f t="shared" si="49"/>
        <v>0</v>
      </c>
      <c r="CA44" s="584">
        <f t="shared" si="49"/>
        <v>0</v>
      </c>
      <c r="CB44" s="584">
        <f t="shared" si="49"/>
        <v>0</v>
      </c>
      <c r="CC44" s="584">
        <f t="shared" si="49"/>
        <v>2100000000</v>
      </c>
      <c r="CD44" s="584">
        <f t="shared" si="49"/>
        <v>0</v>
      </c>
      <c r="CE44" s="584">
        <f t="shared" si="49"/>
        <v>0</v>
      </c>
      <c r="CF44" s="584">
        <f t="shared" si="49"/>
        <v>0</v>
      </c>
      <c r="CG44" s="584">
        <f t="shared" si="49"/>
        <v>0</v>
      </c>
      <c r="CH44" s="584">
        <f t="shared" si="49"/>
        <v>0</v>
      </c>
      <c r="CI44" s="584">
        <f t="shared" si="49"/>
        <v>0</v>
      </c>
      <c r="CJ44" s="584">
        <f t="shared" si="49"/>
        <v>0</v>
      </c>
      <c r="CK44" s="584">
        <f t="shared" si="49"/>
        <v>0</v>
      </c>
      <c r="CL44" s="584">
        <f t="shared" si="49"/>
        <v>0</v>
      </c>
      <c r="CM44" s="584">
        <f t="shared" si="49"/>
        <v>0</v>
      </c>
      <c r="CN44" s="584">
        <f t="shared" si="49"/>
        <v>0</v>
      </c>
      <c r="CO44" s="583" t="s">
        <v>196</v>
      </c>
      <c r="CP44" s="584">
        <f t="shared" ref="CP44:FA44" si="50">CP45+CP46</f>
        <v>5732773646</v>
      </c>
      <c r="CQ44" s="584">
        <f t="shared" si="50"/>
        <v>850773646</v>
      </c>
      <c r="CR44" s="584">
        <f t="shared" si="50"/>
        <v>0</v>
      </c>
      <c r="CS44" s="584">
        <f t="shared" si="50"/>
        <v>0</v>
      </c>
      <c r="CT44" s="584">
        <f t="shared" si="50"/>
        <v>0</v>
      </c>
      <c r="CU44" s="584">
        <f t="shared" si="50"/>
        <v>0</v>
      </c>
      <c r="CV44" s="584">
        <f t="shared" si="50"/>
        <v>0</v>
      </c>
      <c r="CW44" s="584">
        <f t="shared" si="50"/>
        <v>850773646</v>
      </c>
      <c r="CX44" s="584">
        <f t="shared" si="50"/>
        <v>0</v>
      </c>
      <c r="CY44" s="584">
        <f t="shared" si="50"/>
        <v>0</v>
      </c>
      <c r="CZ44" s="584">
        <f t="shared" si="50"/>
        <v>0</v>
      </c>
      <c r="DA44" s="584">
        <f t="shared" si="50"/>
        <v>0</v>
      </c>
      <c r="DB44" s="584">
        <f t="shared" si="50"/>
        <v>0</v>
      </c>
      <c r="DC44" s="584">
        <f t="shared" si="50"/>
        <v>0</v>
      </c>
      <c r="DD44" s="584">
        <f t="shared" si="50"/>
        <v>0</v>
      </c>
      <c r="DE44" s="584">
        <f t="shared" si="50"/>
        <v>0</v>
      </c>
      <c r="DF44" s="584">
        <f t="shared" si="50"/>
        <v>0</v>
      </c>
      <c r="DG44" s="584">
        <f t="shared" si="50"/>
        <v>0</v>
      </c>
      <c r="DH44" s="584">
        <f t="shared" si="50"/>
        <v>0</v>
      </c>
      <c r="DI44" s="584">
        <f t="shared" si="50"/>
        <v>0</v>
      </c>
      <c r="DJ44" s="584">
        <f t="shared" si="50"/>
        <v>0</v>
      </c>
      <c r="DK44" s="584">
        <f t="shared" si="50"/>
        <v>0</v>
      </c>
      <c r="DL44" s="584">
        <f t="shared" si="50"/>
        <v>0</v>
      </c>
      <c r="DM44" s="584">
        <f>DM45+DM46</f>
        <v>0</v>
      </c>
      <c r="DN44" s="584">
        <f t="shared" si="50"/>
        <v>0</v>
      </c>
      <c r="DO44" s="584">
        <f t="shared" si="50"/>
        <v>0</v>
      </c>
      <c r="DP44" s="584">
        <f t="shared" si="50"/>
        <v>17020000</v>
      </c>
      <c r="DQ44" s="584">
        <f t="shared" si="50"/>
        <v>0</v>
      </c>
      <c r="DR44" s="584">
        <f t="shared" si="50"/>
        <v>0</v>
      </c>
      <c r="DS44" s="584">
        <f t="shared" si="50"/>
        <v>0</v>
      </c>
      <c r="DT44" s="584">
        <f t="shared" si="50"/>
        <v>0</v>
      </c>
      <c r="DU44" s="584">
        <f t="shared" si="50"/>
        <v>0</v>
      </c>
      <c r="DV44" s="584">
        <f t="shared" si="50"/>
        <v>0</v>
      </c>
      <c r="DW44" s="584">
        <f t="shared" si="50"/>
        <v>0</v>
      </c>
      <c r="DX44" s="584">
        <f t="shared" si="50"/>
        <v>0</v>
      </c>
      <c r="DY44" s="584">
        <f t="shared" si="50"/>
        <v>0</v>
      </c>
      <c r="DZ44" s="584">
        <f t="shared" si="50"/>
        <v>0</v>
      </c>
      <c r="EA44" s="584">
        <f t="shared" si="50"/>
        <v>0</v>
      </c>
      <c r="EB44" s="584">
        <f t="shared" si="50"/>
        <v>0</v>
      </c>
      <c r="EC44" s="584">
        <f t="shared" si="50"/>
        <v>0</v>
      </c>
      <c r="ED44" s="584">
        <f t="shared" si="50"/>
        <v>0</v>
      </c>
      <c r="EE44" s="584">
        <f t="shared" si="50"/>
        <v>0</v>
      </c>
      <c r="EF44" s="584">
        <f t="shared" si="50"/>
        <v>0</v>
      </c>
      <c r="EG44" s="584">
        <f t="shared" si="50"/>
        <v>0</v>
      </c>
      <c r="EH44" s="584">
        <f t="shared" si="50"/>
        <v>0</v>
      </c>
      <c r="EI44" s="584">
        <f>EI45+EI46</f>
        <v>0</v>
      </c>
      <c r="EJ44" s="584">
        <f>EJ45+EJ46</f>
        <v>0</v>
      </c>
      <c r="EK44" s="584">
        <f t="shared" si="50"/>
        <v>0</v>
      </c>
      <c r="EL44" s="584">
        <f t="shared" si="50"/>
        <v>0</v>
      </c>
      <c r="EM44" s="584">
        <f t="shared" si="50"/>
        <v>0</v>
      </c>
      <c r="EN44" s="584">
        <f t="shared" si="50"/>
        <v>833753646</v>
      </c>
      <c r="EO44" s="584">
        <f t="shared" si="50"/>
        <v>0</v>
      </c>
      <c r="EP44" s="584">
        <f t="shared" si="50"/>
        <v>0</v>
      </c>
      <c r="EQ44" s="584">
        <f t="shared" si="50"/>
        <v>0</v>
      </c>
      <c r="ER44" s="584">
        <f t="shared" si="50"/>
        <v>4016323600</v>
      </c>
      <c r="ES44" s="584">
        <f t="shared" si="50"/>
        <v>0</v>
      </c>
      <c r="ET44" s="584">
        <f t="shared" si="50"/>
        <v>4016323600</v>
      </c>
      <c r="EU44" s="584">
        <f t="shared" si="50"/>
        <v>0</v>
      </c>
      <c r="EV44" s="584">
        <f t="shared" si="50"/>
        <v>0</v>
      </c>
      <c r="EW44" s="584">
        <f t="shared" si="50"/>
        <v>0</v>
      </c>
      <c r="EX44" s="584">
        <f t="shared" si="50"/>
        <v>0</v>
      </c>
      <c r="EY44" s="584">
        <f>EY45+EY46</f>
        <v>0</v>
      </c>
      <c r="EZ44" s="584">
        <f>EZ45+EZ46</f>
        <v>0</v>
      </c>
      <c r="FA44" s="584">
        <f t="shared" si="50"/>
        <v>0</v>
      </c>
      <c r="FB44" s="584">
        <f t="shared" ref="FB44:GB44" si="51">FB45+FB46</f>
        <v>0</v>
      </c>
      <c r="FC44" s="584">
        <f t="shared" si="51"/>
        <v>0</v>
      </c>
      <c r="FD44" s="584">
        <f t="shared" si="51"/>
        <v>0</v>
      </c>
      <c r="FE44" s="584">
        <f t="shared" si="51"/>
        <v>0</v>
      </c>
      <c r="FF44" s="584">
        <f t="shared" si="51"/>
        <v>685210000</v>
      </c>
      <c r="FG44" s="584">
        <f t="shared" si="51"/>
        <v>0</v>
      </c>
      <c r="FH44" s="584">
        <f t="shared" si="51"/>
        <v>0</v>
      </c>
      <c r="FI44" s="584">
        <f t="shared" si="51"/>
        <v>1733254000</v>
      </c>
      <c r="FJ44" s="584">
        <f t="shared" si="51"/>
        <v>0</v>
      </c>
      <c r="FK44" s="584">
        <f t="shared" si="51"/>
        <v>0</v>
      </c>
      <c r="FL44" s="584">
        <f t="shared" si="51"/>
        <v>0</v>
      </c>
      <c r="FM44" s="584">
        <f t="shared" si="51"/>
        <v>0</v>
      </c>
      <c r="FN44" s="584">
        <f t="shared" si="51"/>
        <v>0</v>
      </c>
      <c r="FO44" s="584">
        <f t="shared" si="51"/>
        <v>0</v>
      </c>
      <c r="FP44" s="584">
        <f t="shared" si="51"/>
        <v>1597859600</v>
      </c>
      <c r="FQ44" s="584">
        <f t="shared" si="51"/>
        <v>0</v>
      </c>
      <c r="FR44" s="584">
        <f t="shared" si="51"/>
        <v>0</v>
      </c>
      <c r="FS44" s="584">
        <f t="shared" si="51"/>
        <v>0</v>
      </c>
      <c r="FT44" s="584">
        <f t="shared" si="51"/>
        <v>0</v>
      </c>
      <c r="FU44" s="584">
        <f t="shared" si="51"/>
        <v>0</v>
      </c>
      <c r="FV44" s="584">
        <f t="shared" si="51"/>
        <v>0</v>
      </c>
      <c r="FW44" s="584">
        <f t="shared" si="51"/>
        <v>0</v>
      </c>
      <c r="FX44" s="584">
        <f t="shared" si="51"/>
        <v>0</v>
      </c>
      <c r="FY44" s="584">
        <f t="shared" si="51"/>
        <v>0</v>
      </c>
      <c r="FZ44" s="584">
        <f t="shared" si="51"/>
        <v>0</v>
      </c>
      <c r="GA44" s="584">
        <f t="shared" si="51"/>
        <v>0</v>
      </c>
      <c r="GB44" s="584">
        <f t="shared" si="51"/>
        <v>865676400</v>
      </c>
      <c r="GC44" s="586">
        <f>CP44/C44</f>
        <v>1</v>
      </c>
      <c r="GD44" s="586"/>
      <c r="GE44" s="586">
        <f>CW44/J44</f>
        <v>1</v>
      </c>
      <c r="GF44" s="586">
        <f>ER44/BE44</f>
        <v>0.82267996722654646</v>
      </c>
      <c r="GG44" s="586"/>
    </row>
    <row r="45" spans="1:189" s="92" customFormat="1" ht="17.25" hidden="1" customHeight="1">
      <c r="A45" s="582"/>
      <c r="B45" s="583" t="s">
        <v>183</v>
      </c>
      <c r="C45" s="584">
        <f>D45+BE45+CI45</f>
        <v>0</v>
      </c>
      <c r="D45" s="584">
        <f>E45+J45</f>
        <v>0</v>
      </c>
      <c r="E45" s="584">
        <f>SUM(F45:I45)</f>
        <v>0</v>
      </c>
      <c r="F45" s="584"/>
      <c r="G45" s="584"/>
      <c r="H45" s="584"/>
      <c r="I45" s="584"/>
      <c r="J45" s="584">
        <f>SUM(K45:BD45)</f>
        <v>0</v>
      </c>
      <c r="K45" s="584"/>
      <c r="L45" s="584"/>
      <c r="M45" s="584"/>
      <c r="N45" s="584"/>
      <c r="O45" s="584"/>
      <c r="P45" s="584"/>
      <c r="Q45" s="584"/>
      <c r="R45" s="584"/>
      <c r="S45" s="584"/>
      <c r="T45" s="584"/>
      <c r="U45" s="584"/>
      <c r="V45" s="584"/>
      <c r="W45" s="584"/>
      <c r="X45" s="584"/>
      <c r="Y45" s="584"/>
      <c r="Z45" s="584"/>
      <c r="AA45" s="584"/>
      <c r="AB45" s="584"/>
      <c r="AC45" s="584"/>
      <c r="AD45" s="584"/>
      <c r="AE45" s="584"/>
      <c r="AF45" s="584"/>
      <c r="AG45" s="584"/>
      <c r="AH45" s="584"/>
      <c r="AI45" s="584"/>
      <c r="AJ45" s="584"/>
      <c r="AK45" s="584"/>
      <c r="AL45" s="584"/>
      <c r="AM45" s="584"/>
      <c r="AN45" s="584"/>
      <c r="AO45" s="584"/>
      <c r="AP45" s="584"/>
      <c r="AQ45" s="584"/>
      <c r="AR45" s="584"/>
      <c r="AS45" s="584"/>
      <c r="AT45" s="584"/>
      <c r="AU45" s="584"/>
      <c r="AV45" s="584"/>
      <c r="AW45" s="584"/>
      <c r="AX45" s="584"/>
      <c r="AY45" s="584"/>
      <c r="AZ45" s="584"/>
      <c r="BA45" s="584"/>
      <c r="BB45" s="584"/>
      <c r="BC45" s="584"/>
      <c r="BD45" s="584"/>
      <c r="BE45" s="584">
        <f>SUM(BF45:BG45)</f>
        <v>0</v>
      </c>
      <c r="BF45" s="584">
        <f>SUM(BH45:BI45)+BJ45+BM45+BW45+CE45</f>
        <v>0</v>
      </c>
      <c r="BG45" s="584">
        <f>BK45+SUM(BO45:BV45)+SUM(BX45:CD45)+SUM(CF45:CH45)</f>
        <v>0</v>
      </c>
      <c r="BH45" s="584"/>
      <c r="BI45" s="584"/>
      <c r="BJ45" s="584"/>
      <c r="BK45" s="584"/>
      <c r="BL45" s="584"/>
      <c r="BM45" s="584"/>
      <c r="BN45" s="584"/>
      <c r="BO45" s="584"/>
      <c r="BP45" s="584"/>
      <c r="BQ45" s="584"/>
      <c r="BR45" s="584"/>
      <c r="BS45" s="584"/>
      <c r="BT45" s="584"/>
      <c r="BU45" s="584"/>
      <c r="BV45" s="584"/>
      <c r="BW45" s="584"/>
      <c r="BX45" s="584"/>
      <c r="BY45" s="584"/>
      <c r="BZ45" s="584"/>
      <c r="CA45" s="584"/>
      <c r="CB45" s="584"/>
      <c r="CC45" s="584"/>
      <c r="CD45" s="584"/>
      <c r="CE45" s="584"/>
      <c r="CF45" s="584"/>
      <c r="CG45" s="584"/>
      <c r="CH45" s="584"/>
      <c r="CI45" s="584">
        <f>SUM(CJ45:CK45)</f>
        <v>0</v>
      </c>
      <c r="CJ45" s="584">
        <f>SUM(CL45:CL45)</f>
        <v>0</v>
      </c>
      <c r="CK45" s="584">
        <f>SUM(CM45:CN45)</f>
        <v>0</v>
      </c>
      <c r="CL45" s="584"/>
      <c r="CM45" s="584"/>
      <c r="CN45" s="584"/>
      <c r="CO45" s="583" t="s">
        <v>183</v>
      </c>
      <c r="CP45" s="584">
        <f>CQ45+ER45+FV45+GB45</f>
        <v>0</v>
      </c>
      <c r="CQ45" s="584">
        <f>CR45+CW45</f>
        <v>0</v>
      </c>
      <c r="CR45" s="584">
        <f>SUM(CS45:CV45)</f>
        <v>0</v>
      </c>
      <c r="CS45" s="584"/>
      <c r="CT45" s="584"/>
      <c r="CU45" s="584"/>
      <c r="CV45" s="584"/>
      <c r="CW45" s="584">
        <f>SUM(CX45:EQ45)</f>
        <v>0</v>
      </c>
      <c r="CX45" s="584"/>
      <c r="CY45" s="584"/>
      <c r="CZ45" s="584"/>
      <c r="DA45" s="584"/>
      <c r="DB45" s="584"/>
      <c r="DC45" s="584"/>
      <c r="DD45" s="584"/>
      <c r="DE45" s="584"/>
      <c r="DF45" s="584"/>
      <c r="DG45" s="584"/>
      <c r="DH45" s="584"/>
      <c r="DI45" s="584"/>
      <c r="DJ45" s="584"/>
      <c r="DK45" s="584"/>
      <c r="DL45" s="584"/>
      <c r="DM45" s="584"/>
      <c r="DN45" s="584"/>
      <c r="DO45" s="584"/>
      <c r="DP45" s="584"/>
      <c r="DQ45" s="584"/>
      <c r="DR45" s="584"/>
      <c r="DS45" s="584"/>
      <c r="DT45" s="584"/>
      <c r="DU45" s="584"/>
      <c r="DV45" s="584"/>
      <c r="DW45" s="584"/>
      <c r="DX45" s="584"/>
      <c r="DY45" s="584"/>
      <c r="DZ45" s="584"/>
      <c r="EA45" s="584"/>
      <c r="EB45" s="584"/>
      <c r="EC45" s="584"/>
      <c r="ED45" s="584"/>
      <c r="EE45" s="584"/>
      <c r="EF45" s="584"/>
      <c r="EG45" s="584"/>
      <c r="EH45" s="584"/>
      <c r="EI45" s="584"/>
      <c r="EJ45" s="584"/>
      <c r="EK45" s="584"/>
      <c r="EL45" s="584"/>
      <c r="EM45" s="584"/>
      <c r="EN45" s="584"/>
      <c r="EO45" s="584"/>
      <c r="EP45" s="584"/>
      <c r="EQ45" s="584"/>
      <c r="ER45" s="584">
        <f>SUM(ES45:ET45)</f>
        <v>0</v>
      </c>
      <c r="ES45" s="584">
        <f>SUM(EU45:EV45)+EW45+EZ45+FJ45+FR45</f>
        <v>0</v>
      </c>
      <c r="ET45" s="584">
        <f>EX45+SUM(FB45:FI45)+SUM(FK45:FQ45)+SUM(FS45:FU45)</f>
        <v>0</v>
      </c>
      <c r="EU45" s="584"/>
      <c r="EV45" s="584"/>
      <c r="EW45" s="584"/>
      <c r="EX45" s="584"/>
      <c r="EY45" s="584"/>
      <c r="EZ45" s="584"/>
      <c r="FA45" s="584"/>
      <c r="FB45" s="584"/>
      <c r="FC45" s="584"/>
      <c r="FD45" s="584"/>
      <c r="FE45" s="584"/>
      <c r="FF45" s="584"/>
      <c r="FG45" s="584"/>
      <c r="FH45" s="584"/>
      <c r="FI45" s="584"/>
      <c r="FJ45" s="584"/>
      <c r="FK45" s="584"/>
      <c r="FL45" s="584"/>
      <c r="FM45" s="584"/>
      <c r="FN45" s="584"/>
      <c r="FO45" s="584"/>
      <c r="FP45" s="584"/>
      <c r="FQ45" s="584"/>
      <c r="FR45" s="584"/>
      <c r="FS45" s="584"/>
      <c r="FT45" s="584"/>
      <c r="FU45" s="584"/>
      <c r="FV45" s="584">
        <f>SUM(FW45:FX45)</f>
        <v>0</v>
      </c>
      <c r="FW45" s="584">
        <f>SUM(FY45:FY45)</f>
        <v>0</v>
      </c>
      <c r="FX45" s="584">
        <f>SUM(FZ45:GA45)</f>
        <v>0</v>
      </c>
      <c r="FY45" s="584"/>
      <c r="FZ45" s="584"/>
      <c r="GA45" s="584"/>
      <c r="GB45" s="584"/>
      <c r="GC45" s="586"/>
      <c r="GD45" s="586"/>
      <c r="GE45" s="586"/>
      <c r="GF45" s="586"/>
      <c r="GG45" s="586"/>
    </row>
    <row r="46" spans="1:189" s="92" customFormat="1" ht="17.25" hidden="1" customHeight="1">
      <c r="A46" s="582"/>
      <c r="B46" s="583" t="s">
        <v>184</v>
      </c>
      <c r="C46" s="584">
        <f>D46+BE46+CI46</f>
        <v>5732773646</v>
      </c>
      <c r="D46" s="584">
        <f>E46+J46</f>
        <v>850773646</v>
      </c>
      <c r="E46" s="584">
        <f>SUM(F46:I46)</f>
        <v>0</v>
      </c>
      <c r="F46" s="584"/>
      <c r="G46" s="584"/>
      <c r="H46" s="584"/>
      <c r="I46" s="584"/>
      <c r="J46" s="584">
        <f>SUM(K46:BD46)</f>
        <v>850773646</v>
      </c>
      <c r="K46" s="584"/>
      <c r="L46" s="584"/>
      <c r="M46" s="584"/>
      <c r="N46" s="584"/>
      <c r="O46" s="584"/>
      <c r="P46" s="584"/>
      <c r="Q46" s="584"/>
      <c r="R46" s="584"/>
      <c r="S46" s="584"/>
      <c r="T46" s="584"/>
      <c r="U46" s="584"/>
      <c r="V46" s="584"/>
      <c r="W46" s="584"/>
      <c r="X46" s="584"/>
      <c r="Y46" s="584"/>
      <c r="Z46" s="584"/>
      <c r="AA46" s="584"/>
      <c r="AB46" s="584"/>
      <c r="AC46" s="584">
        <v>17020000</v>
      </c>
      <c r="AD46" s="584"/>
      <c r="AE46" s="584"/>
      <c r="AF46" s="584"/>
      <c r="AG46" s="584"/>
      <c r="AH46" s="584"/>
      <c r="AI46" s="584"/>
      <c r="AJ46" s="584"/>
      <c r="AK46" s="584"/>
      <c r="AL46" s="584"/>
      <c r="AM46" s="584"/>
      <c r="AN46" s="584"/>
      <c r="AO46" s="584"/>
      <c r="AP46" s="584"/>
      <c r="AQ46" s="584"/>
      <c r="AR46" s="584"/>
      <c r="AS46" s="584"/>
      <c r="AT46" s="584"/>
      <c r="AU46" s="584"/>
      <c r="AV46" s="584"/>
      <c r="AW46" s="584"/>
      <c r="AX46" s="584"/>
      <c r="AY46" s="584"/>
      <c r="AZ46" s="584"/>
      <c r="BA46" s="584">
        <v>833753646</v>
      </c>
      <c r="BB46" s="584"/>
      <c r="BC46" s="584"/>
      <c r="BD46" s="584"/>
      <c r="BE46" s="584">
        <f>SUM(BF46:BG46)</f>
        <v>4882000000</v>
      </c>
      <c r="BF46" s="584">
        <f>SUM(BH46:BI46)+BJ46+BM46+BW46+CE46</f>
        <v>0</v>
      </c>
      <c r="BG46" s="584">
        <f>BK46+SUM(BO46:BV46)+SUM(BX46:CD46)+SUM(CF46:CH46)</f>
        <v>4882000000</v>
      </c>
      <c r="BH46" s="584"/>
      <c r="BI46" s="584"/>
      <c r="BJ46" s="584"/>
      <c r="BK46" s="584"/>
      <c r="BL46" s="584"/>
      <c r="BM46" s="584"/>
      <c r="BN46" s="584"/>
      <c r="BO46" s="584"/>
      <c r="BP46" s="584"/>
      <c r="BQ46" s="584"/>
      <c r="BR46" s="584"/>
      <c r="BS46" s="584">
        <v>753000000</v>
      </c>
      <c r="BT46" s="584"/>
      <c r="BU46" s="584"/>
      <c r="BV46" s="584">
        <v>2029000000</v>
      </c>
      <c r="BW46" s="584"/>
      <c r="BX46" s="584"/>
      <c r="BY46" s="584"/>
      <c r="BZ46" s="584"/>
      <c r="CA46" s="584"/>
      <c r="CB46" s="584"/>
      <c r="CC46" s="584">
        <v>2100000000</v>
      </c>
      <c r="CD46" s="584"/>
      <c r="CE46" s="584"/>
      <c r="CF46" s="584"/>
      <c r="CG46" s="584"/>
      <c r="CH46" s="584"/>
      <c r="CI46" s="584">
        <f>SUM(CJ46:CK46)</f>
        <v>0</v>
      </c>
      <c r="CJ46" s="584">
        <f>SUM(CL46:CL46)</f>
        <v>0</v>
      </c>
      <c r="CK46" s="584">
        <f>SUM(CM46:CN46)</f>
        <v>0</v>
      </c>
      <c r="CL46" s="584"/>
      <c r="CM46" s="584"/>
      <c r="CN46" s="584"/>
      <c r="CO46" s="583" t="s">
        <v>184</v>
      </c>
      <c r="CP46" s="584">
        <f>CQ46+ER46+FV46+GB46</f>
        <v>5732773646</v>
      </c>
      <c r="CQ46" s="584">
        <f>CR46+CW46</f>
        <v>850773646</v>
      </c>
      <c r="CR46" s="584">
        <f>SUM(CS46:CV46)</f>
        <v>0</v>
      </c>
      <c r="CS46" s="584"/>
      <c r="CT46" s="584"/>
      <c r="CU46" s="584"/>
      <c r="CV46" s="584"/>
      <c r="CW46" s="584">
        <f>SUM(CX46:EQ46)</f>
        <v>850773646</v>
      </c>
      <c r="CX46" s="584"/>
      <c r="CY46" s="584"/>
      <c r="CZ46" s="584"/>
      <c r="DA46" s="584"/>
      <c r="DB46" s="584"/>
      <c r="DC46" s="584"/>
      <c r="DD46" s="584"/>
      <c r="DE46" s="584"/>
      <c r="DF46" s="584"/>
      <c r="DG46" s="584"/>
      <c r="DH46" s="584"/>
      <c r="DI46" s="584"/>
      <c r="DJ46" s="584"/>
      <c r="DK46" s="584"/>
      <c r="DL46" s="584"/>
      <c r="DM46" s="584"/>
      <c r="DN46" s="584"/>
      <c r="DO46" s="584"/>
      <c r="DP46" s="584">
        <v>17020000</v>
      </c>
      <c r="DQ46" s="584"/>
      <c r="DR46" s="584"/>
      <c r="DS46" s="584"/>
      <c r="DT46" s="584"/>
      <c r="DU46" s="584"/>
      <c r="DV46" s="584"/>
      <c r="DW46" s="584"/>
      <c r="DX46" s="584"/>
      <c r="DY46" s="584"/>
      <c r="DZ46" s="584"/>
      <c r="EA46" s="584"/>
      <c r="EB46" s="584"/>
      <c r="EC46" s="584"/>
      <c r="ED46" s="584"/>
      <c r="EE46" s="584"/>
      <c r="EF46" s="584"/>
      <c r="EG46" s="584"/>
      <c r="EH46" s="584"/>
      <c r="EI46" s="584"/>
      <c r="EJ46" s="584"/>
      <c r="EK46" s="584"/>
      <c r="EL46" s="584"/>
      <c r="EM46" s="584"/>
      <c r="EN46" s="584">
        <v>833753646</v>
      </c>
      <c r="EO46" s="584"/>
      <c r="EP46" s="584"/>
      <c r="EQ46" s="584"/>
      <c r="ER46" s="584">
        <f>SUM(ES46:ET46)</f>
        <v>4016323600</v>
      </c>
      <c r="ES46" s="584">
        <f>SUM(EU46:EV46)+EW46+EZ46+FJ46+FR46</f>
        <v>0</v>
      </c>
      <c r="ET46" s="584">
        <f>EX46+SUM(FB46:FI46)+SUM(FK46:FQ46)+SUM(FS46:FU46)</f>
        <v>4016323600</v>
      </c>
      <c r="EU46" s="584"/>
      <c r="EV46" s="584"/>
      <c r="EW46" s="584"/>
      <c r="EX46" s="584"/>
      <c r="EY46" s="584"/>
      <c r="EZ46" s="584"/>
      <c r="FA46" s="584"/>
      <c r="FB46" s="584"/>
      <c r="FC46" s="584"/>
      <c r="FD46" s="584"/>
      <c r="FE46" s="584"/>
      <c r="FF46" s="584">
        <v>685210000</v>
      </c>
      <c r="FG46" s="584"/>
      <c r="FH46" s="584"/>
      <c r="FI46" s="584">
        <v>1733254000</v>
      </c>
      <c r="FJ46" s="584"/>
      <c r="FK46" s="584"/>
      <c r="FL46" s="584"/>
      <c r="FM46" s="584"/>
      <c r="FN46" s="584"/>
      <c r="FO46" s="584"/>
      <c r="FP46" s="584">
        <v>1597859600</v>
      </c>
      <c r="FQ46" s="584"/>
      <c r="FR46" s="584"/>
      <c r="FS46" s="584"/>
      <c r="FT46" s="584"/>
      <c r="FU46" s="584"/>
      <c r="FV46" s="584">
        <f>SUM(FW46:FX46)</f>
        <v>0</v>
      </c>
      <c r="FW46" s="584">
        <f>SUM(FY46:FY46)</f>
        <v>0</v>
      </c>
      <c r="FX46" s="584">
        <f>SUM(FZ46:GA46)</f>
        <v>0</v>
      </c>
      <c r="FY46" s="584"/>
      <c r="FZ46" s="584"/>
      <c r="GA46" s="584"/>
      <c r="GB46" s="584">
        <v>865676400</v>
      </c>
      <c r="GC46" s="586">
        <f>CP46/C46</f>
        <v>1</v>
      </c>
      <c r="GD46" s="586"/>
      <c r="GE46" s="586">
        <f>CW46/J46</f>
        <v>1</v>
      </c>
      <c r="GF46" s="586">
        <f>ER46/BE46</f>
        <v>0.82267996722654646</v>
      </c>
      <c r="GG46" s="586"/>
    </row>
    <row r="47" spans="1:189" s="92" customFormat="1" ht="17.25" customHeight="1">
      <c r="A47" s="582">
        <v>12</v>
      </c>
      <c r="B47" s="583" t="s">
        <v>188</v>
      </c>
      <c r="C47" s="584">
        <f t="shared" ref="C47:AU47" si="52">C48+C49</f>
        <v>7643120777</v>
      </c>
      <c r="D47" s="584">
        <f t="shared" si="52"/>
        <v>7643120777</v>
      </c>
      <c r="E47" s="584">
        <f t="shared" si="52"/>
        <v>0</v>
      </c>
      <c r="F47" s="584">
        <f t="shared" si="52"/>
        <v>0</v>
      </c>
      <c r="G47" s="584">
        <f t="shared" si="52"/>
        <v>0</v>
      </c>
      <c r="H47" s="584">
        <f t="shared" si="52"/>
        <v>0</v>
      </c>
      <c r="I47" s="584">
        <f t="shared" si="52"/>
        <v>0</v>
      </c>
      <c r="J47" s="584">
        <f t="shared" si="52"/>
        <v>7643120777</v>
      </c>
      <c r="K47" s="584">
        <f t="shared" si="52"/>
        <v>0</v>
      </c>
      <c r="L47" s="584">
        <f t="shared" si="52"/>
        <v>0</v>
      </c>
      <c r="M47" s="584">
        <f t="shared" si="52"/>
        <v>0</v>
      </c>
      <c r="N47" s="584">
        <f t="shared" si="52"/>
        <v>0</v>
      </c>
      <c r="O47" s="584">
        <f t="shared" si="52"/>
        <v>0</v>
      </c>
      <c r="P47" s="584">
        <f t="shared" si="52"/>
        <v>0</v>
      </c>
      <c r="Q47" s="584">
        <f t="shared" si="52"/>
        <v>0</v>
      </c>
      <c r="R47" s="584">
        <f t="shared" si="52"/>
        <v>0</v>
      </c>
      <c r="S47" s="584">
        <f t="shared" si="52"/>
        <v>0</v>
      </c>
      <c r="T47" s="584">
        <f t="shared" si="52"/>
        <v>0</v>
      </c>
      <c r="U47" s="584">
        <f t="shared" si="52"/>
        <v>0</v>
      </c>
      <c r="V47" s="584">
        <f t="shared" si="52"/>
        <v>0</v>
      </c>
      <c r="W47" s="584">
        <f t="shared" si="52"/>
        <v>0</v>
      </c>
      <c r="X47" s="584">
        <f t="shared" si="52"/>
        <v>0</v>
      </c>
      <c r="Y47" s="584">
        <f t="shared" si="52"/>
        <v>0</v>
      </c>
      <c r="Z47" s="584">
        <f t="shared" si="52"/>
        <v>18400000</v>
      </c>
      <c r="AA47" s="584">
        <f t="shared" si="52"/>
        <v>0</v>
      </c>
      <c r="AB47" s="584">
        <f t="shared" si="52"/>
        <v>0</v>
      </c>
      <c r="AC47" s="584">
        <f t="shared" si="52"/>
        <v>0</v>
      </c>
      <c r="AD47" s="584">
        <f t="shared" si="52"/>
        <v>0</v>
      </c>
      <c r="AE47" s="584">
        <f t="shared" si="52"/>
        <v>0</v>
      </c>
      <c r="AF47" s="584">
        <f t="shared" si="52"/>
        <v>0</v>
      </c>
      <c r="AG47" s="584">
        <f t="shared" si="52"/>
        <v>0</v>
      </c>
      <c r="AH47" s="584">
        <f t="shared" si="52"/>
        <v>0</v>
      </c>
      <c r="AI47" s="584">
        <f t="shared" si="52"/>
        <v>0</v>
      </c>
      <c r="AJ47" s="584">
        <f t="shared" si="52"/>
        <v>0</v>
      </c>
      <c r="AK47" s="584">
        <f t="shared" si="52"/>
        <v>0</v>
      </c>
      <c r="AL47" s="584">
        <f t="shared" si="52"/>
        <v>0</v>
      </c>
      <c r="AM47" s="584">
        <f t="shared" si="52"/>
        <v>0</v>
      </c>
      <c r="AN47" s="584">
        <f t="shared" si="52"/>
        <v>0</v>
      </c>
      <c r="AO47" s="584">
        <f t="shared" si="52"/>
        <v>0</v>
      </c>
      <c r="AP47" s="584">
        <f t="shared" si="52"/>
        <v>0</v>
      </c>
      <c r="AQ47" s="584">
        <f t="shared" si="52"/>
        <v>0</v>
      </c>
      <c r="AR47" s="584">
        <f t="shared" si="52"/>
        <v>0</v>
      </c>
      <c r="AS47" s="584">
        <f t="shared" si="52"/>
        <v>920222000</v>
      </c>
      <c r="AT47" s="584">
        <f t="shared" si="52"/>
        <v>0</v>
      </c>
      <c r="AU47" s="584">
        <f t="shared" si="52"/>
        <v>0</v>
      </c>
      <c r="AV47" s="584">
        <f>AV48+AV49</f>
        <v>0</v>
      </c>
      <c r="AW47" s="584">
        <f>AW48+AW49</f>
        <v>0</v>
      </c>
      <c r="AX47" s="584">
        <f t="shared" ref="AX47:CN47" si="53">AX48+AX49</f>
        <v>1318740824</v>
      </c>
      <c r="AY47" s="584">
        <f t="shared" si="53"/>
        <v>0</v>
      </c>
      <c r="AZ47" s="584">
        <f t="shared" si="53"/>
        <v>4420850000</v>
      </c>
      <c r="BA47" s="584">
        <f t="shared" si="53"/>
        <v>964907953</v>
      </c>
      <c r="BB47" s="584">
        <f t="shared" si="53"/>
        <v>0</v>
      </c>
      <c r="BC47" s="584">
        <f t="shared" si="53"/>
        <v>0</v>
      </c>
      <c r="BD47" s="584">
        <f t="shared" si="53"/>
        <v>0</v>
      </c>
      <c r="BE47" s="584">
        <f t="shared" si="53"/>
        <v>0</v>
      </c>
      <c r="BF47" s="584">
        <f t="shared" si="53"/>
        <v>0</v>
      </c>
      <c r="BG47" s="584">
        <f t="shared" si="53"/>
        <v>0</v>
      </c>
      <c r="BH47" s="584">
        <f t="shared" si="53"/>
        <v>0</v>
      </c>
      <c r="BI47" s="584">
        <f t="shared" si="53"/>
        <v>0</v>
      </c>
      <c r="BJ47" s="584">
        <f t="shared" si="53"/>
        <v>0</v>
      </c>
      <c r="BK47" s="584">
        <f t="shared" si="53"/>
        <v>0</v>
      </c>
      <c r="BL47" s="584">
        <f>BL48+BL49</f>
        <v>0</v>
      </c>
      <c r="BM47" s="584">
        <f>BM48+BM49</f>
        <v>0</v>
      </c>
      <c r="BN47" s="584">
        <f t="shared" si="53"/>
        <v>0</v>
      </c>
      <c r="BO47" s="584">
        <f t="shared" si="53"/>
        <v>0</v>
      </c>
      <c r="BP47" s="584">
        <f t="shared" si="53"/>
        <v>0</v>
      </c>
      <c r="BQ47" s="584">
        <f t="shared" si="53"/>
        <v>0</v>
      </c>
      <c r="BR47" s="584">
        <f t="shared" si="53"/>
        <v>0</v>
      </c>
      <c r="BS47" s="584">
        <f t="shared" si="53"/>
        <v>0</v>
      </c>
      <c r="BT47" s="584">
        <f t="shared" si="53"/>
        <v>0</v>
      </c>
      <c r="BU47" s="584">
        <f t="shared" si="53"/>
        <v>0</v>
      </c>
      <c r="BV47" s="584">
        <f t="shared" si="53"/>
        <v>0</v>
      </c>
      <c r="BW47" s="584">
        <f t="shared" si="53"/>
        <v>0</v>
      </c>
      <c r="BX47" s="584">
        <f t="shared" si="53"/>
        <v>0</v>
      </c>
      <c r="BY47" s="584">
        <f t="shared" si="53"/>
        <v>0</v>
      </c>
      <c r="BZ47" s="584">
        <f t="shared" si="53"/>
        <v>0</v>
      </c>
      <c r="CA47" s="584">
        <f t="shared" si="53"/>
        <v>0</v>
      </c>
      <c r="CB47" s="584">
        <f t="shared" si="53"/>
        <v>0</v>
      </c>
      <c r="CC47" s="584">
        <f t="shared" si="53"/>
        <v>0</v>
      </c>
      <c r="CD47" s="584">
        <f t="shared" si="53"/>
        <v>0</v>
      </c>
      <c r="CE47" s="584">
        <f t="shared" si="53"/>
        <v>0</v>
      </c>
      <c r="CF47" s="584">
        <f t="shared" si="53"/>
        <v>0</v>
      </c>
      <c r="CG47" s="584">
        <f t="shared" si="53"/>
        <v>0</v>
      </c>
      <c r="CH47" s="584">
        <f t="shared" si="53"/>
        <v>0</v>
      </c>
      <c r="CI47" s="584">
        <f t="shared" si="53"/>
        <v>0</v>
      </c>
      <c r="CJ47" s="584">
        <f t="shared" si="53"/>
        <v>0</v>
      </c>
      <c r="CK47" s="584">
        <f t="shared" si="53"/>
        <v>0</v>
      </c>
      <c r="CL47" s="584">
        <f t="shared" si="53"/>
        <v>0</v>
      </c>
      <c r="CM47" s="584">
        <f t="shared" si="53"/>
        <v>0</v>
      </c>
      <c r="CN47" s="584">
        <f t="shared" si="53"/>
        <v>0</v>
      </c>
      <c r="CO47" s="583" t="s">
        <v>188</v>
      </c>
      <c r="CP47" s="584">
        <f t="shared" ref="CP47:FA47" si="54">CP48+CP49</f>
        <v>7643120777</v>
      </c>
      <c r="CQ47" s="584">
        <f t="shared" si="54"/>
        <v>7643120777</v>
      </c>
      <c r="CR47" s="584">
        <f t="shared" si="54"/>
        <v>0</v>
      </c>
      <c r="CS47" s="584">
        <f t="shared" si="54"/>
        <v>0</v>
      </c>
      <c r="CT47" s="584">
        <f t="shared" si="54"/>
        <v>0</v>
      </c>
      <c r="CU47" s="584">
        <f t="shared" si="54"/>
        <v>0</v>
      </c>
      <c r="CV47" s="584">
        <f t="shared" si="54"/>
        <v>0</v>
      </c>
      <c r="CW47" s="584">
        <f t="shared" si="54"/>
        <v>7643120777</v>
      </c>
      <c r="CX47" s="584">
        <f t="shared" si="54"/>
        <v>0</v>
      </c>
      <c r="CY47" s="584">
        <f t="shared" si="54"/>
        <v>0</v>
      </c>
      <c r="CZ47" s="584">
        <f t="shared" si="54"/>
        <v>0</v>
      </c>
      <c r="DA47" s="584">
        <f t="shared" si="54"/>
        <v>0</v>
      </c>
      <c r="DB47" s="584">
        <f t="shared" si="54"/>
        <v>0</v>
      </c>
      <c r="DC47" s="584">
        <f t="shared" si="54"/>
        <v>0</v>
      </c>
      <c r="DD47" s="584">
        <f t="shared" si="54"/>
        <v>0</v>
      </c>
      <c r="DE47" s="584">
        <f t="shared" si="54"/>
        <v>0</v>
      </c>
      <c r="DF47" s="584">
        <f t="shared" si="54"/>
        <v>0</v>
      </c>
      <c r="DG47" s="584">
        <f t="shared" si="54"/>
        <v>0</v>
      </c>
      <c r="DH47" s="584">
        <f t="shared" si="54"/>
        <v>0</v>
      </c>
      <c r="DI47" s="584">
        <f t="shared" si="54"/>
        <v>0</v>
      </c>
      <c r="DJ47" s="584">
        <f t="shared" si="54"/>
        <v>0</v>
      </c>
      <c r="DK47" s="584">
        <f t="shared" si="54"/>
        <v>0</v>
      </c>
      <c r="DL47" s="584">
        <f t="shared" si="54"/>
        <v>0</v>
      </c>
      <c r="DM47" s="584">
        <f>DM48+DM49</f>
        <v>18400000</v>
      </c>
      <c r="DN47" s="584">
        <f t="shared" si="54"/>
        <v>0</v>
      </c>
      <c r="DO47" s="584">
        <f t="shared" si="54"/>
        <v>0</v>
      </c>
      <c r="DP47" s="584">
        <f t="shared" si="54"/>
        <v>0</v>
      </c>
      <c r="DQ47" s="584">
        <f t="shared" si="54"/>
        <v>0</v>
      </c>
      <c r="DR47" s="584">
        <f t="shared" si="54"/>
        <v>0</v>
      </c>
      <c r="DS47" s="584">
        <f t="shared" si="54"/>
        <v>0</v>
      </c>
      <c r="DT47" s="584">
        <f t="shared" si="54"/>
        <v>0</v>
      </c>
      <c r="DU47" s="584">
        <f t="shared" si="54"/>
        <v>0</v>
      </c>
      <c r="DV47" s="584">
        <f t="shared" si="54"/>
        <v>0</v>
      </c>
      <c r="DW47" s="584">
        <f t="shared" si="54"/>
        <v>0</v>
      </c>
      <c r="DX47" s="584">
        <f t="shared" si="54"/>
        <v>0</v>
      </c>
      <c r="DY47" s="584">
        <f t="shared" si="54"/>
        <v>0</v>
      </c>
      <c r="DZ47" s="584">
        <f t="shared" si="54"/>
        <v>0</v>
      </c>
      <c r="EA47" s="584">
        <f t="shared" si="54"/>
        <v>0</v>
      </c>
      <c r="EB47" s="584">
        <f t="shared" si="54"/>
        <v>0</v>
      </c>
      <c r="EC47" s="584">
        <f t="shared" si="54"/>
        <v>0</v>
      </c>
      <c r="ED47" s="584">
        <f t="shared" si="54"/>
        <v>0</v>
      </c>
      <c r="EE47" s="584">
        <f t="shared" si="54"/>
        <v>0</v>
      </c>
      <c r="EF47" s="584">
        <f t="shared" si="54"/>
        <v>920222000</v>
      </c>
      <c r="EG47" s="584">
        <f t="shared" si="54"/>
        <v>0</v>
      </c>
      <c r="EH47" s="584">
        <f t="shared" si="54"/>
        <v>0</v>
      </c>
      <c r="EI47" s="584">
        <f>EI48+EI49</f>
        <v>0</v>
      </c>
      <c r="EJ47" s="584">
        <f>EJ48+EJ49</f>
        <v>0</v>
      </c>
      <c r="EK47" s="584">
        <f t="shared" si="54"/>
        <v>1318740824</v>
      </c>
      <c r="EL47" s="584">
        <f t="shared" si="54"/>
        <v>0</v>
      </c>
      <c r="EM47" s="584">
        <f t="shared" si="54"/>
        <v>4420850000</v>
      </c>
      <c r="EN47" s="584">
        <f t="shared" si="54"/>
        <v>964907953</v>
      </c>
      <c r="EO47" s="584">
        <f t="shared" si="54"/>
        <v>0</v>
      </c>
      <c r="EP47" s="584">
        <f t="shared" si="54"/>
        <v>0</v>
      </c>
      <c r="EQ47" s="584">
        <f t="shared" si="54"/>
        <v>0</v>
      </c>
      <c r="ER47" s="584">
        <f t="shared" si="54"/>
        <v>0</v>
      </c>
      <c r="ES47" s="584">
        <f t="shared" si="54"/>
        <v>0</v>
      </c>
      <c r="ET47" s="584">
        <f t="shared" si="54"/>
        <v>0</v>
      </c>
      <c r="EU47" s="584">
        <f t="shared" si="54"/>
        <v>0</v>
      </c>
      <c r="EV47" s="584">
        <f t="shared" si="54"/>
        <v>0</v>
      </c>
      <c r="EW47" s="584">
        <f t="shared" si="54"/>
        <v>0</v>
      </c>
      <c r="EX47" s="584">
        <f t="shared" si="54"/>
        <v>0</v>
      </c>
      <c r="EY47" s="584">
        <f>EY48+EY49</f>
        <v>0</v>
      </c>
      <c r="EZ47" s="584">
        <f>EZ48+EZ49</f>
        <v>0</v>
      </c>
      <c r="FA47" s="584">
        <f t="shared" si="54"/>
        <v>0</v>
      </c>
      <c r="FB47" s="584">
        <f t="shared" ref="FB47:GB47" si="55">FB48+FB49</f>
        <v>0</v>
      </c>
      <c r="FC47" s="584">
        <f t="shared" si="55"/>
        <v>0</v>
      </c>
      <c r="FD47" s="584">
        <f t="shared" si="55"/>
        <v>0</v>
      </c>
      <c r="FE47" s="584">
        <f t="shared" si="55"/>
        <v>0</v>
      </c>
      <c r="FF47" s="584">
        <f t="shared" si="55"/>
        <v>0</v>
      </c>
      <c r="FG47" s="584">
        <f t="shared" si="55"/>
        <v>0</v>
      </c>
      <c r="FH47" s="584">
        <f t="shared" si="55"/>
        <v>0</v>
      </c>
      <c r="FI47" s="584">
        <f t="shared" si="55"/>
        <v>0</v>
      </c>
      <c r="FJ47" s="584">
        <f t="shared" si="55"/>
        <v>0</v>
      </c>
      <c r="FK47" s="584">
        <f t="shared" si="55"/>
        <v>0</v>
      </c>
      <c r="FL47" s="584">
        <f t="shared" si="55"/>
        <v>0</v>
      </c>
      <c r="FM47" s="584">
        <f t="shared" si="55"/>
        <v>0</v>
      </c>
      <c r="FN47" s="584">
        <f t="shared" si="55"/>
        <v>0</v>
      </c>
      <c r="FO47" s="584">
        <f t="shared" si="55"/>
        <v>0</v>
      </c>
      <c r="FP47" s="584">
        <f t="shared" si="55"/>
        <v>0</v>
      </c>
      <c r="FQ47" s="584">
        <f t="shared" si="55"/>
        <v>0</v>
      </c>
      <c r="FR47" s="584">
        <f t="shared" si="55"/>
        <v>0</v>
      </c>
      <c r="FS47" s="584">
        <f t="shared" si="55"/>
        <v>0</v>
      </c>
      <c r="FT47" s="584">
        <f t="shared" si="55"/>
        <v>0</v>
      </c>
      <c r="FU47" s="584">
        <f t="shared" si="55"/>
        <v>0</v>
      </c>
      <c r="FV47" s="584">
        <f t="shared" si="55"/>
        <v>0</v>
      </c>
      <c r="FW47" s="584">
        <f t="shared" si="55"/>
        <v>0</v>
      </c>
      <c r="FX47" s="584">
        <f t="shared" si="55"/>
        <v>0</v>
      </c>
      <c r="FY47" s="584">
        <f t="shared" si="55"/>
        <v>0</v>
      </c>
      <c r="FZ47" s="584">
        <f t="shared" si="55"/>
        <v>0</v>
      </c>
      <c r="GA47" s="584">
        <f t="shared" si="55"/>
        <v>0</v>
      </c>
      <c r="GB47" s="584">
        <f t="shared" si="55"/>
        <v>0</v>
      </c>
      <c r="GC47" s="586">
        <f>CP47/C47</f>
        <v>1</v>
      </c>
      <c r="GD47" s="586"/>
      <c r="GE47" s="586">
        <f>CW47/J47</f>
        <v>1</v>
      </c>
      <c r="GF47" s="586"/>
      <c r="GG47" s="586"/>
    </row>
    <row r="48" spans="1:189" s="92" customFormat="1" ht="17.25" hidden="1" customHeight="1">
      <c r="A48" s="582"/>
      <c r="B48" s="583" t="s">
        <v>183</v>
      </c>
      <c r="C48" s="584">
        <f>D48+BE48+CI48</f>
        <v>0</v>
      </c>
      <c r="D48" s="584">
        <f>E48+J48</f>
        <v>0</v>
      </c>
      <c r="E48" s="584">
        <f>SUM(F48:I48)</f>
        <v>0</v>
      </c>
      <c r="F48" s="584"/>
      <c r="G48" s="584"/>
      <c r="H48" s="584"/>
      <c r="I48" s="584"/>
      <c r="J48" s="584">
        <f>SUM(K48:BD48)</f>
        <v>0</v>
      </c>
      <c r="K48" s="584"/>
      <c r="L48" s="584"/>
      <c r="M48" s="584"/>
      <c r="N48" s="584"/>
      <c r="O48" s="584"/>
      <c r="P48" s="584"/>
      <c r="Q48" s="584"/>
      <c r="R48" s="584"/>
      <c r="S48" s="584"/>
      <c r="T48" s="584"/>
      <c r="U48" s="584"/>
      <c r="V48" s="584"/>
      <c r="W48" s="584"/>
      <c r="X48" s="584"/>
      <c r="Y48" s="584"/>
      <c r="Z48" s="584"/>
      <c r="AA48" s="584"/>
      <c r="AB48" s="584"/>
      <c r="AC48" s="584"/>
      <c r="AD48" s="584"/>
      <c r="AE48" s="584"/>
      <c r="AF48" s="584"/>
      <c r="AG48" s="584"/>
      <c r="AH48" s="584"/>
      <c r="AI48" s="584"/>
      <c r="AJ48" s="584"/>
      <c r="AK48" s="584"/>
      <c r="AL48" s="584"/>
      <c r="AM48" s="584"/>
      <c r="AN48" s="584"/>
      <c r="AO48" s="584"/>
      <c r="AP48" s="584"/>
      <c r="AQ48" s="584"/>
      <c r="AR48" s="584"/>
      <c r="AS48" s="584"/>
      <c r="AT48" s="584"/>
      <c r="AU48" s="584"/>
      <c r="AV48" s="584"/>
      <c r="AW48" s="584"/>
      <c r="AX48" s="584"/>
      <c r="AY48" s="584"/>
      <c r="AZ48" s="584"/>
      <c r="BA48" s="584"/>
      <c r="BB48" s="584"/>
      <c r="BC48" s="584"/>
      <c r="BD48" s="584"/>
      <c r="BE48" s="584">
        <f>SUM(BF48:BG48)</f>
        <v>0</v>
      </c>
      <c r="BF48" s="584">
        <f>SUM(BH48:BI48)+BJ48+BM48+BW48+CE48</f>
        <v>0</v>
      </c>
      <c r="BG48" s="584">
        <f>BK48+SUM(BO48:BV48)+SUM(BX48:CD48)+SUM(CF48:CH48)</f>
        <v>0</v>
      </c>
      <c r="BH48" s="584"/>
      <c r="BI48" s="584"/>
      <c r="BJ48" s="584"/>
      <c r="BK48" s="584"/>
      <c r="BL48" s="584"/>
      <c r="BM48" s="584"/>
      <c r="BN48" s="584"/>
      <c r="BO48" s="584"/>
      <c r="BP48" s="584"/>
      <c r="BQ48" s="584"/>
      <c r="BR48" s="584"/>
      <c r="BS48" s="584"/>
      <c r="BT48" s="584"/>
      <c r="BU48" s="584"/>
      <c r="BV48" s="584"/>
      <c r="BW48" s="584"/>
      <c r="BX48" s="584"/>
      <c r="BY48" s="584"/>
      <c r="BZ48" s="584"/>
      <c r="CA48" s="584"/>
      <c r="CB48" s="584"/>
      <c r="CC48" s="584"/>
      <c r="CD48" s="584"/>
      <c r="CE48" s="584"/>
      <c r="CF48" s="584"/>
      <c r="CG48" s="584"/>
      <c r="CH48" s="584"/>
      <c r="CI48" s="584">
        <f>SUM(CJ48:CK48)</f>
        <v>0</v>
      </c>
      <c r="CJ48" s="584">
        <f>SUM(CL48:CL48)</f>
        <v>0</v>
      </c>
      <c r="CK48" s="584">
        <f>SUM(CM48:CN48)</f>
        <v>0</v>
      </c>
      <c r="CL48" s="584"/>
      <c r="CM48" s="584"/>
      <c r="CN48" s="584"/>
      <c r="CO48" s="583" t="s">
        <v>183</v>
      </c>
      <c r="CP48" s="584">
        <f>CQ48+ER48+FV48+GB48</f>
        <v>0</v>
      </c>
      <c r="CQ48" s="584">
        <f>CR48+CW48</f>
        <v>0</v>
      </c>
      <c r="CR48" s="584">
        <f>SUM(CS48:CV48)</f>
        <v>0</v>
      </c>
      <c r="CS48" s="584"/>
      <c r="CT48" s="584"/>
      <c r="CU48" s="584"/>
      <c r="CV48" s="584"/>
      <c r="CW48" s="584">
        <f>SUM(CX48:EQ48)</f>
        <v>0</v>
      </c>
      <c r="CX48" s="584"/>
      <c r="CY48" s="584"/>
      <c r="CZ48" s="584"/>
      <c r="DA48" s="584"/>
      <c r="DB48" s="584"/>
      <c r="DC48" s="584"/>
      <c r="DD48" s="584"/>
      <c r="DE48" s="584"/>
      <c r="DF48" s="584"/>
      <c r="DG48" s="584"/>
      <c r="DH48" s="584"/>
      <c r="DI48" s="584"/>
      <c r="DJ48" s="584"/>
      <c r="DK48" s="584"/>
      <c r="DL48" s="584"/>
      <c r="DM48" s="584"/>
      <c r="DN48" s="584"/>
      <c r="DO48" s="584"/>
      <c r="DP48" s="584"/>
      <c r="DQ48" s="584"/>
      <c r="DR48" s="584"/>
      <c r="DS48" s="584"/>
      <c r="DT48" s="584"/>
      <c r="DU48" s="584"/>
      <c r="DV48" s="584"/>
      <c r="DW48" s="584"/>
      <c r="DX48" s="584"/>
      <c r="DY48" s="584"/>
      <c r="DZ48" s="584"/>
      <c r="EA48" s="584"/>
      <c r="EB48" s="584"/>
      <c r="EC48" s="584"/>
      <c r="ED48" s="584"/>
      <c r="EE48" s="584"/>
      <c r="EF48" s="584"/>
      <c r="EG48" s="584"/>
      <c r="EH48" s="584"/>
      <c r="EI48" s="584"/>
      <c r="EJ48" s="584"/>
      <c r="EK48" s="584"/>
      <c r="EL48" s="584"/>
      <c r="EM48" s="584"/>
      <c r="EN48" s="584"/>
      <c r="EO48" s="584"/>
      <c r="EP48" s="584"/>
      <c r="EQ48" s="584"/>
      <c r="ER48" s="584">
        <f>SUM(ES48:ET48)</f>
        <v>0</v>
      </c>
      <c r="ES48" s="584">
        <f>SUM(EU48:EV48)+EW48+EZ48+FJ48+FR48</f>
        <v>0</v>
      </c>
      <c r="ET48" s="584">
        <f>EX48+SUM(FB48:FI48)+SUM(FK48:FQ48)+SUM(FS48:FU48)</f>
        <v>0</v>
      </c>
      <c r="EU48" s="584"/>
      <c r="EV48" s="584"/>
      <c r="EW48" s="584"/>
      <c r="EX48" s="584"/>
      <c r="EY48" s="584"/>
      <c r="EZ48" s="584"/>
      <c r="FA48" s="584"/>
      <c r="FB48" s="584"/>
      <c r="FC48" s="584"/>
      <c r="FD48" s="584"/>
      <c r="FE48" s="584"/>
      <c r="FF48" s="584"/>
      <c r="FG48" s="584"/>
      <c r="FH48" s="584"/>
      <c r="FI48" s="584"/>
      <c r="FJ48" s="584"/>
      <c r="FK48" s="584"/>
      <c r="FL48" s="584"/>
      <c r="FM48" s="584"/>
      <c r="FN48" s="584"/>
      <c r="FO48" s="584"/>
      <c r="FP48" s="584"/>
      <c r="FQ48" s="584"/>
      <c r="FR48" s="584"/>
      <c r="FS48" s="584"/>
      <c r="FT48" s="584"/>
      <c r="FU48" s="584"/>
      <c r="FV48" s="584">
        <f>SUM(FW48:FX48)</f>
        <v>0</v>
      </c>
      <c r="FW48" s="584">
        <f>SUM(FY48:FY48)</f>
        <v>0</v>
      </c>
      <c r="FX48" s="584">
        <f>SUM(FZ48:GA48)</f>
        <v>0</v>
      </c>
      <c r="FY48" s="584"/>
      <c r="FZ48" s="584"/>
      <c r="GA48" s="584"/>
      <c r="GB48" s="584"/>
      <c r="GC48" s="586"/>
      <c r="GD48" s="586"/>
      <c r="GE48" s="586"/>
      <c r="GF48" s="586"/>
      <c r="GG48" s="586"/>
    </row>
    <row r="49" spans="1:189" s="92" customFormat="1" ht="17.25" hidden="1" customHeight="1">
      <c r="A49" s="582"/>
      <c r="B49" s="583" t="s">
        <v>184</v>
      </c>
      <c r="C49" s="584">
        <f>D49+BE49+CI49</f>
        <v>7643120777</v>
      </c>
      <c r="D49" s="584">
        <f>E49+J49</f>
        <v>7643120777</v>
      </c>
      <c r="E49" s="584">
        <f>SUM(F49:I49)</f>
        <v>0</v>
      </c>
      <c r="F49" s="584"/>
      <c r="G49" s="584"/>
      <c r="H49" s="584"/>
      <c r="I49" s="584"/>
      <c r="J49" s="584">
        <f>SUM(K49:BD49)</f>
        <v>7643120777</v>
      </c>
      <c r="K49" s="584"/>
      <c r="L49" s="584"/>
      <c r="M49" s="584"/>
      <c r="N49" s="584"/>
      <c r="O49" s="584"/>
      <c r="P49" s="584"/>
      <c r="Q49" s="584"/>
      <c r="R49" s="584"/>
      <c r="S49" s="584"/>
      <c r="T49" s="584"/>
      <c r="U49" s="584"/>
      <c r="V49" s="584"/>
      <c r="W49" s="584"/>
      <c r="X49" s="584"/>
      <c r="Y49" s="584"/>
      <c r="Z49" s="584">
        <v>18400000</v>
      </c>
      <c r="AA49" s="584"/>
      <c r="AB49" s="584"/>
      <c r="AC49" s="584"/>
      <c r="AD49" s="584"/>
      <c r="AE49" s="584"/>
      <c r="AF49" s="584"/>
      <c r="AG49" s="584"/>
      <c r="AH49" s="584"/>
      <c r="AI49" s="584"/>
      <c r="AJ49" s="584"/>
      <c r="AK49" s="584"/>
      <c r="AL49" s="584"/>
      <c r="AM49" s="584"/>
      <c r="AN49" s="584"/>
      <c r="AO49" s="584"/>
      <c r="AP49" s="584"/>
      <c r="AQ49" s="584"/>
      <c r="AR49" s="584"/>
      <c r="AS49" s="584">
        <v>920222000</v>
      </c>
      <c r="AT49" s="584"/>
      <c r="AU49" s="584"/>
      <c r="AV49" s="584"/>
      <c r="AW49" s="584"/>
      <c r="AX49" s="584">
        <v>1318740824</v>
      </c>
      <c r="AY49" s="584"/>
      <c r="AZ49" s="584">
        <v>4420850000</v>
      </c>
      <c r="BA49" s="584">
        <v>964907953</v>
      </c>
      <c r="BB49" s="584"/>
      <c r="BC49" s="584"/>
      <c r="BD49" s="584"/>
      <c r="BE49" s="584">
        <f>SUM(BF49:BG49)</f>
        <v>0</v>
      </c>
      <c r="BF49" s="584">
        <f>SUM(BH49:BI49)+BJ49+BM49+BW49+CE49</f>
        <v>0</v>
      </c>
      <c r="BG49" s="584">
        <f>BK49+SUM(BO49:BV49)+SUM(BX49:CD49)+SUM(CF49:CH49)</f>
        <v>0</v>
      </c>
      <c r="BH49" s="584"/>
      <c r="BI49" s="584"/>
      <c r="BJ49" s="584"/>
      <c r="BK49" s="584"/>
      <c r="BL49" s="584"/>
      <c r="BM49" s="584"/>
      <c r="BN49" s="584"/>
      <c r="BO49" s="584"/>
      <c r="BP49" s="584"/>
      <c r="BQ49" s="584"/>
      <c r="BR49" s="584"/>
      <c r="BS49" s="584"/>
      <c r="BT49" s="584"/>
      <c r="BU49" s="584"/>
      <c r="BV49" s="584"/>
      <c r="BW49" s="584"/>
      <c r="BX49" s="584"/>
      <c r="BY49" s="584"/>
      <c r="BZ49" s="584"/>
      <c r="CA49" s="584"/>
      <c r="CB49" s="584"/>
      <c r="CC49" s="584"/>
      <c r="CD49" s="584"/>
      <c r="CE49" s="584"/>
      <c r="CF49" s="584"/>
      <c r="CG49" s="584"/>
      <c r="CH49" s="584"/>
      <c r="CI49" s="584">
        <f>SUM(CJ49:CK49)</f>
        <v>0</v>
      </c>
      <c r="CJ49" s="584">
        <f>SUM(CL49:CL49)</f>
        <v>0</v>
      </c>
      <c r="CK49" s="584">
        <f>SUM(CM49:CN49)</f>
        <v>0</v>
      </c>
      <c r="CL49" s="584"/>
      <c r="CM49" s="584"/>
      <c r="CN49" s="584"/>
      <c r="CO49" s="583" t="s">
        <v>184</v>
      </c>
      <c r="CP49" s="584">
        <f>CQ49+ER49+FV49+GB49</f>
        <v>7643120777</v>
      </c>
      <c r="CQ49" s="584">
        <f>CR49+CW49</f>
        <v>7643120777</v>
      </c>
      <c r="CR49" s="584">
        <f>SUM(CS49:CV49)</f>
        <v>0</v>
      </c>
      <c r="CS49" s="584"/>
      <c r="CT49" s="584"/>
      <c r="CU49" s="584"/>
      <c r="CV49" s="584"/>
      <c r="CW49" s="584">
        <f>SUM(CX49:EQ49)</f>
        <v>7643120777</v>
      </c>
      <c r="CX49" s="584"/>
      <c r="CY49" s="584"/>
      <c r="CZ49" s="584"/>
      <c r="DA49" s="584"/>
      <c r="DB49" s="584"/>
      <c r="DC49" s="584"/>
      <c r="DD49" s="584"/>
      <c r="DE49" s="584"/>
      <c r="DF49" s="584"/>
      <c r="DG49" s="584"/>
      <c r="DH49" s="584"/>
      <c r="DI49" s="584"/>
      <c r="DJ49" s="584"/>
      <c r="DK49" s="584"/>
      <c r="DL49" s="584"/>
      <c r="DM49" s="584">
        <v>18400000</v>
      </c>
      <c r="DN49" s="584"/>
      <c r="DO49" s="584"/>
      <c r="DP49" s="584"/>
      <c r="DQ49" s="584"/>
      <c r="DR49" s="584"/>
      <c r="DS49" s="584"/>
      <c r="DT49" s="584"/>
      <c r="DU49" s="584"/>
      <c r="DV49" s="584"/>
      <c r="DW49" s="584"/>
      <c r="DX49" s="584"/>
      <c r="DY49" s="584"/>
      <c r="DZ49" s="584"/>
      <c r="EA49" s="584"/>
      <c r="EB49" s="584"/>
      <c r="EC49" s="584"/>
      <c r="ED49" s="584"/>
      <c r="EE49" s="584"/>
      <c r="EF49" s="584">
        <v>920222000</v>
      </c>
      <c r="EG49" s="584"/>
      <c r="EH49" s="584"/>
      <c r="EI49" s="584"/>
      <c r="EJ49" s="584"/>
      <c r="EK49" s="584">
        <v>1318740824</v>
      </c>
      <c r="EL49" s="584"/>
      <c r="EM49" s="584">
        <v>4420850000</v>
      </c>
      <c r="EN49" s="584">
        <v>964907953</v>
      </c>
      <c r="EO49" s="584"/>
      <c r="EP49" s="584"/>
      <c r="EQ49" s="584"/>
      <c r="ER49" s="584">
        <f>SUM(ES49:ET49)</f>
        <v>0</v>
      </c>
      <c r="ES49" s="584">
        <f>SUM(EU49:EV49)+EW49+EZ49+FJ49+FR49</f>
        <v>0</v>
      </c>
      <c r="ET49" s="584">
        <f>EX49+SUM(FB49:FI49)+SUM(FK49:FQ49)+SUM(FS49:FU49)</f>
        <v>0</v>
      </c>
      <c r="EU49" s="584"/>
      <c r="EV49" s="584"/>
      <c r="EW49" s="584"/>
      <c r="EX49" s="584"/>
      <c r="EY49" s="584"/>
      <c r="EZ49" s="584"/>
      <c r="FA49" s="584"/>
      <c r="FB49" s="584"/>
      <c r="FC49" s="584"/>
      <c r="FD49" s="584"/>
      <c r="FE49" s="584"/>
      <c r="FF49" s="584"/>
      <c r="FG49" s="584"/>
      <c r="FH49" s="584"/>
      <c r="FI49" s="584"/>
      <c r="FJ49" s="584"/>
      <c r="FK49" s="584"/>
      <c r="FL49" s="584"/>
      <c r="FM49" s="584"/>
      <c r="FN49" s="584"/>
      <c r="FO49" s="584"/>
      <c r="FP49" s="584"/>
      <c r="FQ49" s="584"/>
      <c r="FR49" s="584"/>
      <c r="FS49" s="584"/>
      <c r="FT49" s="584"/>
      <c r="FU49" s="584"/>
      <c r="FV49" s="584">
        <f>SUM(FW49:FX49)</f>
        <v>0</v>
      </c>
      <c r="FW49" s="584">
        <f>SUM(FY49:FY49)</f>
        <v>0</v>
      </c>
      <c r="FX49" s="584">
        <f>SUM(FZ49:GA49)</f>
        <v>0</v>
      </c>
      <c r="FY49" s="584"/>
      <c r="FZ49" s="584"/>
      <c r="GA49" s="584"/>
      <c r="GB49" s="584"/>
      <c r="GC49" s="586">
        <f>CP49/C49</f>
        <v>1</v>
      </c>
      <c r="GD49" s="586"/>
      <c r="GE49" s="586">
        <f>CW49/J49</f>
        <v>1</v>
      </c>
      <c r="GF49" s="586"/>
      <c r="GG49" s="586"/>
    </row>
    <row r="50" spans="1:189" s="92" customFormat="1" ht="17.25" customHeight="1">
      <c r="A50" s="582">
        <v>13</v>
      </c>
      <c r="B50" s="583" t="s">
        <v>191</v>
      </c>
      <c r="C50" s="584">
        <f t="shared" ref="C50:AU50" si="56">C51+C52</f>
        <v>1931085000</v>
      </c>
      <c r="D50" s="584">
        <f t="shared" si="56"/>
        <v>1931085000</v>
      </c>
      <c r="E50" s="584">
        <f t="shared" si="56"/>
        <v>0</v>
      </c>
      <c r="F50" s="584">
        <f t="shared" si="56"/>
        <v>0</v>
      </c>
      <c r="G50" s="584">
        <f t="shared" si="56"/>
        <v>0</v>
      </c>
      <c r="H50" s="584">
        <f t="shared" si="56"/>
        <v>0</v>
      </c>
      <c r="I50" s="584">
        <f t="shared" si="56"/>
        <v>0</v>
      </c>
      <c r="J50" s="584">
        <f t="shared" si="56"/>
        <v>1931085000</v>
      </c>
      <c r="K50" s="584">
        <f t="shared" si="56"/>
        <v>0</v>
      </c>
      <c r="L50" s="584">
        <f t="shared" si="56"/>
        <v>0</v>
      </c>
      <c r="M50" s="584">
        <f t="shared" si="56"/>
        <v>0</v>
      </c>
      <c r="N50" s="584">
        <f t="shared" si="56"/>
        <v>0</v>
      </c>
      <c r="O50" s="584">
        <f t="shared" si="56"/>
        <v>0</v>
      </c>
      <c r="P50" s="584">
        <f t="shared" si="56"/>
        <v>0</v>
      </c>
      <c r="Q50" s="584">
        <f t="shared" si="56"/>
        <v>0</v>
      </c>
      <c r="R50" s="584">
        <f t="shared" si="56"/>
        <v>0</v>
      </c>
      <c r="S50" s="584">
        <f t="shared" si="56"/>
        <v>0</v>
      </c>
      <c r="T50" s="584">
        <f t="shared" si="56"/>
        <v>0</v>
      </c>
      <c r="U50" s="584">
        <f t="shared" si="56"/>
        <v>0</v>
      </c>
      <c r="V50" s="584">
        <f t="shared" si="56"/>
        <v>0</v>
      </c>
      <c r="W50" s="584">
        <f t="shared" si="56"/>
        <v>0</v>
      </c>
      <c r="X50" s="584">
        <f t="shared" si="56"/>
        <v>0</v>
      </c>
      <c r="Y50" s="584">
        <f t="shared" si="56"/>
        <v>0</v>
      </c>
      <c r="Z50" s="584">
        <f t="shared" si="56"/>
        <v>0</v>
      </c>
      <c r="AA50" s="584">
        <f t="shared" si="56"/>
        <v>0</v>
      </c>
      <c r="AB50" s="584">
        <f t="shared" si="56"/>
        <v>0</v>
      </c>
      <c r="AC50" s="584">
        <f t="shared" si="56"/>
        <v>0</v>
      </c>
      <c r="AD50" s="584">
        <f t="shared" si="56"/>
        <v>0</v>
      </c>
      <c r="AE50" s="584">
        <f t="shared" si="56"/>
        <v>0</v>
      </c>
      <c r="AF50" s="584">
        <f t="shared" si="56"/>
        <v>0</v>
      </c>
      <c r="AG50" s="584">
        <f t="shared" si="56"/>
        <v>0</v>
      </c>
      <c r="AH50" s="584">
        <f t="shared" si="56"/>
        <v>0</v>
      </c>
      <c r="AI50" s="584">
        <f t="shared" si="56"/>
        <v>0</v>
      </c>
      <c r="AJ50" s="584">
        <f t="shared" si="56"/>
        <v>0</v>
      </c>
      <c r="AK50" s="584">
        <f t="shared" si="56"/>
        <v>0</v>
      </c>
      <c r="AL50" s="584">
        <f t="shared" si="56"/>
        <v>0</v>
      </c>
      <c r="AM50" s="584">
        <f t="shared" si="56"/>
        <v>0</v>
      </c>
      <c r="AN50" s="584">
        <f t="shared" si="56"/>
        <v>0</v>
      </c>
      <c r="AO50" s="584">
        <f t="shared" si="56"/>
        <v>0</v>
      </c>
      <c r="AP50" s="584">
        <f t="shared" si="56"/>
        <v>0</v>
      </c>
      <c r="AQ50" s="584">
        <f t="shared" si="56"/>
        <v>0</v>
      </c>
      <c r="AR50" s="584">
        <f t="shared" si="56"/>
        <v>0</v>
      </c>
      <c r="AS50" s="584">
        <f t="shared" si="56"/>
        <v>0</v>
      </c>
      <c r="AT50" s="584">
        <f t="shared" si="56"/>
        <v>0</v>
      </c>
      <c r="AU50" s="584">
        <f t="shared" si="56"/>
        <v>0</v>
      </c>
      <c r="AV50" s="584">
        <f>AV51+AV52</f>
        <v>0</v>
      </c>
      <c r="AW50" s="584">
        <f>AW51+AW52</f>
        <v>0</v>
      </c>
      <c r="AX50" s="584">
        <f t="shared" ref="AX50:CN50" si="57">AX51+AX52</f>
        <v>0</v>
      </c>
      <c r="AY50" s="584">
        <f t="shared" si="57"/>
        <v>0</v>
      </c>
      <c r="AZ50" s="584">
        <f t="shared" si="57"/>
        <v>0</v>
      </c>
      <c r="BA50" s="584">
        <f t="shared" si="57"/>
        <v>1931085000</v>
      </c>
      <c r="BB50" s="584">
        <f t="shared" si="57"/>
        <v>0</v>
      </c>
      <c r="BC50" s="584">
        <f t="shared" si="57"/>
        <v>0</v>
      </c>
      <c r="BD50" s="584">
        <f t="shared" si="57"/>
        <v>0</v>
      </c>
      <c r="BE50" s="584">
        <f t="shared" si="57"/>
        <v>0</v>
      </c>
      <c r="BF50" s="584">
        <f t="shared" si="57"/>
        <v>0</v>
      </c>
      <c r="BG50" s="584">
        <f t="shared" si="57"/>
        <v>0</v>
      </c>
      <c r="BH50" s="584">
        <f t="shared" si="57"/>
        <v>0</v>
      </c>
      <c r="BI50" s="584">
        <f t="shared" si="57"/>
        <v>0</v>
      </c>
      <c r="BJ50" s="584">
        <f t="shared" si="57"/>
        <v>0</v>
      </c>
      <c r="BK50" s="584">
        <f t="shared" si="57"/>
        <v>0</v>
      </c>
      <c r="BL50" s="584">
        <f>BL51+BL52</f>
        <v>0</v>
      </c>
      <c r="BM50" s="584">
        <f>BM51+BM52</f>
        <v>0</v>
      </c>
      <c r="BN50" s="584">
        <f t="shared" si="57"/>
        <v>0</v>
      </c>
      <c r="BO50" s="584">
        <f t="shared" si="57"/>
        <v>0</v>
      </c>
      <c r="BP50" s="584">
        <f t="shared" si="57"/>
        <v>0</v>
      </c>
      <c r="BQ50" s="584">
        <f t="shared" si="57"/>
        <v>0</v>
      </c>
      <c r="BR50" s="584">
        <f t="shared" si="57"/>
        <v>0</v>
      </c>
      <c r="BS50" s="584">
        <f t="shared" si="57"/>
        <v>0</v>
      </c>
      <c r="BT50" s="584">
        <f t="shared" si="57"/>
        <v>0</v>
      </c>
      <c r="BU50" s="584">
        <f t="shared" si="57"/>
        <v>0</v>
      </c>
      <c r="BV50" s="584">
        <f t="shared" si="57"/>
        <v>0</v>
      </c>
      <c r="BW50" s="584">
        <f t="shared" si="57"/>
        <v>0</v>
      </c>
      <c r="BX50" s="584">
        <f t="shared" si="57"/>
        <v>0</v>
      </c>
      <c r="BY50" s="584">
        <f t="shared" si="57"/>
        <v>0</v>
      </c>
      <c r="BZ50" s="584">
        <f t="shared" si="57"/>
        <v>0</v>
      </c>
      <c r="CA50" s="584">
        <f t="shared" si="57"/>
        <v>0</v>
      </c>
      <c r="CB50" s="584">
        <f t="shared" si="57"/>
        <v>0</v>
      </c>
      <c r="CC50" s="584">
        <f t="shared" si="57"/>
        <v>0</v>
      </c>
      <c r="CD50" s="584">
        <f t="shared" si="57"/>
        <v>0</v>
      </c>
      <c r="CE50" s="584">
        <f t="shared" si="57"/>
        <v>0</v>
      </c>
      <c r="CF50" s="584">
        <f t="shared" si="57"/>
        <v>0</v>
      </c>
      <c r="CG50" s="584">
        <f t="shared" si="57"/>
        <v>0</v>
      </c>
      <c r="CH50" s="584">
        <f t="shared" si="57"/>
        <v>0</v>
      </c>
      <c r="CI50" s="584">
        <f t="shared" si="57"/>
        <v>0</v>
      </c>
      <c r="CJ50" s="584">
        <f t="shared" si="57"/>
        <v>0</v>
      </c>
      <c r="CK50" s="584">
        <f t="shared" si="57"/>
        <v>0</v>
      </c>
      <c r="CL50" s="584">
        <f t="shared" si="57"/>
        <v>0</v>
      </c>
      <c r="CM50" s="584">
        <f t="shared" si="57"/>
        <v>0</v>
      </c>
      <c r="CN50" s="584">
        <f t="shared" si="57"/>
        <v>0</v>
      </c>
      <c r="CO50" s="583" t="s">
        <v>191</v>
      </c>
      <c r="CP50" s="584">
        <f t="shared" ref="CP50:FA50" si="58">CP51+CP52</f>
        <v>1931085000</v>
      </c>
      <c r="CQ50" s="584">
        <f t="shared" si="58"/>
        <v>1931085000</v>
      </c>
      <c r="CR50" s="584">
        <f t="shared" si="58"/>
        <v>0</v>
      </c>
      <c r="CS50" s="584">
        <f t="shared" si="58"/>
        <v>0</v>
      </c>
      <c r="CT50" s="584">
        <f t="shared" si="58"/>
        <v>0</v>
      </c>
      <c r="CU50" s="584">
        <f t="shared" si="58"/>
        <v>0</v>
      </c>
      <c r="CV50" s="584">
        <f t="shared" si="58"/>
        <v>0</v>
      </c>
      <c r="CW50" s="584">
        <f t="shared" si="58"/>
        <v>1931085000</v>
      </c>
      <c r="CX50" s="584">
        <f t="shared" si="58"/>
        <v>0</v>
      </c>
      <c r="CY50" s="584">
        <f t="shared" si="58"/>
        <v>0</v>
      </c>
      <c r="CZ50" s="584">
        <f t="shared" si="58"/>
        <v>0</v>
      </c>
      <c r="DA50" s="584">
        <f t="shared" si="58"/>
        <v>0</v>
      </c>
      <c r="DB50" s="584">
        <f t="shared" si="58"/>
        <v>0</v>
      </c>
      <c r="DC50" s="584">
        <f t="shared" si="58"/>
        <v>0</v>
      </c>
      <c r="DD50" s="584">
        <f t="shared" si="58"/>
        <v>0</v>
      </c>
      <c r="DE50" s="584">
        <f t="shared" si="58"/>
        <v>0</v>
      </c>
      <c r="DF50" s="584">
        <f t="shared" si="58"/>
        <v>0</v>
      </c>
      <c r="DG50" s="584">
        <f t="shared" si="58"/>
        <v>0</v>
      </c>
      <c r="DH50" s="584">
        <f t="shared" si="58"/>
        <v>0</v>
      </c>
      <c r="DI50" s="584">
        <f t="shared" si="58"/>
        <v>0</v>
      </c>
      <c r="DJ50" s="584">
        <f t="shared" si="58"/>
        <v>0</v>
      </c>
      <c r="DK50" s="584">
        <f t="shared" si="58"/>
        <v>0</v>
      </c>
      <c r="DL50" s="584">
        <f t="shared" si="58"/>
        <v>0</v>
      </c>
      <c r="DM50" s="584">
        <f>DM51+DM52</f>
        <v>0</v>
      </c>
      <c r="DN50" s="584">
        <f t="shared" si="58"/>
        <v>0</v>
      </c>
      <c r="DO50" s="584">
        <f t="shared" si="58"/>
        <v>0</v>
      </c>
      <c r="DP50" s="584">
        <f t="shared" si="58"/>
        <v>0</v>
      </c>
      <c r="DQ50" s="584">
        <f t="shared" si="58"/>
        <v>0</v>
      </c>
      <c r="DR50" s="584">
        <f t="shared" si="58"/>
        <v>0</v>
      </c>
      <c r="DS50" s="584">
        <f t="shared" si="58"/>
        <v>0</v>
      </c>
      <c r="DT50" s="584">
        <f t="shared" si="58"/>
        <v>0</v>
      </c>
      <c r="DU50" s="584">
        <f t="shared" si="58"/>
        <v>0</v>
      </c>
      <c r="DV50" s="584">
        <f t="shared" si="58"/>
        <v>0</v>
      </c>
      <c r="DW50" s="584">
        <f t="shared" si="58"/>
        <v>0</v>
      </c>
      <c r="DX50" s="584">
        <f t="shared" si="58"/>
        <v>0</v>
      </c>
      <c r="DY50" s="584">
        <f t="shared" si="58"/>
        <v>0</v>
      </c>
      <c r="DZ50" s="584">
        <f t="shared" si="58"/>
        <v>0</v>
      </c>
      <c r="EA50" s="584">
        <f t="shared" si="58"/>
        <v>0</v>
      </c>
      <c r="EB50" s="584">
        <f t="shared" si="58"/>
        <v>0</v>
      </c>
      <c r="EC50" s="584">
        <f t="shared" si="58"/>
        <v>0</v>
      </c>
      <c r="ED50" s="584">
        <f t="shared" si="58"/>
        <v>0</v>
      </c>
      <c r="EE50" s="584">
        <f t="shared" si="58"/>
        <v>0</v>
      </c>
      <c r="EF50" s="584">
        <f t="shared" si="58"/>
        <v>0</v>
      </c>
      <c r="EG50" s="584">
        <f t="shared" si="58"/>
        <v>0</v>
      </c>
      <c r="EH50" s="584">
        <f t="shared" si="58"/>
        <v>0</v>
      </c>
      <c r="EI50" s="584">
        <f>EI51+EI52</f>
        <v>0</v>
      </c>
      <c r="EJ50" s="584">
        <f>EJ51+EJ52</f>
        <v>0</v>
      </c>
      <c r="EK50" s="584">
        <f t="shared" si="58"/>
        <v>0</v>
      </c>
      <c r="EL50" s="584">
        <f t="shared" si="58"/>
        <v>0</v>
      </c>
      <c r="EM50" s="584">
        <f t="shared" si="58"/>
        <v>0</v>
      </c>
      <c r="EN50" s="584">
        <f t="shared" si="58"/>
        <v>1931085000</v>
      </c>
      <c r="EO50" s="584">
        <f t="shared" si="58"/>
        <v>0</v>
      </c>
      <c r="EP50" s="584">
        <f t="shared" si="58"/>
        <v>0</v>
      </c>
      <c r="EQ50" s="584">
        <f t="shared" si="58"/>
        <v>0</v>
      </c>
      <c r="ER50" s="584">
        <f t="shared" si="58"/>
        <v>0</v>
      </c>
      <c r="ES50" s="584">
        <f t="shared" si="58"/>
        <v>0</v>
      </c>
      <c r="ET50" s="584">
        <f t="shared" si="58"/>
        <v>0</v>
      </c>
      <c r="EU50" s="584">
        <f t="shared" si="58"/>
        <v>0</v>
      </c>
      <c r="EV50" s="584">
        <f t="shared" si="58"/>
        <v>0</v>
      </c>
      <c r="EW50" s="584">
        <f t="shared" si="58"/>
        <v>0</v>
      </c>
      <c r="EX50" s="584">
        <f t="shared" si="58"/>
        <v>0</v>
      </c>
      <c r="EY50" s="584">
        <f>EY51+EY52</f>
        <v>0</v>
      </c>
      <c r="EZ50" s="584">
        <f>EZ51+EZ52</f>
        <v>0</v>
      </c>
      <c r="FA50" s="584">
        <f t="shared" si="58"/>
        <v>0</v>
      </c>
      <c r="FB50" s="584">
        <f t="shared" ref="FB50:GB50" si="59">FB51+FB52</f>
        <v>0</v>
      </c>
      <c r="FC50" s="584">
        <f t="shared" si="59"/>
        <v>0</v>
      </c>
      <c r="FD50" s="584">
        <f t="shared" si="59"/>
        <v>0</v>
      </c>
      <c r="FE50" s="584">
        <f t="shared" si="59"/>
        <v>0</v>
      </c>
      <c r="FF50" s="584">
        <f t="shared" si="59"/>
        <v>0</v>
      </c>
      <c r="FG50" s="584">
        <f t="shared" si="59"/>
        <v>0</v>
      </c>
      <c r="FH50" s="584">
        <f t="shared" si="59"/>
        <v>0</v>
      </c>
      <c r="FI50" s="584">
        <f t="shared" si="59"/>
        <v>0</v>
      </c>
      <c r="FJ50" s="584">
        <f t="shared" si="59"/>
        <v>0</v>
      </c>
      <c r="FK50" s="584">
        <f t="shared" si="59"/>
        <v>0</v>
      </c>
      <c r="FL50" s="584">
        <f t="shared" si="59"/>
        <v>0</v>
      </c>
      <c r="FM50" s="584">
        <f t="shared" si="59"/>
        <v>0</v>
      </c>
      <c r="FN50" s="584">
        <f t="shared" si="59"/>
        <v>0</v>
      </c>
      <c r="FO50" s="584">
        <f t="shared" si="59"/>
        <v>0</v>
      </c>
      <c r="FP50" s="584">
        <f t="shared" si="59"/>
        <v>0</v>
      </c>
      <c r="FQ50" s="584">
        <f t="shared" si="59"/>
        <v>0</v>
      </c>
      <c r="FR50" s="584">
        <f t="shared" si="59"/>
        <v>0</v>
      </c>
      <c r="FS50" s="584">
        <f t="shared" si="59"/>
        <v>0</v>
      </c>
      <c r="FT50" s="584">
        <f t="shared" si="59"/>
        <v>0</v>
      </c>
      <c r="FU50" s="584">
        <f t="shared" si="59"/>
        <v>0</v>
      </c>
      <c r="FV50" s="584">
        <f t="shared" si="59"/>
        <v>0</v>
      </c>
      <c r="FW50" s="584">
        <f t="shared" si="59"/>
        <v>0</v>
      </c>
      <c r="FX50" s="584">
        <f t="shared" si="59"/>
        <v>0</v>
      </c>
      <c r="FY50" s="584">
        <f t="shared" si="59"/>
        <v>0</v>
      </c>
      <c r="FZ50" s="584">
        <f t="shared" si="59"/>
        <v>0</v>
      </c>
      <c r="GA50" s="584">
        <f t="shared" si="59"/>
        <v>0</v>
      </c>
      <c r="GB50" s="584">
        <f t="shared" si="59"/>
        <v>0</v>
      </c>
      <c r="GC50" s="586">
        <f>CP50/C50</f>
        <v>1</v>
      </c>
      <c r="GD50" s="586"/>
      <c r="GE50" s="586">
        <f>CW50/J50</f>
        <v>1</v>
      </c>
      <c r="GF50" s="586"/>
      <c r="GG50" s="586"/>
    </row>
    <row r="51" spans="1:189" s="92" customFormat="1" ht="17.25" hidden="1" customHeight="1">
      <c r="A51" s="582"/>
      <c r="B51" s="583" t="s">
        <v>183</v>
      </c>
      <c r="C51" s="584">
        <f>D51+BE51+CI51</f>
        <v>0</v>
      </c>
      <c r="D51" s="584">
        <f>E51+J51</f>
        <v>0</v>
      </c>
      <c r="E51" s="584">
        <f>SUM(F51:I51)</f>
        <v>0</v>
      </c>
      <c r="F51" s="584"/>
      <c r="G51" s="584"/>
      <c r="H51" s="584"/>
      <c r="I51" s="584"/>
      <c r="J51" s="584">
        <f>SUM(K51:BD51)</f>
        <v>0</v>
      </c>
      <c r="K51" s="584"/>
      <c r="L51" s="584"/>
      <c r="M51" s="584"/>
      <c r="N51" s="584"/>
      <c r="O51" s="584"/>
      <c r="P51" s="584"/>
      <c r="Q51" s="584"/>
      <c r="R51" s="584"/>
      <c r="S51" s="584"/>
      <c r="T51" s="584"/>
      <c r="U51" s="584"/>
      <c r="V51" s="584"/>
      <c r="W51" s="584"/>
      <c r="X51" s="584"/>
      <c r="Y51" s="584"/>
      <c r="Z51" s="584"/>
      <c r="AA51" s="584"/>
      <c r="AB51" s="584"/>
      <c r="AC51" s="584"/>
      <c r="AD51" s="584"/>
      <c r="AE51" s="584"/>
      <c r="AF51" s="584"/>
      <c r="AG51" s="584"/>
      <c r="AH51" s="584"/>
      <c r="AI51" s="584"/>
      <c r="AJ51" s="584"/>
      <c r="AK51" s="584"/>
      <c r="AL51" s="584"/>
      <c r="AM51" s="584"/>
      <c r="AN51" s="584"/>
      <c r="AO51" s="584"/>
      <c r="AP51" s="584"/>
      <c r="AQ51" s="584"/>
      <c r="AR51" s="584"/>
      <c r="AS51" s="584"/>
      <c r="AT51" s="584"/>
      <c r="AU51" s="584"/>
      <c r="AV51" s="584"/>
      <c r="AW51" s="584"/>
      <c r="AX51" s="584"/>
      <c r="AY51" s="584"/>
      <c r="AZ51" s="584"/>
      <c r="BA51" s="584"/>
      <c r="BB51" s="584"/>
      <c r="BC51" s="584"/>
      <c r="BD51" s="584"/>
      <c r="BE51" s="584">
        <f>SUM(BF51:BG51)</f>
        <v>0</v>
      </c>
      <c r="BF51" s="584">
        <f>SUM(BH51:BI51)+BJ51+BM51+BW51+CE51</f>
        <v>0</v>
      </c>
      <c r="BG51" s="584">
        <f>BK51+SUM(BO51:BV51)+SUM(BX51:CD51)+SUM(CF51:CH51)</f>
        <v>0</v>
      </c>
      <c r="BH51" s="584"/>
      <c r="BI51" s="584"/>
      <c r="BJ51" s="584"/>
      <c r="BK51" s="584"/>
      <c r="BL51" s="584"/>
      <c r="BM51" s="584"/>
      <c r="BN51" s="584"/>
      <c r="BO51" s="584"/>
      <c r="BP51" s="584"/>
      <c r="BQ51" s="584"/>
      <c r="BR51" s="584"/>
      <c r="BS51" s="584"/>
      <c r="BT51" s="584"/>
      <c r="BU51" s="584"/>
      <c r="BV51" s="584"/>
      <c r="BW51" s="584"/>
      <c r="BX51" s="584"/>
      <c r="BY51" s="584"/>
      <c r="BZ51" s="584"/>
      <c r="CA51" s="584"/>
      <c r="CB51" s="584"/>
      <c r="CC51" s="584"/>
      <c r="CD51" s="584"/>
      <c r="CE51" s="584"/>
      <c r="CF51" s="584"/>
      <c r="CG51" s="584"/>
      <c r="CH51" s="584"/>
      <c r="CI51" s="584">
        <f>SUM(CJ51:CK51)</f>
        <v>0</v>
      </c>
      <c r="CJ51" s="584">
        <f>SUM(CL51:CL51)</f>
        <v>0</v>
      </c>
      <c r="CK51" s="584">
        <f>SUM(CM51:CN51)</f>
        <v>0</v>
      </c>
      <c r="CL51" s="584"/>
      <c r="CM51" s="584"/>
      <c r="CN51" s="584"/>
      <c r="CO51" s="583" t="s">
        <v>183</v>
      </c>
      <c r="CP51" s="584">
        <f>CQ51+ER51+FV51+GB51</f>
        <v>0</v>
      </c>
      <c r="CQ51" s="584">
        <f>CR51+CW51</f>
        <v>0</v>
      </c>
      <c r="CR51" s="584">
        <f>SUM(CS51:CV51)</f>
        <v>0</v>
      </c>
      <c r="CS51" s="584"/>
      <c r="CT51" s="584"/>
      <c r="CU51" s="584"/>
      <c r="CV51" s="584"/>
      <c r="CW51" s="584">
        <f>SUM(CX51:EQ51)</f>
        <v>0</v>
      </c>
      <c r="CX51" s="584"/>
      <c r="CY51" s="584"/>
      <c r="CZ51" s="584"/>
      <c r="DA51" s="584"/>
      <c r="DB51" s="584"/>
      <c r="DC51" s="584"/>
      <c r="DD51" s="584"/>
      <c r="DE51" s="584"/>
      <c r="DF51" s="584"/>
      <c r="DG51" s="584"/>
      <c r="DH51" s="584"/>
      <c r="DI51" s="584"/>
      <c r="DJ51" s="584"/>
      <c r="DK51" s="584"/>
      <c r="DL51" s="584"/>
      <c r="DM51" s="584"/>
      <c r="DN51" s="584"/>
      <c r="DO51" s="584"/>
      <c r="DP51" s="584"/>
      <c r="DQ51" s="584"/>
      <c r="DR51" s="584"/>
      <c r="DS51" s="584"/>
      <c r="DT51" s="584"/>
      <c r="DU51" s="584"/>
      <c r="DV51" s="584"/>
      <c r="DW51" s="584"/>
      <c r="DX51" s="584"/>
      <c r="DY51" s="584"/>
      <c r="DZ51" s="584"/>
      <c r="EA51" s="584"/>
      <c r="EB51" s="584"/>
      <c r="EC51" s="584"/>
      <c r="ED51" s="584"/>
      <c r="EE51" s="584"/>
      <c r="EF51" s="584"/>
      <c r="EG51" s="584"/>
      <c r="EH51" s="584"/>
      <c r="EI51" s="584"/>
      <c r="EJ51" s="584"/>
      <c r="EK51" s="584"/>
      <c r="EL51" s="584"/>
      <c r="EM51" s="584"/>
      <c r="EN51" s="584"/>
      <c r="EO51" s="584"/>
      <c r="EP51" s="584"/>
      <c r="EQ51" s="584"/>
      <c r="ER51" s="584">
        <f>SUM(ES51:ET51)</f>
        <v>0</v>
      </c>
      <c r="ES51" s="584">
        <f>SUM(EU51:EV51)+EW51+EZ51+FJ51+FR51</f>
        <v>0</v>
      </c>
      <c r="ET51" s="584">
        <f>EX51+SUM(FB51:FI51)+SUM(FK51:FQ51)+SUM(FS51:FU51)</f>
        <v>0</v>
      </c>
      <c r="EU51" s="584"/>
      <c r="EV51" s="584"/>
      <c r="EW51" s="584"/>
      <c r="EX51" s="584"/>
      <c r="EY51" s="584"/>
      <c r="EZ51" s="584"/>
      <c r="FA51" s="584"/>
      <c r="FB51" s="584"/>
      <c r="FC51" s="584"/>
      <c r="FD51" s="584"/>
      <c r="FE51" s="584"/>
      <c r="FF51" s="584"/>
      <c r="FG51" s="584"/>
      <c r="FH51" s="584"/>
      <c r="FI51" s="584"/>
      <c r="FJ51" s="584"/>
      <c r="FK51" s="584"/>
      <c r="FL51" s="584"/>
      <c r="FM51" s="584"/>
      <c r="FN51" s="584"/>
      <c r="FO51" s="584"/>
      <c r="FP51" s="584"/>
      <c r="FQ51" s="584"/>
      <c r="FR51" s="584"/>
      <c r="FS51" s="584"/>
      <c r="FT51" s="584"/>
      <c r="FU51" s="584"/>
      <c r="FV51" s="584">
        <f>SUM(FW51:FX51)</f>
        <v>0</v>
      </c>
      <c r="FW51" s="584">
        <f>SUM(FY51:FY51)</f>
        <v>0</v>
      </c>
      <c r="FX51" s="584">
        <f>SUM(FZ51:GA51)</f>
        <v>0</v>
      </c>
      <c r="FY51" s="584"/>
      <c r="FZ51" s="584"/>
      <c r="GA51" s="584"/>
      <c r="GB51" s="584"/>
      <c r="GC51" s="586"/>
      <c r="GD51" s="586"/>
      <c r="GE51" s="586"/>
      <c r="GF51" s="586"/>
      <c r="GG51" s="586"/>
    </row>
    <row r="52" spans="1:189" s="92" customFormat="1" ht="17.25" hidden="1" customHeight="1">
      <c r="A52" s="582"/>
      <c r="B52" s="583" t="s">
        <v>184</v>
      </c>
      <c r="C52" s="584">
        <f>D52+BE52+CI52</f>
        <v>1931085000</v>
      </c>
      <c r="D52" s="584">
        <f>E52+J52</f>
        <v>1931085000</v>
      </c>
      <c r="E52" s="584">
        <f>SUM(F52:I52)</f>
        <v>0</v>
      </c>
      <c r="F52" s="584"/>
      <c r="G52" s="584"/>
      <c r="H52" s="584"/>
      <c r="I52" s="584"/>
      <c r="J52" s="584">
        <f>SUM(K52:BD52)</f>
        <v>1931085000</v>
      </c>
      <c r="K52" s="584"/>
      <c r="L52" s="584"/>
      <c r="M52" s="584"/>
      <c r="N52" s="584"/>
      <c r="O52" s="584"/>
      <c r="P52" s="584"/>
      <c r="Q52" s="584"/>
      <c r="R52" s="584"/>
      <c r="S52" s="584"/>
      <c r="T52" s="584"/>
      <c r="U52" s="584"/>
      <c r="V52" s="584"/>
      <c r="W52" s="584"/>
      <c r="X52" s="584"/>
      <c r="Y52" s="584"/>
      <c r="Z52" s="584"/>
      <c r="AA52" s="584"/>
      <c r="AB52" s="584"/>
      <c r="AC52" s="584"/>
      <c r="AD52" s="584"/>
      <c r="AE52" s="584"/>
      <c r="AF52" s="584"/>
      <c r="AG52" s="584"/>
      <c r="AH52" s="584"/>
      <c r="AI52" s="584"/>
      <c r="AJ52" s="584"/>
      <c r="AK52" s="584"/>
      <c r="AL52" s="584"/>
      <c r="AM52" s="584"/>
      <c r="AN52" s="584"/>
      <c r="AO52" s="584"/>
      <c r="AP52" s="584"/>
      <c r="AQ52" s="584"/>
      <c r="AR52" s="584"/>
      <c r="AS52" s="584"/>
      <c r="AT52" s="584"/>
      <c r="AU52" s="584"/>
      <c r="AV52" s="584"/>
      <c r="AW52" s="584"/>
      <c r="AX52" s="584"/>
      <c r="AY52" s="584"/>
      <c r="AZ52" s="584"/>
      <c r="BA52" s="584">
        <v>1931085000</v>
      </c>
      <c r="BB52" s="584"/>
      <c r="BC52" s="584"/>
      <c r="BD52" s="584"/>
      <c r="BE52" s="584">
        <f>SUM(BF52:BG52)</f>
        <v>0</v>
      </c>
      <c r="BF52" s="584">
        <f>SUM(BH52:BI52)+BJ52+BM52+BW52+CE52</f>
        <v>0</v>
      </c>
      <c r="BG52" s="584">
        <f>BK52+SUM(BO52:BV52)+SUM(BX52:CD52)+SUM(CF52:CH52)</f>
        <v>0</v>
      </c>
      <c r="BH52" s="584"/>
      <c r="BI52" s="584"/>
      <c r="BJ52" s="584"/>
      <c r="BK52" s="584"/>
      <c r="BL52" s="584"/>
      <c r="BM52" s="584"/>
      <c r="BN52" s="584"/>
      <c r="BO52" s="584"/>
      <c r="BP52" s="584"/>
      <c r="BQ52" s="584"/>
      <c r="BR52" s="584"/>
      <c r="BS52" s="584"/>
      <c r="BT52" s="584"/>
      <c r="BU52" s="584"/>
      <c r="BV52" s="584"/>
      <c r="BW52" s="584"/>
      <c r="BX52" s="584"/>
      <c r="BY52" s="584"/>
      <c r="BZ52" s="584"/>
      <c r="CA52" s="584"/>
      <c r="CB52" s="584"/>
      <c r="CC52" s="584"/>
      <c r="CD52" s="584"/>
      <c r="CE52" s="584"/>
      <c r="CF52" s="584"/>
      <c r="CG52" s="584"/>
      <c r="CH52" s="584"/>
      <c r="CI52" s="584">
        <f>SUM(CJ52:CK52)</f>
        <v>0</v>
      </c>
      <c r="CJ52" s="584">
        <f>SUM(CL52:CL52)</f>
        <v>0</v>
      </c>
      <c r="CK52" s="584">
        <f>SUM(CM52:CN52)</f>
        <v>0</v>
      </c>
      <c r="CL52" s="584"/>
      <c r="CM52" s="584"/>
      <c r="CN52" s="584"/>
      <c r="CO52" s="583" t="s">
        <v>184</v>
      </c>
      <c r="CP52" s="584">
        <f>CQ52+ER52+FV52+GB52</f>
        <v>1931085000</v>
      </c>
      <c r="CQ52" s="584">
        <f>CR52+CW52</f>
        <v>1931085000</v>
      </c>
      <c r="CR52" s="584">
        <f>SUM(CS52:CV52)</f>
        <v>0</v>
      </c>
      <c r="CS52" s="584"/>
      <c r="CT52" s="584"/>
      <c r="CU52" s="584"/>
      <c r="CV52" s="584"/>
      <c r="CW52" s="584">
        <f>SUM(CX52:EQ52)</f>
        <v>1931085000</v>
      </c>
      <c r="CX52" s="584"/>
      <c r="CY52" s="584"/>
      <c r="CZ52" s="584"/>
      <c r="DA52" s="584"/>
      <c r="DB52" s="584"/>
      <c r="DC52" s="584"/>
      <c r="DD52" s="584"/>
      <c r="DE52" s="584"/>
      <c r="DF52" s="584"/>
      <c r="DG52" s="584"/>
      <c r="DH52" s="584"/>
      <c r="DI52" s="584"/>
      <c r="DJ52" s="584"/>
      <c r="DK52" s="584"/>
      <c r="DL52" s="584"/>
      <c r="DM52" s="584"/>
      <c r="DN52" s="584"/>
      <c r="DO52" s="584"/>
      <c r="DP52" s="584"/>
      <c r="DQ52" s="584"/>
      <c r="DR52" s="584"/>
      <c r="DS52" s="584"/>
      <c r="DT52" s="584"/>
      <c r="DU52" s="584"/>
      <c r="DV52" s="584"/>
      <c r="DW52" s="584"/>
      <c r="DX52" s="584"/>
      <c r="DY52" s="584"/>
      <c r="DZ52" s="584"/>
      <c r="EA52" s="584"/>
      <c r="EB52" s="584"/>
      <c r="EC52" s="584"/>
      <c r="ED52" s="584"/>
      <c r="EE52" s="584"/>
      <c r="EF52" s="584"/>
      <c r="EG52" s="584"/>
      <c r="EH52" s="584"/>
      <c r="EI52" s="584"/>
      <c r="EJ52" s="584"/>
      <c r="EK52" s="584"/>
      <c r="EL52" s="584"/>
      <c r="EM52" s="584"/>
      <c r="EN52" s="584">
        <v>1931085000</v>
      </c>
      <c r="EO52" s="584"/>
      <c r="EP52" s="584"/>
      <c r="EQ52" s="584"/>
      <c r="ER52" s="584">
        <f>SUM(ES52:ET52)</f>
        <v>0</v>
      </c>
      <c r="ES52" s="584">
        <f>SUM(EU52:EV52)+EW52+EZ52+FJ52+FR52</f>
        <v>0</v>
      </c>
      <c r="ET52" s="584">
        <f>EX52+SUM(FB52:FI52)+SUM(FK52:FQ52)+SUM(FS52:FU52)</f>
        <v>0</v>
      </c>
      <c r="EU52" s="584"/>
      <c r="EV52" s="584"/>
      <c r="EW52" s="584"/>
      <c r="EX52" s="584"/>
      <c r="EY52" s="584"/>
      <c r="EZ52" s="584"/>
      <c r="FA52" s="584"/>
      <c r="FB52" s="584"/>
      <c r="FC52" s="584"/>
      <c r="FD52" s="584"/>
      <c r="FE52" s="584"/>
      <c r="FF52" s="584"/>
      <c r="FG52" s="584"/>
      <c r="FH52" s="584"/>
      <c r="FI52" s="584"/>
      <c r="FJ52" s="584"/>
      <c r="FK52" s="584"/>
      <c r="FL52" s="584"/>
      <c r="FM52" s="584"/>
      <c r="FN52" s="584"/>
      <c r="FO52" s="584"/>
      <c r="FP52" s="584"/>
      <c r="FQ52" s="584"/>
      <c r="FR52" s="584"/>
      <c r="FS52" s="584"/>
      <c r="FT52" s="584"/>
      <c r="FU52" s="584"/>
      <c r="FV52" s="584">
        <f>SUM(FW52:FX52)</f>
        <v>0</v>
      </c>
      <c r="FW52" s="584">
        <f>SUM(FY52:FY52)</f>
        <v>0</v>
      </c>
      <c r="FX52" s="584">
        <f>SUM(FZ52:GA52)</f>
        <v>0</v>
      </c>
      <c r="FY52" s="584"/>
      <c r="FZ52" s="584"/>
      <c r="GA52" s="584"/>
      <c r="GB52" s="584"/>
      <c r="GC52" s="586">
        <f>CP52/C52</f>
        <v>1</v>
      </c>
      <c r="GD52" s="586"/>
      <c r="GE52" s="586">
        <f>CW52/J52</f>
        <v>1</v>
      </c>
      <c r="GF52" s="586"/>
      <c r="GG52" s="586"/>
    </row>
    <row r="53" spans="1:189" s="92" customFormat="1" ht="17.25" customHeight="1">
      <c r="A53" s="582">
        <v>14</v>
      </c>
      <c r="B53" s="583" t="s">
        <v>150</v>
      </c>
      <c r="C53" s="584">
        <f t="shared" ref="C53:AU53" si="60">C54+C55</f>
        <v>1049807866</v>
      </c>
      <c r="D53" s="584">
        <f t="shared" si="60"/>
        <v>1049807866</v>
      </c>
      <c r="E53" s="584">
        <f t="shared" si="60"/>
        <v>0</v>
      </c>
      <c r="F53" s="584">
        <f t="shared" si="60"/>
        <v>0</v>
      </c>
      <c r="G53" s="584">
        <f t="shared" si="60"/>
        <v>0</v>
      </c>
      <c r="H53" s="584">
        <f t="shared" si="60"/>
        <v>0</v>
      </c>
      <c r="I53" s="584">
        <f t="shared" si="60"/>
        <v>0</v>
      </c>
      <c r="J53" s="584">
        <f t="shared" si="60"/>
        <v>1049807866</v>
      </c>
      <c r="K53" s="584">
        <f t="shared" si="60"/>
        <v>0</v>
      </c>
      <c r="L53" s="584">
        <f t="shared" si="60"/>
        <v>0</v>
      </c>
      <c r="M53" s="584">
        <f t="shared" si="60"/>
        <v>0</v>
      </c>
      <c r="N53" s="584">
        <f t="shared" si="60"/>
        <v>0</v>
      </c>
      <c r="O53" s="584">
        <f t="shared" si="60"/>
        <v>0</v>
      </c>
      <c r="P53" s="584">
        <f t="shared" si="60"/>
        <v>0</v>
      </c>
      <c r="Q53" s="584">
        <f t="shared" si="60"/>
        <v>0</v>
      </c>
      <c r="R53" s="584">
        <f t="shared" si="60"/>
        <v>0</v>
      </c>
      <c r="S53" s="584">
        <f t="shared" si="60"/>
        <v>0</v>
      </c>
      <c r="T53" s="584">
        <f t="shared" si="60"/>
        <v>0</v>
      </c>
      <c r="U53" s="584">
        <f t="shared" si="60"/>
        <v>0</v>
      </c>
      <c r="V53" s="584">
        <f t="shared" si="60"/>
        <v>0</v>
      </c>
      <c r="W53" s="584">
        <f t="shared" si="60"/>
        <v>0</v>
      </c>
      <c r="X53" s="584">
        <f t="shared" si="60"/>
        <v>0</v>
      </c>
      <c r="Y53" s="584">
        <f t="shared" si="60"/>
        <v>0</v>
      </c>
      <c r="Z53" s="584">
        <f t="shared" si="60"/>
        <v>0</v>
      </c>
      <c r="AA53" s="584">
        <f t="shared" si="60"/>
        <v>0</v>
      </c>
      <c r="AB53" s="584">
        <f t="shared" si="60"/>
        <v>0</v>
      </c>
      <c r="AC53" s="584">
        <f t="shared" si="60"/>
        <v>0</v>
      </c>
      <c r="AD53" s="584">
        <f t="shared" si="60"/>
        <v>0</v>
      </c>
      <c r="AE53" s="584">
        <f t="shared" si="60"/>
        <v>0</v>
      </c>
      <c r="AF53" s="584">
        <f t="shared" si="60"/>
        <v>0</v>
      </c>
      <c r="AG53" s="584">
        <f t="shared" si="60"/>
        <v>0</v>
      </c>
      <c r="AH53" s="584">
        <f t="shared" si="60"/>
        <v>0</v>
      </c>
      <c r="AI53" s="584">
        <f t="shared" si="60"/>
        <v>0</v>
      </c>
      <c r="AJ53" s="584">
        <f t="shared" si="60"/>
        <v>0</v>
      </c>
      <c r="AK53" s="584">
        <f t="shared" si="60"/>
        <v>0</v>
      </c>
      <c r="AL53" s="584">
        <f t="shared" si="60"/>
        <v>0</v>
      </c>
      <c r="AM53" s="584">
        <f t="shared" si="60"/>
        <v>0</v>
      </c>
      <c r="AN53" s="584">
        <f t="shared" si="60"/>
        <v>0</v>
      </c>
      <c r="AO53" s="584">
        <f t="shared" si="60"/>
        <v>0</v>
      </c>
      <c r="AP53" s="584">
        <f t="shared" si="60"/>
        <v>0</v>
      </c>
      <c r="AQ53" s="584">
        <f t="shared" si="60"/>
        <v>0</v>
      </c>
      <c r="AR53" s="584">
        <f t="shared" si="60"/>
        <v>0</v>
      </c>
      <c r="AS53" s="584">
        <f t="shared" si="60"/>
        <v>0</v>
      </c>
      <c r="AT53" s="584">
        <f t="shared" si="60"/>
        <v>0</v>
      </c>
      <c r="AU53" s="584">
        <f t="shared" si="60"/>
        <v>0</v>
      </c>
      <c r="AV53" s="584">
        <f>AV54+AV55</f>
        <v>0</v>
      </c>
      <c r="AW53" s="584">
        <f>AW54+AW55</f>
        <v>0</v>
      </c>
      <c r="AX53" s="584">
        <f t="shared" ref="AX53:CN53" si="61">AX54+AX55</f>
        <v>0</v>
      </c>
      <c r="AY53" s="584">
        <f t="shared" si="61"/>
        <v>0</v>
      </c>
      <c r="AZ53" s="584">
        <f t="shared" si="61"/>
        <v>0</v>
      </c>
      <c r="BA53" s="584">
        <f t="shared" si="61"/>
        <v>1049807866</v>
      </c>
      <c r="BB53" s="584">
        <f t="shared" si="61"/>
        <v>0</v>
      </c>
      <c r="BC53" s="584">
        <f t="shared" si="61"/>
        <v>0</v>
      </c>
      <c r="BD53" s="584">
        <f t="shared" si="61"/>
        <v>0</v>
      </c>
      <c r="BE53" s="584">
        <f t="shared" si="61"/>
        <v>0</v>
      </c>
      <c r="BF53" s="584">
        <f t="shared" si="61"/>
        <v>0</v>
      </c>
      <c r="BG53" s="584">
        <f t="shared" si="61"/>
        <v>0</v>
      </c>
      <c r="BH53" s="584">
        <f t="shared" si="61"/>
        <v>0</v>
      </c>
      <c r="BI53" s="584">
        <f t="shared" si="61"/>
        <v>0</v>
      </c>
      <c r="BJ53" s="584">
        <f t="shared" si="61"/>
        <v>0</v>
      </c>
      <c r="BK53" s="584">
        <f t="shared" si="61"/>
        <v>0</v>
      </c>
      <c r="BL53" s="584">
        <f>BL54+BL55</f>
        <v>0</v>
      </c>
      <c r="BM53" s="584">
        <f>BM54+BM55</f>
        <v>0</v>
      </c>
      <c r="BN53" s="584">
        <f t="shared" si="61"/>
        <v>0</v>
      </c>
      <c r="BO53" s="584">
        <f t="shared" si="61"/>
        <v>0</v>
      </c>
      <c r="BP53" s="584">
        <f t="shared" si="61"/>
        <v>0</v>
      </c>
      <c r="BQ53" s="584">
        <f t="shared" si="61"/>
        <v>0</v>
      </c>
      <c r="BR53" s="584">
        <f t="shared" si="61"/>
        <v>0</v>
      </c>
      <c r="BS53" s="584">
        <f t="shared" si="61"/>
        <v>0</v>
      </c>
      <c r="BT53" s="584">
        <f t="shared" si="61"/>
        <v>0</v>
      </c>
      <c r="BU53" s="584">
        <f t="shared" si="61"/>
        <v>0</v>
      </c>
      <c r="BV53" s="584">
        <f t="shared" si="61"/>
        <v>0</v>
      </c>
      <c r="BW53" s="584">
        <f t="shared" si="61"/>
        <v>0</v>
      </c>
      <c r="BX53" s="584">
        <f t="shared" si="61"/>
        <v>0</v>
      </c>
      <c r="BY53" s="584">
        <f t="shared" si="61"/>
        <v>0</v>
      </c>
      <c r="BZ53" s="584">
        <f t="shared" si="61"/>
        <v>0</v>
      </c>
      <c r="CA53" s="584">
        <f t="shared" si="61"/>
        <v>0</v>
      </c>
      <c r="CB53" s="584">
        <f t="shared" si="61"/>
        <v>0</v>
      </c>
      <c r="CC53" s="584">
        <f t="shared" si="61"/>
        <v>0</v>
      </c>
      <c r="CD53" s="584">
        <f t="shared" si="61"/>
        <v>0</v>
      </c>
      <c r="CE53" s="584">
        <f t="shared" si="61"/>
        <v>0</v>
      </c>
      <c r="CF53" s="584">
        <f t="shared" si="61"/>
        <v>0</v>
      </c>
      <c r="CG53" s="584">
        <f t="shared" si="61"/>
        <v>0</v>
      </c>
      <c r="CH53" s="584">
        <f t="shared" si="61"/>
        <v>0</v>
      </c>
      <c r="CI53" s="584">
        <f t="shared" si="61"/>
        <v>0</v>
      </c>
      <c r="CJ53" s="584">
        <f t="shared" si="61"/>
        <v>0</v>
      </c>
      <c r="CK53" s="584">
        <f t="shared" si="61"/>
        <v>0</v>
      </c>
      <c r="CL53" s="584">
        <f t="shared" si="61"/>
        <v>0</v>
      </c>
      <c r="CM53" s="584">
        <f t="shared" si="61"/>
        <v>0</v>
      </c>
      <c r="CN53" s="584">
        <f t="shared" si="61"/>
        <v>0</v>
      </c>
      <c r="CO53" s="583" t="s">
        <v>150</v>
      </c>
      <c r="CP53" s="584">
        <f t="shared" ref="CP53:FA53" si="62">CP54+CP55</f>
        <v>1049807866</v>
      </c>
      <c r="CQ53" s="584">
        <f t="shared" si="62"/>
        <v>1049807866</v>
      </c>
      <c r="CR53" s="584">
        <f t="shared" si="62"/>
        <v>0</v>
      </c>
      <c r="CS53" s="584">
        <f t="shared" si="62"/>
        <v>0</v>
      </c>
      <c r="CT53" s="584">
        <f t="shared" si="62"/>
        <v>0</v>
      </c>
      <c r="CU53" s="584">
        <f t="shared" si="62"/>
        <v>0</v>
      </c>
      <c r="CV53" s="584">
        <f t="shared" si="62"/>
        <v>0</v>
      </c>
      <c r="CW53" s="584">
        <f t="shared" si="62"/>
        <v>1049807866</v>
      </c>
      <c r="CX53" s="584">
        <f t="shared" si="62"/>
        <v>0</v>
      </c>
      <c r="CY53" s="584">
        <f t="shared" si="62"/>
        <v>0</v>
      </c>
      <c r="CZ53" s="584">
        <f t="shared" si="62"/>
        <v>0</v>
      </c>
      <c r="DA53" s="584">
        <f t="shared" si="62"/>
        <v>0</v>
      </c>
      <c r="DB53" s="584">
        <f t="shared" si="62"/>
        <v>0</v>
      </c>
      <c r="DC53" s="584">
        <f t="shared" si="62"/>
        <v>0</v>
      </c>
      <c r="DD53" s="584">
        <f t="shared" si="62"/>
        <v>0</v>
      </c>
      <c r="DE53" s="584">
        <f t="shared" si="62"/>
        <v>0</v>
      </c>
      <c r="DF53" s="584">
        <f t="shared" si="62"/>
        <v>0</v>
      </c>
      <c r="DG53" s="584">
        <f t="shared" si="62"/>
        <v>0</v>
      </c>
      <c r="DH53" s="584">
        <f t="shared" si="62"/>
        <v>0</v>
      </c>
      <c r="DI53" s="584">
        <f t="shared" si="62"/>
        <v>0</v>
      </c>
      <c r="DJ53" s="584">
        <f t="shared" si="62"/>
        <v>0</v>
      </c>
      <c r="DK53" s="584">
        <f t="shared" si="62"/>
        <v>0</v>
      </c>
      <c r="DL53" s="584">
        <f t="shared" si="62"/>
        <v>0</v>
      </c>
      <c r="DM53" s="584">
        <f>DM54+DM55</f>
        <v>0</v>
      </c>
      <c r="DN53" s="584">
        <f t="shared" si="62"/>
        <v>0</v>
      </c>
      <c r="DO53" s="584">
        <f t="shared" si="62"/>
        <v>0</v>
      </c>
      <c r="DP53" s="584">
        <f t="shared" si="62"/>
        <v>0</v>
      </c>
      <c r="DQ53" s="584">
        <f t="shared" si="62"/>
        <v>0</v>
      </c>
      <c r="DR53" s="584">
        <f t="shared" si="62"/>
        <v>0</v>
      </c>
      <c r="DS53" s="584">
        <f t="shared" si="62"/>
        <v>0</v>
      </c>
      <c r="DT53" s="584">
        <f t="shared" si="62"/>
        <v>0</v>
      </c>
      <c r="DU53" s="584">
        <f t="shared" si="62"/>
        <v>0</v>
      </c>
      <c r="DV53" s="584">
        <f t="shared" si="62"/>
        <v>0</v>
      </c>
      <c r="DW53" s="584">
        <f t="shared" si="62"/>
        <v>0</v>
      </c>
      <c r="DX53" s="584">
        <f t="shared" si="62"/>
        <v>0</v>
      </c>
      <c r="DY53" s="584">
        <f t="shared" si="62"/>
        <v>0</v>
      </c>
      <c r="DZ53" s="584">
        <f t="shared" si="62"/>
        <v>0</v>
      </c>
      <c r="EA53" s="584">
        <f t="shared" si="62"/>
        <v>0</v>
      </c>
      <c r="EB53" s="584">
        <f t="shared" si="62"/>
        <v>0</v>
      </c>
      <c r="EC53" s="584">
        <f t="shared" si="62"/>
        <v>0</v>
      </c>
      <c r="ED53" s="584">
        <f t="shared" si="62"/>
        <v>0</v>
      </c>
      <c r="EE53" s="584">
        <f t="shared" si="62"/>
        <v>0</v>
      </c>
      <c r="EF53" s="584">
        <f t="shared" si="62"/>
        <v>0</v>
      </c>
      <c r="EG53" s="584">
        <f t="shared" si="62"/>
        <v>0</v>
      </c>
      <c r="EH53" s="584">
        <f t="shared" si="62"/>
        <v>0</v>
      </c>
      <c r="EI53" s="584">
        <f>EI54+EI55</f>
        <v>0</v>
      </c>
      <c r="EJ53" s="584">
        <f>EJ54+EJ55</f>
        <v>0</v>
      </c>
      <c r="EK53" s="584">
        <f t="shared" si="62"/>
        <v>0</v>
      </c>
      <c r="EL53" s="584">
        <f t="shared" si="62"/>
        <v>0</v>
      </c>
      <c r="EM53" s="584">
        <f t="shared" si="62"/>
        <v>0</v>
      </c>
      <c r="EN53" s="584">
        <f t="shared" si="62"/>
        <v>1049807866</v>
      </c>
      <c r="EO53" s="584">
        <f t="shared" si="62"/>
        <v>0</v>
      </c>
      <c r="EP53" s="584">
        <f t="shared" si="62"/>
        <v>0</v>
      </c>
      <c r="EQ53" s="584">
        <f t="shared" si="62"/>
        <v>0</v>
      </c>
      <c r="ER53" s="584">
        <f t="shared" si="62"/>
        <v>0</v>
      </c>
      <c r="ES53" s="584">
        <f t="shared" si="62"/>
        <v>0</v>
      </c>
      <c r="ET53" s="584">
        <f t="shared" si="62"/>
        <v>0</v>
      </c>
      <c r="EU53" s="584">
        <f t="shared" si="62"/>
        <v>0</v>
      </c>
      <c r="EV53" s="584">
        <f t="shared" si="62"/>
        <v>0</v>
      </c>
      <c r="EW53" s="584">
        <f t="shared" si="62"/>
        <v>0</v>
      </c>
      <c r="EX53" s="584">
        <f t="shared" si="62"/>
        <v>0</v>
      </c>
      <c r="EY53" s="584">
        <f>EY54+EY55</f>
        <v>0</v>
      </c>
      <c r="EZ53" s="584">
        <f>EZ54+EZ55</f>
        <v>0</v>
      </c>
      <c r="FA53" s="584">
        <f t="shared" si="62"/>
        <v>0</v>
      </c>
      <c r="FB53" s="584">
        <f t="shared" ref="FB53:GB53" si="63">FB54+FB55</f>
        <v>0</v>
      </c>
      <c r="FC53" s="584">
        <f t="shared" si="63"/>
        <v>0</v>
      </c>
      <c r="FD53" s="584">
        <f t="shared" si="63"/>
        <v>0</v>
      </c>
      <c r="FE53" s="584">
        <f t="shared" si="63"/>
        <v>0</v>
      </c>
      <c r="FF53" s="584">
        <f t="shared" si="63"/>
        <v>0</v>
      </c>
      <c r="FG53" s="584">
        <f t="shared" si="63"/>
        <v>0</v>
      </c>
      <c r="FH53" s="584">
        <f t="shared" si="63"/>
        <v>0</v>
      </c>
      <c r="FI53" s="584">
        <f t="shared" si="63"/>
        <v>0</v>
      </c>
      <c r="FJ53" s="584">
        <f t="shared" si="63"/>
        <v>0</v>
      </c>
      <c r="FK53" s="584">
        <f t="shared" si="63"/>
        <v>0</v>
      </c>
      <c r="FL53" s="584">
        <f t="shared" si="63"/>
        <v>0</v>
      </c>
      <c r="FM53" s="584">
        <f t="shared" si="63"/>
        <v>0</v>
      </c>
      <c r="FN53" s="584">
        <f t="shared" si="63"/>
        <v>0</v>
      </c>
      <c r="FO53" s="584">
        <f t="shared" si="63"/>
        <v>0</v>
      </c>
      <c r="FP53" s="584">
        <f t="shared" si="63"/>
        <v>0</v>
      </c>
      <c r="FQ53" s="584">
        <f t="shared" si="63"/>
        <v>0</v>
      </c>
      <c r="FR53" s="584">
        <f t="shared" si="63"/>
        <v>0</v>
      </c>
      <c r="FS53" s="584">
        <f t="shared" si="63"/>
        <v>0</v>
      </c>
      <c r="FT53" s="584">
        <f t="shared" si="63"/>
        <v>0</v>
      </c>
      <c r="FU53" s="584">
        <f t="shared" si="63"/>
        <v>0</v>
      </c>
      <c r="FV53" s="584">
        <f t="shared" si="63"/>
        <v>0</v>
      </c>
      <c r="FW53" s="584">
        <f t="shared" si="63"/>
        <v>0</v>
      </c>
      <c r="FX53" s="584">
        <f t="shared" si="63"/>
        <v>0</v>
      </c>
      <c r="FY53" s="584">
        <f t="shared" si="63"/>
        <v>0</v>
      </c>
      <c r="FZ53" s="584">
        <f t="shared" si="63"/>
        <v>0</v>
      </c>
      <c r="GA53" s="584">
        <f t="shared" si="63"/>
        <v>0</v>
      </c>
      <c r="GB53" s="584">
        <f t="shared" si="63"/>
        <v>0</v>
      </c>
      <c r="GC53" s="586">
        <f>CP53/C53</f>
        <v>1</v>
      </c>
      <c r="GD53" s="586"/>
      <c r="GE53" s="586">
        <f>CW53/J53</f>
        <v>1</v>
      </c>
      <c r="GF53" s="586"/>
      <c r="GG53" s="586"/>
    </row>
    <row r="54" spans="1:189" s="92" customFormat="1" ht="17.25" hidden="1" customHeight="1">
      <c r="A54" s="582"/>
      <c r="B54" s="583" t="s">
        <v>183</v>
      </c>
      <c r="C54" s="584">
        <f>D54+BE54+CI54</f>
        <v>0</v>
      </c>
      <c r="D54" s="584">
        <f>E54+J54</f>
        <v>0</v>
      </c>
      <c r="E54" s="584">
        <f>SUM(F54:I54)</f>
        <v>0</v>
      </c>
      <c r="F54" s="584"/>
      <c r="G54" s="584"/>
      <c r="H54" s="584"/>
      <c r="I54" s="584"/>
      <c r="J54" s="584">
        <f>SUM(K54:BD54)</f>
        <v>0</v>
      </c>
      <c r="K54" s="584"/>
      <c r="L54" s="584"/>
      <c r="M54" s="584"/>
      <c r="N54" s="584"/>
      <c r="O54" s="584"/>
      <c r="P54" s="584"/>
      <c r="Q54" s="584"/>
      <c r="R54" s="584"/>
      <c r="S54" s="584"/>
      <c r="T54" s="584"/>
      <c r="U54" s="584"/>
      <c r="V54" s="584"/>
      <c r="W54" s="584"/>
      <c r="X54" s="584"/>
      <c r="Y54" s="584"/>
      <c r="Z54" s="584"/>
      <c r="AA54" s="584"/>
      <c r="AB54" s="584"/>
      <c r="AC54" s="584"/>
      <c r="AD54" s="584"/>
      <c r="AE54" s="584"/>
      <c r="AF54" s="584"/>
      <c r="AG54" s="584"/>
      <c r="AH54" s="584"/>
      <c r="AI54" s="584"/>
      <c r="AJ54" s="584"/>
      <c r="AK54" s="584"/>
      <c r="AL54" s="584"/>
      <c r="AM54" s="584"/>
      <c r="AN54" s="584"/>
      <c r="AO54" s="584"/>
      <c r="AP54" s="584"/>
      <c r="AQ54" s="584"/>
      <c r="AR54" s="584"/>
      <c r="AS54" s="584"/>
      <c r="AT54" s="584"/>
      <c r="AU54" s="584"/>
      <c r="AV54" s="584"/>
      <c r="AW54" s="584"/>
      <c r="AX54" s="584"/>
      <c r="AY54" s="584"/>
      <c r="AZ54" s="584"/>
      <c r="BA54" s="584"/>
      <c r="BB54" s="584"/>
      <c r="BC54" s="584"/>
      <c r="BD54" s="584"/>
      <c r="BE54" s="584">
        <f>SUM(BF54:BG54)</f>
        <v>0</v>
      </c>
      <c r="BF54" s="584">
        <f>SUM(BH54:BI54)+BJ54+SUM(BL54:BN54)+BW54+CE54</f>
        <v>0</v>
      </c>
      <c r="BG54" s="584">
        <f>BK54+SUM(BO54:BV54)+SUM(BX54:CD54)+SUM(CF54:CH54)</f>
        <v>0</v>
      </c>
      <c r="BH54" s="584"/>
      <c r="BI54" s="584"/>
      <c r="BJ54" s="584"/>
      <c r="BK54" s="584"/>
      <c r="BL54" s="584"/>
      <c r="BM54" s="584"/>
      <c r="BN54" s="584"/>
      <c r="BO54" s="584"/>
      <c r="BP54" s="584"/>
      <c r="BQ54" s="584"/>
      <c r="BR54" s="584"/>
      <c r="BS54" s="584"/>
      <c r="BT54" s="584"/>
      <c r="BU54" s="584"/>
      <c r="BV54" s="584"/>
      <c r="BW54" s="584"/>
      <c r="BX54" s="584"/>
      <c r="BY54" s="584"/>
      <c r="BZ54" s="584"/>
      <c r="CA54" s="584"/>
      <c r="CB54" s="584"/>
      <c r="CC54" s="584"/>
      <c r="CD54" s="584"/>
      <c r="CE54" s="584"/>
      <c r="CF54" s="584"/>
      <c r="CG54" s="584"/>
      <c r="CH54" s="584"/>
      <c r="CI54" s="584">
        <f>SUM(CJ54:CK54)</f>
        <v>0</v>
      </c>
      <c r="CJ54" s="584">
        <f>SUM(CL54:CL54)</f>
        <v>0</v>
      </c>
      <c r="CK54" s="584">
        <f>SUM(CM54:CN54)</f>
        <v>0</v>
      </c>
      <c r="CL54" s="584"/>
      <c r="CM54" s="584"/>
      <c r="CN54" s="584"/>
      <c r="CO54" s="583" t="s">
        <v>183</v>
      </c>
      <c r="CP54" s="584">
        <f>CQ54+ER54+FV54+GB54</f>
        <v>0</v>
      </c>
      <c r="CQ54" s="584">
        <f>CR54+CW54</f>
        <v>0</v>
      </c>
      <c r="CR54" s="584">
        <f>SUM(CS54:CV54)</f>
        <v>0</v>
      </c>
      <c r="CS54" s="584"/>
      <c r="CT54" s="584"/>
      <c r="CU54" s="584"/>
      <c r="CV54" s="584"/>
      <c r="CW54" s="584">
        <f>SUM(CX54:EQ54)</f>
        <v>0</v>
      </c>
      <c r="CX54" s="584"/>
      <c r="CY54" s="584"/>
      <c r="CZ54" s="584"/>
      <c r="DA54" s="584"/>
      <c r="DB54" s="584"/>
      <c r="DC54" s="584"/>
      <c r="DD54" s="584"/>
      <c r="DE54" s="584"/>
      <c r="DF54" s="584"/>
      <c r="DG54" s="584"/>
      <c r="DH54" s="584"/>
      <c r="DI54" s="584"/>
      <c r="DJ54" s="584"/>
      <c r="DK54" s="584"/>
      <c r="DL54" s="584"/>
      <c r="DM54" s="584"/>
      <c r="DN54" s="584"/>
      <c r="DO54" s="584"/>
      <c r="DP54" s="584"/>
      <c r="DQ54" s="584"/>
      <c r="DR54" s="584"/>
      <c r="DS54" s="584"/>
      <c r="DT54" s="584"/>
      <c r="DU54" s="584"/>
      <c r="DV54" s="584"/>
      <c r="DW54" s="584"/>
      <c r="DX54" s="584"/>
      <c r="DY54" s="584"/>
      <c r="DZ54" s="584"/>
      <c r="EA54" s="584"/>
      <c r="EB54" s="584"/>
      <c r="EC54" s="584"/>
      <c r="ED54" s="584"/>
      <c r="EE54" s="584"/>
      <c r="EF54" s="584"/>
      <c r="EG54" s="584"/>
      <c r="EH54" s="584"/>
      <c r="EI54" s="584"/>
      <c r="EJ54" s="584"/>
      <c r="EK54" s="584"/>
      <c r="EL54" s="584"/>
      <c r="EM54" s="584"/>
      <c r="EN54" s="584"/>
      <c r="EO54" s="584"/>
      <c r="EP54" s="584"/>
      <c r="EQ54" s="584"/>
      <c r="ER54" s="584">
        <f>SUM(ES54:ET54)</f>
        <v>0</v>
      </c>
      <c r="ES54" s="584">
        <f>SUM(EU54:EV54)+EW54+SUM(EY54:FA54)+FJ54+FR54</f>
        <v>0</v>
      </c>
      <c r="ET54" s="584">
        <f>EX54+SUM(FB54:FI54)+SUM(FK54:FQ54)+SUM(FS54:FU54)</f>
        <v>0</v>
      </c>
      <c r="EU54" s="584"/>
      <c r="EV54" s="584"/>
      <c r="EW54" s="584"/>
      <c r="EX54" s="584"/>
      <c r="EY54" s="584"/>
      <c r="EZ54" s="584"/>
      <c r="FA54" s="584"/>
      <c r="FB54" s="584"/>
      <c r="FC54" s="584"/>
      <c r="FD54" s="584"/>
      <c r="FE54" s="584"/>
      <c r="FF54" s="584"/>
      <c r="FG54" s="584"/>
      <c r="FH54" s="584"/>
      <c r="FI54" s="584"/>
      <c r="FJ54" s="584"/>
      <c r="FK54" s="584"/>
      <c r="FL54" s="584"/>
      <c r="FM54" s="584"/>
      <c r="FN54" s="584"/>
      <c r="FO54" s="584"/>
      <c r="FP54" s="584"/>
      <c r="FQ54" s="584"/>
      <c r="FR54" s="584"/>
      <c r="FS54" s="584"/>
      <c r="FT54" s="584"/>
      <c r="FU54" s="584"/>
      <c r="FV54" s="584">
        <f>SUM(FW54:FX54)</f>
        <v>0</v>
      </c>
      <c r="FW54" s="584">
        <f>SUM(FY54:FY54)</f>
        <v>0</v>
      </c>
      <c r="FX54" s="584">
        <f>SUM(FZ54:GA54)</f>
        <v>0</v>
      </c>
      <c r="FY54" s="584"/>
      <c r="FZ54" s="584"/>
      <c r="GA54" s="584"/>
      <c r="GB54" s="584"/>
      <c r="GC54" s="586"/>
      <c r="GD54" s="586"/>
      <c r="GE54" s="586"/>
      <c r="GF54" s="586"/>
      <c r="GG54" s="586"/>
    </row>
    <row r="55" spans="1:189" s="92" customFormat="1" ht="17.25" hidden="1" customHeight="1">
      <c r="A55" s="582"/>
      <c r="B55" s="583" t="s">
        <v>184</v>
      </c>
      <c r="C55" s="584">
        <f>D55+BE55+CI55</f>
        <v>1049807866</v>
      </c>
      <c r="D55" s="584">
        <f>E55+J55</f>
        <v>1049807866</v>
      </c>
      <c r="E55" s="584">
        <f>SUM(F55:I55)</f>
        <v>0</v>
      </c>
      <c r="F55" s="584"/>
      <c r="G55" s="584"/>
      <c r="H55" s="584"/>
      <c r="I55" s="584"/>
      <c r="J55" s="584">
        <f>SUM(K55:BD55)</f>
        <v>1049807866</v>
      </c>
      <c r="K55" s="584"/>
      <c r="L55" s="584"/>
      <c r="M55" s="584"/>
      <c r="N55" s="584"/>
      <c r="O55" s="584"/>
      <c r="P55" s="584"/>
      <c r="Q55" s="584"/>
      <c r="R55" s="584"/>
      <c r="S55" s="584"/>
      <c r="T55" s="584"/>
      <c r="U55" s="584"/>
      <c r="V55" s="584"/>
      <c r="W55" s="584"/>
      <c r="X55" s="584"/>
      <c r="Y55" s="584"/>
      <c r="Z55" s="584"/>
      <c r="AA55" s="584"/>
      <c r="AB55" s="584"/>
      <c r="AC55" s="584"/>
      <c r="AD55" s="584"/>
      <c r="AE55" s="584"/>
      <c r="AF55" s="584"/>
      <c r="AG55" s="584"/>
      <c r="AH55" s="584"/>
      <c r="AI55" s="584"/>
      <c r="AJ55" s="584"/>
      <c r="AK55" s="584"/>
      <c r="AL55" s="584"/>
      <c r="AM55" s="584"/>
      <c r="AN55" s="584"/>
      <c r="AO55" s="584"/>
      <c r="AP55" s="584"/>
      <c r="AQ55" s="584"/>
      <c r="AR55" s="584"/>
      <c r="AS55" s="584"/>
      <c r="AT55" s="584"/>
      <c r="AU55" s="584"/>
      <c r="AV55" s="584"/>
      <c r="AW55" s="584"/>
      <c r="AX55" s="584"/>
      <c r="AY55" s="584"/>
      <c r="AZ55" s="584"/>
      <c r="BA55" s="584">
        <v>1049807866</v>
      </c>
      <c r="BB55" s="584"/>
      <c r="BC55" s="584"/>
      <c r="BD55" s="584"/>
      <c r="BE55" s="584">
        <f>SUM(BF55:BG55)</f>
        <v>0</v>
      </c>
      <c r="BF55" s="584">
        <f>SUM(BH55:BI55)+BJ55+SUM(BL55:BN55)+BW55+CE55</f>
        <v>0</v>
      </c>
      <c r="BG55" s="584">
        <f>BK55+SUM(BO55:BV55)+SUM(BX55:CD55)+SUM(CF55:CH55)</f>
        <v>0</v>
      </c>
      <c r="BH55" s="584"/>
      <c r="BI55" s="584"/>
      <c r="BJ55" s="584"/>
      <c r="BK55" s="584"/>
      <c r="BL55" s="584"/>
      <c r="BM55" s="584"/>
      <c r="BN55" s="584"/>
      <c r="BO55" s="584"/>
      <c r="BP55" s="584"/>
      <c r="BQ55" s="584"/>
      <c r="BR55" s="584"/>
      <c r="BS55" s="584"/>
      <c r="BT55" s="584"/>
      <c r="BU55" s="584"/>
      <c r="BV55" s="584"/>
      <c r="BW55" s="584"/>
      <c r="BX55" s="584"/>
      <c r="BY55" s="584"/>
      <c r="BZ55" s="584"/>
      <c r="CA55" s="584"/>
      <c r="CB55" s="584"/>
      <c r="CC55" s="584"/>
      <c r="CD55" s="584"/>
      <c r="CE55" s="584"/>
      <c r="CF55" s="584"/>
      <c r="CG55" s="584"/>
      <c r="CH55" s="584"/>
      <c r="CI55" s="584">
        <f>SUM(CJ55:CK55)</f>
        <v>0</v>
      </c>
      <c r="CJ55" s="584">
        <f>SUM(CL55:CL55)</f>
        <v>0</v>
      </c>
      <c r="CK55" s="584">
        <f>SUM(CM55:CN55)</f>
        <v>0</v>
      </c>
      <c r="CL55" s="584"/>
      <c r="CM55" s="584"/>
      <c r="CN55" s="584"/>
      <c r="CO55" s="583" t="s">
        <v>184</v>
      </c>
      <c r="CP55" s="584">
        <f>CQ55+ER55+FV55+GB55</f>
        <v>1049807866</v>
      </c>
      <c r="CQ55" s="584">
        <f>CR55+CW55</f>
        <v>1049807866</v>
      </c>
      <c r="CR55" s="584">
        <f>SUM(CS55:CV55)</f>
        <v>0</v>
      </c>
      <c r="CS55" s="584"/>
      <c r="CT55" s="584"/>
      <c r="CU55" s="584"/>
      <c r="CV55" s="584"/>
      <c r="CW55" s="584">
        <f>SUM(CX55:EQ55)</f>
        <v>1049807866</v>
      </c>
      <c r="CX55" s="584"/>
      <c r="CY55" s="584"/>
      <c r="CZ55" s="584"/>
      <c r="DA55" s="584"/>
      <c r="DB55" s="584"/>
      <c r="DC55" s="584"/>
      <c r="DD55" s="584"/>
      <c r="DE55" s="584"/>
      <c r="DF55" s="584"/>
      <c r="DG55" s="584"/>
      <c r="DH55" s="584"/>
      <c r="DI55" s="584"/>
      <c r="DJ55" s="584"/>
      <c r="DK55" s="584"/>
      <c r="DL55" s="584"/>
      <c r="DM55" s="584"/>
      <c r="DN55" s="584"/>
      <c r="DO55" s="584"/>
      <c r="DP55" s="584"/>
      <c r="DQ55" s="584"/>
      <c r="DR55" s="584"/>
      <c r="DS55" s="584"/>
      <c r="DT55" s="584"/>
      <c r="DU55" s="584"/>
      <c r="DV55" s="584"/>
      <c r="DW55" s="584"/>
      <c r="DX55" s="584"/>
      <c r="DY55" s="584"/>
      <c r="DZ55" s="584"/>
      <c r="EA55" s="584"/>
      <c r="EB55" s="584"/>
      <c r="EC55" s="584"/>
      <c r="ED55" s="584"/>
      <c r="EE55" s="584"/>
      <c r="EF55" s="584"/>
      <c r="EG55" s="584"/>
      <c r="EH55" s="584"/>
      <c r="EI55" s="584"/>
      <c r="EJ55" s="584"/>
      <c r="EK55" s="584"/>
      <c r="EL55" s="584"/>
      <c r="EM55" s="584"/>
      <c r="EN55" s="584">
        <v>1049807866</v>
      </c>
      <c r="EO55" s="584"/>
      <c r="EP55" s="584"/>
      <c r="EQ55" s="584"/>
      <c r="ER55" s="584">
        <f>SUM(ES55:ET55)</f>
        <v>0</v>
      </c>
      <c r="ES55" s="584">
        <f>SUM(EU55:EV55)+EW55+SUM(EY55:FA55)+FJ55+FR55</f>
        <v>0</v>
      </c>
      <c r="ET55" s="584">
        <f>EX55+SUM(FB55:FI55)+SUM(FK55:FQ55)+SUM(FS55:FU55)</f>
        <v>0</v>
      </c>
      <c r="EU55" s="584"/>
      <c r="EV55" s="584"/>
      <c r="EW55" s="584"/>
      <c r="EX55" s="584"/>
      <c r="EY55" s="584"/>
      <c r="EZ55" s="584"/>
      <c r="FA55" s="584"/>
      <c r="FB55" s="584"/>
      <c r="FC55" s="584"/>
      <c r="FD55" s="584"/>
      <c r="FE55" s="584"/>
      <c r="FF55" s="584"/>
      <c r="FG55" s="584"/>
      <c r="FH55" s="584"/>
      <c r="FI55" s="584"/>
      <c r="FJ55" s="584"/>
      <c r="FK55" s="584"/>
      <c r="FL55" s="584"/>
      <c r="FM55" s="584"/>
      <c r="FN55" s="584"/>
      <c r="FO55" s="584"/>
      <c r="FP55" s="584"/>
      <c r="FQ55" s="584"/>
      <c r="FR55" s="584"/>
      <c r="FS55" s="584"/>
      <c r="FT55" s="584"/>
      <c r="FU55" s="584"/>
      <c r="FV55" s="584">
        <f>SUM(FW55:FX55)</f>
        <v>0</v>
      </c>
      <c r="FW55" s="584">
        <f>SUM(FY55:FY55)</f>
        <v>0</v>
      </c>
      <c r="FX55" s="584">
        <f>SUM(FZ55:GA55)</f>
        <v>0</v>
      </c>
      <c r="FY55" s="584"/>
      <c r="FZ55" s="584"/>
      <c r="GA55" s="584"/>
      <c r="GB55" s="584"/>
      <c r="GC55" s="586">
        <f>CP55/C55</f>
        <v>1</v>
      </c>
      <c r="GD55" s="586"/>
      <c r="GE55" s="586">
        <f>CW55/J55</f>
        <v>1</v>
      </c>
      <c r="GF55" s="586"/>
      <c r="GG55" s="586"/>
    </row>
    <row r="56" spans="1:189" s="92" customFormat="1" ht="17.25" customHeight="1">
      <c r="A56" s="582">
        <v>15</v>
      </c>
      <c r="B56" s="583" t="s">
        <v>548</v>
      </c>
      <c r="C56" s="584">
        <f t="shared" ref="C56:AU56" si="64">C57+C58</f>
        <v>5924106748</v>
      </c>
      <c r="D56" s="584">
        <f t="shared" si="64"/>
        <v>5924106748</v>
      </c>
      <c r="E56" s="584">
        <f t="shared" si="64"/>
        <v>0</v>
      </c>
      <c r="F56" s="584">
        <f t="shared" si="64"/>
        <v>0</v>
      </c>
      <c r="G56" s="584">
        <f t="shared" si="64"/>
        <v>0</v>
      </c>
      <c r="H56" s="584">
        <f t="shared" si="64"/>
        <v>0</v>
      </c>
      <c r="I56" s="584">
        <f t="shared" si="64"/>
        <v>0</v>
      </c>
      <c r="J56" s="584">
        <f t="shared" si="64"/>
        <v>5924106748</v>
      </c>
      <c r="K56" s="584">
        <f t="shared" si="64"/>
        <v>0</v>
      </c>
      <c r="L56" s="584">
        <f t="shared" si="64"/>
        <v>0</v>
      </c>
      <c r="M56" s="584">
        <f t="shared" si="64"/>
        <v>0</v>
      </c>
      <c r="N56" s="584">
        <f t="shared" si="64"/>
        <v>0</v>
      </c>
      <c r="O56" s="584">
        <f t="shared" si="64"/>
        <v>0</v>
      </c>
      <c r="P56" s="584">
        <f t="shared" si="64"/>
        <v>0</v>
      </c>
      <c r="Q56" s="584">
        <f t="shared" si="64"/>
        <v>0</v>
      </c>
      <c r="R56" s="584">
        <f t="shared" si="64"/>
        <v>0</v>
      </c>
      <c r="S56" s="584">
        <f t="shared" si="64"/>
        <v>0</v>
      </c>
      <c r="T56" s="584">
        <f t="shared" si="64"/>
        <v>0</v>
      </c>
      <c r="U56" s="584">
        <f t="shared" si="64"/>
        <v>0</v>
      </c>
      <c r="V56" s="584">
        <f t="shared" si="64"/>
        <v>0</v>
      </c>
      <c r="W56" s="584">
        <f t="shared" si="64"/>
        <v>0</v>
      </c>
      <c r="X56" s="584">
        <f t="shared" si="64"/>
        <v>0</v>
      </c>
      <c r="Y56" s="584">
        <f t="shared" si="64"/>
        <v>0</v>
      </c>
      <c r="Z56" s="584">
        <f t="shared" si="64"/>
        <v>13720000</v>
      </c>
      <c r="AA56" s="584">
        <f t="shared" si="64"/>
        <v>0</v>
      </c>
      <c r="AB56" s="584">
        <f t="shared" si="64"/>
        <v>0</v>
      </c>
      <c r="AC56" s="584">
        <f t="shared" si="64"/>
        <v>1635330420</v>
      </c>
      <c r="AD56" s="584">
        <f t="shared" si="64"/>
        <v>3658549728</v>
      </c>
      <c r="AE56" s="584">
        <f t="shared" si="64"/>
        <v>616506600</v>
      </c>
      <c r="AF56" s="584">
        <f t="shared" si="64"/>
        <v>0</v>
      </c>
      <c r="AG56" s="584">
        <f t="shared" si="64"/>
        <v>0</v>
      </c>
      <c r="AH56" s="584">
        <f t="shared" si="64"/>
        <v>0</v>
      </c>
      <c r="AI56" s="584">
        <f t="shared" si="64"/>
        <v>0</v>
      </c>
      <c r="AJ56" s="584">
        <f t="shared" si="64"/>
        <v>0</v>
      </c>
      <c r="AK56" s="584">
        <f t="shared" si="64"/>
        <v>0</v>
      </c>
      <c r="AL56" s="584">
        <f t="shared" si="64"/>
        <v>0</v>
      </c>
      <c r="AM56" s="584">
        <f t="shared" si="64"/>
        <v>0</v>
      </c>
      <c r="AN56" s="584">
        <f t="shared" si="64"/>
        <v>0</v>
      </c>
      <c r="AO56" s="584">
        <f t="shared" si="64"/>
        <v>0</v>
      </c>
      <c r="AP56" s="584">
        <f t="shared" si="64"/>
        <v>0</v>
      </c>
      <c r="AQ56" s="584">
        <f t="shared" si="64"/>
        <v>0</v>
      </c>
      <c r="AR56" s="584">
        <f t="shared" si="64"/>
        <v>0</v>
      </c>
      <c r="AS56" s="584">
        <f t="shared" si="64"/>
        <v>0</v>
      </c>
      <c r="AT56" s="584">
        <f t="shared" si="64"/>
        <v>0</v>
      </c>
      <c r="AU56" s="584">
        <f t="shared" si="64"/>
        <v>0</v>
      </c>
      <c r="AV56" s="584">
        <f>AV57+AV58</f>
        <v>0</v>
      </c>
      <c r="AW56" s="584">
        <f>AW57+AW58</f>
        <v>0</v>
      </c>
      <c r="AX56" s="584">
        <f t="shared" ref="AX56:CN56" si="65">AX57+AX58</f>
        <v>0</v>
      </c>
      <c r="AY56" s="584">
        <f t="shared" si="65"/>
        <v>0</v>
      </c>
      <c r="AZ56" s="584">
        <f t="shared" si="65"/>
        <v>0</v>
      </c>
      <c r="BA56" s="584">
        <f t="shared" si="65"/>
        <v>0</v>
      </c>
      <c r="BB56" s="584">
        <f t="shared" si="65"/>
        <v>0</v>
      </c>
      <c r="BC56" s="584">
        <f t="shared" si="65"/>
        <v>0</v>
      </c>
      <c r="BD56" s="584">
        <f t="shared" si="65"/>
        <v>0</v>
      </c>
      <c r="BE56" s="584">
        <f t="shared" si="65"/>
        <v>0</v>
      </c>
      <c r="BF56" s="584">
        <f t="shared" si="65"/>
        <v>0</v>
      </c>
      <c r="BG56" s="584">
        <f t="shared" si="65"/>
        <v>0</v>
      </c>
      <c r="BH56" s="584">
        <f t="shared" si="65"/>
        <v>0</v>
      </c>
      <c r="BI56" s="584">
        <f t="shared" si="65"/>
        <v>0</v>
      </c>
      <c r="BJ56" s="584">
        <f t="shared" si="65"/>
        <v>0</v>
      </c>
      <c r="BK56" s="584">
        <f t="shared" si="65"/>
        <v>0</v>
      </c>
      <c r="BL56" s="584">
        <f>BL57+BL58</f>
        <v>0</v>
      </c>
      <c r="BM56" s="584">
        <f>BM57+BM58</f>
        <v>0</v>
      </c>
      <c r="BN56" s="584">
        <f t="shared" si="65"/>
        <v>0</v>
      </c>
      <c r="BO56" s="584">
        <f t="shared" si="65"/>
        <v>0</v>
      </c>
      <c r="BP56" s="584">
        <f t="shared" si="65"/>
        <v>0</v>
      </c>
      <c r="BQ56" s="584">
        <f t="shared" si="65"/>
        <v>0</v>
      </c>
      <c r="BR56" s="584">
        <f t="shared" si="65"/>
        <v>0</v>
      </c>
      <c r="BS56" s="584">
        <f t="shared" si="65"/>
        <v>0</v>
      </c>
      <c r="BT56" s="584">
        <f t="shared" si="65"/>
        <v>0</v>
      </c>
      <c r="BU56" s="584">
        <f t="shared" si="65"/>
        <v>0</v>
      </c>
      <c r="BV56" s="584">
        <f t="shared" si="65"/>
        <v>0</v>
      </c>
      <c r="BW56" s="584">
        <f t="shared" si="65"/>
        <v>0</v>
      </c>
      <c r="BX56" s="584">
        <f t="shared" si="65"/>
        <v>0</v>
      </c>
      <c r="BY56" s="584">
        <f t="shared" si="65"/>
        <v>0</v>
      </c>
      <c r="BZ56" s="584">
        <f t="shared" si="65"/>
        <v>0</v>
      </c>
      <c r="CA56" s="584">
        <f t="shared" si="65"/>
        <v>0</v>
      </c>
      <c r="CB56" s="584">
        <f t="shared" si="65"/>
        <v>0</v>
      </c>
      <c r="CC56" s="584">
        <f t="shared" si="65"/>
        <v>0</v>
      </c>
      <c r="CD56" s="584">
        <f t="shared" si="65"/>
        <v>0</v>
      </c>
      <c r="CE56" s="584">
        <f t="shared" si="65"/>
        <v>0</v>
      </c>
      <c r="CF56" s="584">
        <f t="shared" si="65"/>
        <v>0</v>
      </c>
      <c r="CG56" s="584">
        <f t="shared" si="65"/>
        <v>0</v>
      </c>
      <c r="CH56" s="584">
        <f t="shared" si="65"/>
        <v>0</v>
      </c>
      <c r="CI56" s="584">
        <f t="shared" si="65"/>
        <v>0</v>
      </c>
      <c r="CJ56" s="584">
        <f t="shared" si="65"/>
        <v>0</v>
      </c>
      <c r="CK56" s="584">
        <f t="shared" si="65"/>
        <v>0</v>
      </c>
      <c r="CL56" s="584">
        <f t="shared" si="65"/>
        <v>0</v>
      </c>
      <c r="CM56" s="584">
        <f t="shared" si="65"/>
        <v>0</v>
      </c>
      <c r="CN56" s="584">
        <f t="shared" si="65"/>
        <v>0</v>
      </c>
      <c r="CO56" s="583" t="s">
        <v>393</v>
      </c>
      <c r="CP56" s="584">
        <f t="shared" ref="CP56:FA56" si="66">CP57+CP58</f>
        <v>5924106748</v>
      </c>
      <c r="CQ56" s="584">
        <f t="shared" si="66"/>
        <v>5924106748</v>
      </c>
      <c r="CR56" s="584">
        <f t="shared" si="66"/>
        <v>0</v>
      </c>
      <c r="CS56" s="584">
        <f t="shared" si="66"/>
        <v>0</v>
      </c>
      <c r="CT56" s="584">
        <f t="shared" si="66"/>
        <v>0</v>
      </c>
      <c r="CU56" s="584">
        <f t="shared" si="66"/>
        <v>0</v>
      </c>
      <c r="CV56" s="584">
        <f t="shared" si="66"/>
        <v>0</v>
      </c>
      <c r="CW56" s="584">
        <f t="shared" si="66"/>
        <v>5924106748</v>
      </c>
      <c r="CX56" s="584">
        <f t="shared" si="66"/>
        <v>0</v>
      </c>
      <c r="CY56" s="584">
        <f t="shared" si="66"/>
        <v>0</v>
      </c>
      <c r="CZ56" s="584">
        <f t="shared" si="66"/>
        <v>0</v>
      </c>
      <c r="DA56" s="584">
        <f t="shared" si="66"/>
        <v>0</v>
      </c>
      <c r="DB56" s="584">
        <f t="shared" si="66"/>
        <v>0</v>
      </c>
      <c r="DC56" s="584">
        <f t="shared" si="66"/>
        <v>0</v>
      </c>
      <c r="DD56" s="584">
        <f t="shared" si="66"/>
        <v>0</v>
      </c>
      <c r="DE56" s="584">
        <f t="shared" si="66"/>
        <v>0</v>
      </c>
      <c r="DF56" s="584">
        <f t="shared" si="66"/>
        <v>0</v>
      </c>
      <c r="DG56" s="584">
        <f t="shared" si="66"/>
        <v>0</v>
      </c>
      <c r="DH56" s="584">
        <f t="shared" si="66"/>
        <v>0</v>
      </c>
      <c r="DI56" s="584">
        <f t="shared" si="66"/>
        <v>0</v>
      </c>
      <c r="DJ56" s="584">
        <f t="shared" si="66"/>
        <v>0</v>
      </c>
      <c r="DK56" s="584">
        <f t="shared" si="66"/>
        <v>0</v>
      </c>
      <c r="DL56" s="584">
        <f t="shared" si="66"/>
        <v>0</v>
      </c>
      <c r="DM56" s="584">
        <f>DM57+DM58</f>
        <v>13720000</v>
      </c>
      <c r="DN56" s="584">
        <f t="shared" si="66"/>
        <v>0</v>
      </c>
      <c r="DO56" s="584">
        <f t="shared" si="66"/>
        <v>0</v>
      </c>
      <c r="DP56" s="584">
        <f t="shared" si="66"/>
        <v>1635330420</v>
      </c>
      <c r="DQ56" s="584">
        <f t="shared" si="66"/>
        <v>3658549728</v>
      </c>
      <c r="DR56" s="584">
        <f t="shared" si="66"/>
        <v>616506600</v>
      </c>
      <c r="DS56" s="584">
        <f t="shared" si="66"/>
        <v>0</v>
      </c>
      <c r="DT56" s="584">
        <f t="shared" si="66"/>
        <v>0</v>
      </c>
      <c r="DU56" s="584">
        <f t="shared" si="66"/>
        <v>0</v>
      </c>
      <c r="DV56" s="584">
        <f t="shared" si="66"/>
        <v>0</v>
      </c>
      <c r="DW56" s="584">
        <f t="shared" si="66"/>
        <v>0</v>
      </c>
      <c r="DX56" s="584">
        <f t="shared" si="66"/>
        <v>0</v>
      </c>
      <c r="DY56" s="584">
        <f t="shared" si="66"/>
        <v>0</v>
      </c>
      <c r="DZ56" s="584">
        <f t="shared" si="66"/>
        <v>0</v>
      </c>
      <c r="EA56" s="584">
        <f t="shared" si="66"/>
        <v>0</v>
      </c>
      <c r="EB56" s="584">
        <f t="shared" si="66"/>
        <v>0</v>
      </c>
      <c r="EC56" s="584">
        <f t="shared" si="66"/>
        <v>0</v>
      </c>
      <c r="ED56" s="584">
        <f t="shared" si="66"/>
        <v>0</v>
      </c>
      <c r="EE56" s="584">
        <f t="shared" si="66"/>
        <v>0</v>
      </c>
      <c r="EF56" s="584">
        <f t="shared" si="66"/>
        <v>0</v>
      </c>
      <c r="EG56" s="584">
        <f t="shared" si="66"/>
        <v>0</v>
      </c>
      <c r="EH56" s="584">
        <f t="shared" si="66"/>
        <v>0</v>
      </c>
      <c r="EI56" s="584">
        <f>EI57+EI58</f>
        <v>0</v>
      </c>
      <c r="EJ56" s="584">
        <f>EJ57+EJ58</f>
        <v>0</v>
      </c>
      <c r="EK56" s="584">
        <f t="shared" si="66"/>
        <v>0</v>
      </c>
      <c r="EL56" s="584">
        <f t="shared" si="66"/>
        <v>0</v>
      </c>
      <c r="EM56" s="584">
        <f t="shared" si="66"/>
        <v>0</v>
      </c>
      <c r="EN56" s="584">
        <f t="shared" si="66"/>
        <v>0</v>
      </c>
      <c r="EO56" s="584">
        <f t="shared" si="66"/>
        <v>0</v>
      </c>
      <c r="EP56" s="584">
        <f t="shared" si="66"/>
        <v>0</v>
      </c>
      <c r="EQ56" s="584">
        <f t="shared" si="66"/>
        <v>0</v>
      </c>
      <c r="ER56" s="584">
        <f t="shared" si="66"/>
        <v>0</v>
      </c>
      <c r="ES56" s="584">
        <f t="shared" si="66"/>
        <v>0</v>
      </c>
      <c r="ET56" s="584">
        <f t="shared" si="66"/>
        <v>0</v>
      </c>
      <c r="EU56" s="584">
        <f t="shared" si="66"/>
        <v>0</v>
      </c>
      <c r="EV56" s="584">
        <f t="shared" si="66"/>
        <v>0</v>
      </c>
      <c r="EW56" s="584">
        <f t="shared" si="66"/>
        <v>0</v>
      </c>
      <c r="EX56" s="584">
        <f t="shared" si="66"/>
        <v>0</v>
      </c>
      <c r="EY56" s="584">
        <f>EY57+EY58</f>
        <v>0</v>
      </c>
      <c r="EZ56" s="584">
        <f>EZ57+EZ58</f>
        <v>0</v>
      </c>
      <c r="FA56" s="584">
        <f t="shared" si="66"/>
        <v>0</v>
      </c>
      <c r="FB56" s="584">
        <f t="shared" ref="FB56:GB56" si="67">FB57+FB58</f>
        <v>0</v>
      </c>
      <c r="FC56" s="584">
        <f t="shared" si="67"/>
        <v>0</v>
      </c>
      <c r="FD56" s="584">
        <f t="shared" si="67"/>
        <v>0</v>
      </c>
      <c r="FE56" s="584">
        <f t="shared" si="67"/>
        <v>0</v>
      </c>
      <c r="FF56" s="584">
        <f t="shared" si="67"/>
        <v>0</v>
      </c>
      <c r="FG56" s="584">
        <f t="shared" si="67"/>
        <v>0</v>
      </c>
      <c r="FH56" s="584">
        <f t="shared" si="67"/>
        <v>0</v>
      </c>
      <c r="FI56" s="584">
        <f t="shared" si="67"/>
        <v>0</v>
      </c>
      <c r="FJ56" s="584">
        <f t="shared" si="67"/>
        <v>0</v>
      </c>
      <c r="FK56" s="584">
        <f t="shared" si="67"/>
        <v>0</v>
      </c>
      <c r="FL56" s="584">
        <f t="shared" si="67"/>
        <v>0</v>
      </c>
      <c r="FM56" s="584">
        <f t="shared" si="67"/>
        <v>0</v>
      </c>
      <c r="FN56" s="584">
        <f t="shared" si="67"/>
        <v>0</v>
      </c>
      <c r="FO56" s="584">
        <f t="shared" si="67"/>
        <v>0</v>
      </c>
      <c r="FP56" s="584">
        <f t="shared" si="67"/>
        <v>0</v>
      </c>
      <c r="FQ56" s="584">
        <f t="shared" si="67"/>
        <v>0</v>
      </c>
      <c r="FR56" s="584">
        <f t="shared" si="67"/>
        <v>0</v>
      </c>
      <c r="FS56" s="584">
        <f t="shared" si="67"/>
        <v>0</v>
      </c>
      <c r="FT56" s="584">
        <f t="shared" si="67"/>
        <v>0</v>
      </c>
      <c r="FU56" s="584">
        <f t="shared" si="67"/>
        <v>0</v>
      </c>
      <c r="FV56" s="584">
        <f t="shared" si="67"/>
        <v>0</v>
      </c>
      <c r="FW56" s="584">
        <f t="shared" si="67"/>
        <v>0</v>
      </c>
      <c r="FX56" s="584">
        <f t="shared" si="67"/>
        <v>0</v>
      </c>
      <c r="FY56" s="584">
        <f t="shared" si="67"/>
        <v>0</v>
      </c>
      <c r="FZ56" s="584">
        <f t="shared" si="67"/>
        <v>0</v>
      </c>
      <c r="GA56" s="584">
        <f t="shared" si="67"/>
        <v>0</v>
      </c>
      <c r="GB56" s="584">
        <f t="shared" si="67"/>
        <v>0</v>
      </c>
      <c r="GC56" s="586">
        <f>CP56/C56</f>
        <v>1</v>
      </c>
      <c r="GD56" s="586"/>
      <c r="GE56" s="586">
        <f>CW56/J56</f>
        <v>1</v>
      </c>
      <c r="GF56" s="586"/>
      <c r="GG56" s="586"/>
    </row>
    <row r="57" spans="1:189" s="92" customFormat="1" ht="17.25" hidden="1" customHeight="1">
      <c r="A57" s="582"/>
      <c r="B57" s="583" t="s">
        <v>183</v>
      </c>
      <c r="C57" s="584">
        <f>D57+BE57+CI57</f>
        <v>0</v>
      </c>
      <c r="D57" s="584">
        <f>E57+J57</f>
        <v>0</v>
      </c>
      <c r="E57" s="584">
        <f>SUM(F57:I57)</f>
        <v>0</v>
      </c>
      <c r="F57" s="584"/>
      <c r="G57" s="584"/>
      <c r="H57" s="584"/>
      <c r="I57" s="584"/>
      <c r="J57" s="584">
        <f>SUM(K57:BD57)</f>
        <v>0</v>
      </c>
      <c r="K57" s="584"/>
      <c r="L57" s="584"/>
      <c r="M57" s="584"/>
      <c r="N57" s="584"/>
      <c r="O57" s="584"/>
      <c r="P57" s="584"/>
      <c r="Q57" s="584"/>
      <c r="R57" s="584"/>
      <c r="S57" s="584"/>
      <c r="T57" s="584"/>
      <c r="U57" s="584"/>
      <c r="V57" s="584"/>
      <c r="W57" s="584"/>
      <c r="X57" s="584"/>
      <c r="Y57" s="584"/>
      <c r="Z57" s="584"/>
      <c r="AA57" s="584"/>
      <c r="AB57" s="584"/>
      <c r="AC57" s="584"/>
      <c r="AD57" s="584"/>
      <c r="AE57" s="584"/>
      <c r="AF57" s="584"/>
      <c r="AG57" s="584"/>
      <c r="AH57" s="584"/>
      <c r="AI57" s="584"/>
      <c r="AJ57" s="584"/>
      <c r="AK57" s="584"/>
      <c r="AL57" s="584"/>
      <c r="AM57" s="584"/>
      <c r="AN57" s="584"/>
      <c r="AO57" s="584"/>
      <c r="AP57" s="584"/>
      <c r="AQ57" s="584"/>
      <c r="AR57" s="584"/>
      <c r="AS57" s="584"/>
      <c r="AT57" s="584"/>
      <c r="AU57" s="584"/>
      <c r="AV57" s="584"/>
      <c r="AW57" s="584"/>
      <c r="AX57" s="584"/>
      <c r="AY57" s="584"/>
      <c r="AZ57" s="584"/>
      <c r="BA57" s="584"/>
      <c r="BB57" s="584"/>
      <c r="BC57" s="584"/>
      <c r="BD57" s="584"/>
      <c r="BE57" s="584">
        <f>SUM(BF57:BG57)</f>
        <v>0</v>
      </c>
      <c r="BF57" s="584">
        <f>SUM(BH57:BI57)+BJ57+BM57+BW57+CE57</f>
        <v>0</v>
      </c>
      <c r="BG57" s="584">
        <f>BK57+SUM(BO57:BV57)+SUM(BX57:CD57)+SUM(CF57:CH57)</f>
        <v>0</v>
      </c>
      <c r="BH57" s="584"/>
      <c r="BI57" s="584"/>
      <c r="BJ57" s="584"/>
      <c r="BK57" s="584"/>
      <c r="BL57" s="584"/>
      <c r="BM57" s="584"/>
      <c r="BN57" s="584"/>
      <c r="BO57" s="584"/>
      <c r="BP57" s="584"/>
      <c r="BQ57" s="584"/>
      <c r="BR57" s="584"/>
      <c r="BS57" s="584"/>
      <c r="BT57" s="584"/>
      <c r="BU57" s="584"/>
      <c r="BV57" s="584"/>
      <c r="BW57" s="584"/>
      <c r="BX57" s="584"/>
      <c r="BY57" s="584"/>
      <c r="BZ57" s="584"/>
      <c r="CA57" s="584"/>
      <c r="CB57" s="584"/>
      <c r="CC57" s="584"/>
      <c r="CD57" s="584"/>
      <c r="CE57" s="584"/>
      <c r="CF57" s="584"/>
      <c r="CG57" s="584"/>
      <c r="CH57" s="584"/>
      <c r="CI57" s="584">
        <f>SUM(CJ57:CK57)</f>
        <v>0</v>
      </c>
      <c r="CJ57" s="584">
        <f>SUM(CL57:CL57)</f>
        <v>0</v>
      </c>
      <c r="CK57" s="584">
        <f>SUM(CM57:CN57)</f>
        <v>0</v>
      </c>
      <c r="CL57" s="584"/>
      <c r="CM57" s="584"/>
      <c r="CN57" s="584"/>
      <c r="CO57" s="583" t="s">
        <v>183</v>
      </c>
      <c r="CP57" s="584">
        <f>CQ57+ER57+FV57+GB57</f>
        <v>0</v>
      </c>
      <c r="CQ57" s="584">
        <f>CR57+CW57</f>
        <v>0</v>
      </c>
      <c r="CR57" s="584">
        <f>SUM(CS57:CV57)</f>
        <v>0</v>
      </c>
      <c r="CS57" s="584"/>
      <c r="CT57" s="584"/>
      <c r="CU57" s="584"/>
      <c r="CV57" s="584"/>
      <c r="CW57" s="584">
        <f>SUM(CX57:EQ57)</f>
        <v>0</v>
      </c>
      <c r="CX57" s="584"/>
      <c r="CY57" s="584"/>
      <c r="CZ57" s="584"/>
      <c r="DA57" s="584"/>
      <c r="DB57" s="584"/>
      <c r="DC57" s="584"/>
      <c r="DD57" s="584"/>
      <c r="DE57" s="584"/>
      <c r="DF57" s="584"/>
      <c r="DG57" s="584"/>
      <c r="DH57" s="584"/>
      <c r="DI57" s="584"/>
      <c r="DJ57" s="584"/>
      <c r="DK57" s="584"/>
      <c r="DL57" s="584"/>
      <c r="DM57" s="584"/>
      <c r="DN57" s="584"/>
      <c r="DO57" s="584"/>
      <c r="DP57" s="584"/>
      <c r="DQ57" s="584"/>
      <c r="DR57" s="584"/>
      <c r="DS57" s="584"/>
      <c r="DT57" s="584"/>
      <c r="DU57" s="584"/>
      <c r="DV57" s="584"/>
      <c r="DW57" s="584"/>
      <c r="DX57" s="584"/>
      <c r="DY57" s="584"/>
      <c r="DZ57" s="584"/>
      <c r="EA57" s="584"/>
      <c r="EB57" s="584"/>
      <c r="EC57" s="584"/>
      <c r="ED57" s="584"/>
      <c r="EE57" s="584"/>
      <c r="EF57" s="584"/>
      <c r="EG57" s="584"/>
      <c r="EH57" s="584"/>
      <c r="EI57" s="584"/>
      <c r="EJ57" s="584"/>
      <c r="EK57" s="584"/>
      <c r="EL57" s="584"/>
      <c r="EM57" s="584"/>
      <c r="EN57" s="584"/>
      <c r="EO57" s="584"/>
      <c r="EP57" s="584"/>
      <c r="EQ57" s="584"/>
      <c r="ER57" s="584">
        <f>SUM(ES57:ET57)</f>
        <v>0</v>
      </c>
      <c r="ES57" s="584">
        <f>SUM(EU57:EV57)+EW57+EZ57+FJ57+FR57</f>
        <v>0</v>
      </c>
      <c r="ET57" s="584">
        <f>EX57+SUM(FB57:FI57)+SUM(FK57:FQ57)+SUM(FS57:FU57)</f>
        <v>0</v>
      </c>
      <c r="EU57" s="584"/>
      <c r="EV57" s="584"/>
      <c r="EW57" s="584"/>
      <c r="EX57" s="584"/>
      <c r="EY57" s="584"/>
      <c r="EZ57" s="584"/>
      <c r="FA57" s="584"/>
      <c r="FB57" s="584"/>
      <c r="FC57" s="584"/>
      <c r="FD57" s="584"/>
      <c r="FE57" s="584"/>
      <c r="FF57" s="584"/>
      <c r="FG57" s="584"/>
      <c r="FH57" s="584"/>
      <c r="FI57" s="584"/>
      <c r="FJ57" s="584"/>
      <c r="FK57" s="584"/>
      <c r="FL57" s="584"/>
      <c r="FM57" s="584"/>
      <c r="FN57" s="584"/>
      <c r="FO57" s="584"/>
      <c r="FP57" s="584"/>
      <c r="FQ57" s="584"/>
      <c r="FR57" s="584"/>
      <c r="FS57" s="584"/>
      <c r="FT57" s="584"/>
      <c r="FU57" s="584"/>
      <c r="FV57" s="584">
        <f>SUM(FW57:FX57)</f>
        <v>0</v>
      </c>
      <c r="FW57" s="584">
        <f>SUM(FY57:FY57)</f>
        <v>0</v>
      </c>
      <c r="FX57" s="584">
        <f>SUM(FZ57:GA57)</f>
        <v>0</v>
      </c>
      <c r="FY57" s="584"/>
      <c r="FZ57" s="584"/>
      <c r="GA57" s="584"/>
      <c r="GB57" s="584"/>
      <c r="GC57" s="586"/>
      <c r="GD57" s="586"/>
      <c r="GE57" s="586"/>
      <c r="GF57" s="586"/>
      <c r="GG57" s="586"/>
    </row>
    <row r="58" spans="1:189" s="92" customFormat="1" ht="17.25" hidden="1" customHeight="1">
      <c r="A58" s="582"/>
      <c r="B58" s="583" t="s">
        <v>184</v>
      </c>
      <c r="C58" s="584">
        <f>D58+BE58+CI58</f>
        <v>5924106748</v>
      </c>
      <c r="D58" s="584">
        <f>E58+J58</f>
        <v>5924106748</v>
      </c>
      <c r="E58" s="584">
        <f>SUM(F58:I58)</f>
        <v>0</v>
      </c>
      <c r="F58" s="584"/>
      <c r="G58" s="584"/>
      <c r="H58" s="584"/>
      <c r="I58" s="584"/>
      <c r="J58" s="584">
        <f>SUM(K58:BD58)</f>
        <v>5924106748</v>
      </c>
      <c r="K58" s="584"/>
      <c r="L58" s="584"/>
      <c r="M58" s="584"/>
      <c r="N58" s="584"/>
      <c r="O58" s="584"/>
      <c r="P58" s="584"/>
      <c r="Q58" s="584"/>
      <c r="R58" s="584"/>
      <c r="S58" s="584"/>
      <c r="T58" s="584"/>
      <c r="U58" s="584"/>
      <c r="V58" s="584"/>
      <c r="W58" s="584"/>
      <c r="X58" s="584"/>
      <c r="Y58" s="584"/>
      <c r="Z58" s="584">
        <v>13720000</v>
      </c>
      <c r="AA58" s="584"/>
      <c r="AB58" s="584"/>
      <c r="AC58" s="584">
        <f>810812000+758763420+65755000</f>
        <v>1635330420</v>
      </c>
      <c r="AD58" s="584">
        <f>1798012000+1844470728+16067000</f>
        <v>3658549728</v>
      </c>
      <c r="AE58" s="584">
        <f>263211000+333396600+19899000</f>
        <v>616506600</v>
      </c>
      <c r="AF58" s="584"/>
      <c r="AG58" s="584"/>
      <c r="AH58" s="584"/>
      <c r="AI58" s="584"/>
      <c r="AJ58" s="584"/>
      <c r="AK58" s="584"/>
      <c r="AL58" s="584"/>
      <c r="AM58" s="584"/>
      <c r="AN58" s="584"/>
      <c r="AO58" s="584"/>
      <c r="AP58" s="584"/>
      <c r="AQ58" s="584"/>
      <c r="AR58" s="584"/>
      <c r="AS58" s="584"/>
      <c r="AT58" s="584"/>
      <c r="AU58" s="584"/>
      <c r="AV58" s="584"/>
      <c r="AW58" s="584"/>
      <c r="AX58" s="584"/>
      <c r="AY58" s="584"/>
      <c r="AZ58" s="584"/>
      <c r="BA58" s="584"/>
      <c r="BB58" s="584"/>
      <c r="BC58" s="584"/>
      <c r="BD58" s="584"/>
      <c r="BE58" s="584">
        <f>SUM(BF58:BG58)</f>
        <v>0</v>
      </c>
      <c r="BF58" s="584">
        <f>SUM(BH58:BI58)+BJ58+BM58+BW58+CE58</f>
        <v>0</v>
      </c>
      <c r="BG58" s="584">
        <f>BK58+SUM(BO58:BV58)+SUM(BX58:CD58)+SUM(CF58:CH58)</f>
        <v>0</v>
      </c>
      <c r="BH58" s="584"/>
      <c r="BI58" s="584"/>
      <c r="BJ58" s="584"/>
      <c r="BK58" s="584"/>
      <c r="BL58" s="584"/>
      <c r="BM58" s="584"/>
      <c r="BN58" s="584"/>
      <c r="BO58" s="584"/>
      <c r="BP58" s="584"/>
      <c r="BQ58" s="584"/>
      <c r="BR58" s="584"/>
      <c r="BS58" s="584"/>
      <c r="BT58" s="584"/>
      <c r="BU58" s="584"/>
      <c r="BV58" s="584"/>
      <c r="BW58" s="584"/>
      <c r="BX58" s="584"/>
      <c r="BY58" s="584"/>
      <c r="BZ58" s="584"/>
      <c r="CA58" s="584"/>
      <c r="CB58" s="584"/>
      <c r="CC58" s="584"/>
      <c r="CD58" s="584"/>
      <c r="CE58" s="584"/>
      <c r="CF58" s="584"/>
      <c r="CG58" s="584"/>
      <c r="CH58" s="584"/>
      <c r="CI58" s="584">
        <f>SUM(CJ58:CK58)</f>
        <v>0</v>
      </c>
      <c r="CJ58" s="584">
        <f>SUM(CL58:CL58)</f>
        <v>0</v>
      </c>
      <c r="CK58" s="584">
        <f>SUM(CM58:CN58)</f>
        <v>0</v>
      </c>
      <c r="CL58" s="584"/>
      <c r="CM58" s="584"/>
      <c r="CN58" s="584"/>
      <c r="CO58" s="583" t="s">
        <v>184</v>
      </c>
      <c r="CP58" s="584">
        <f>CQ58+ER58+FV58+GB58</f>
        <v>5924106748</v>
      </c>
      <c r="CQ58" s="584">
        <f>CR58+CW58</f>
        <v>5924106748</v>
      </c>
      <c r="CR58" s="584">
        <f>SUM(CS58:CV58)</f>
        <v>0</v>
      </c>
      <c r="CS58" s="584"/>
      <c r="CT58" s="584"/>
      <c r="CU58" s="584"/>
      <c r="CV58" s="584"/>
      <c r="CW58" s="584">
        <f>SUM(CX58:EQ58)</f>
        <v>5924106748</v>
      </c>
      <c r="CX58" s="584"/>
      <c r="CY58" s="584"/>
      <c r="CZ58" s="584"/>
      <c r="DA58" s="584"/>
      <c r="DB58" s="584"/>
      <c r="DC58" s="584"/>
      <c r="DD58" s="584"/>
      <c r="DE58" s="584"/>
      <c r="DF58" s="584"/>
      <c r="DG58" s="584"/>
      <c r="DH58" s="584"/>
      <c r="DI58" s="584"/>
      <c r="DJ58" s="584"/>
      <c r="DK58" s="584"/>
      <c r="DL58" s="584"/>
      <c r="DM58" s="584">
        <v>13720000</v>
      </c>
      <c r="DN58" s="584"/>
      <c r="DO58" s="584"/>
      <c r="DP58" s="584">
        <f>810812000+758763420+65755000</f>
        <v>1635330420</v>
      </c>
      <c r="DQ58" s="584">
        <f>1798012000+1844470728+16067000</f>
        <v>3658549728</v>
      </c>
      <c r="DR58" s="584">
        <f>263211000+333396600+19899000</f>
        <v>616506600</v>
      </c>
      <c r="DS58" s="584"/>
      <c r="DT58" s="584"/>
      <c r="DU58" s="584"/>
      <c r="DV58" s="584"/>
      <c r="DW58" s="584"/>
      <c r="DX58" s="584"/>
      <c r="DY58" s="584"/>
      <c r="DZ58" s="584"/>
      <c r="EA58" s="584"/>
      <c r="EB58" s="584"/>
      <c r="EC58" s="584"/>
      <c r="ED58" s="584"/>
      <c r="EE58" s="584"/>
      <c r="EF58" s="584"/>
      <c r="EG58" s="584"/>
      <c r="EH58" s="584"/>
      <c r="EI58" s="584"/>
      <c r="EJ58" s="584"/>
      <c r="EK58" s="584"/>
      <c r="EL58" s="584"/>
      <c r="EM58" s="584"/>
      <c r="EN58" s="584"/>
      <c r="EO58" s="584"/>
      <c r="EP58" s="584"/>
      <c r="EQ58" s="584"/>
      <c r="ER58" s="584">
        <f>SUM(ES58:ET58)</f>
        <v>0</v>
      </c>
      <c r="ES58" s="584">
        <f>SUM(EU58:EV58)+EW58+EZ58+FJ58+FR58</f>
        <v>0</v>
      </c>
      <c r="ET58" s="584">
        <f>EX58+SUM(FB58:FI58)+SUM(FK58:FQ58)+SUM(FS58:FU58)</f>
        <v>0</v>
      </c>
      <c r="EU58" s="584"/>
      <c r="EV58" s="584"/>
      <c r="EW58" s="584"/>
      <c r="EX58" s="584"/>
      <c r="EY58" s="584"/>
      <c r="EZ58" s="584"/>
      <c r="FA58" s="584"/>
      <c r="FB58" s="584"/>
      <c r="FC58" s="584"/>
      <c r="FD58" s="584"/>
      <c r="FE58" s="584"/>
      <c r="FF58" s="584"/>
      <c r="FG58" s="584"/>
      <c r="FH58" s="584"/>
      <c r="FI58" s="584"/>
      <c r="FJ58" s="584"/>
      <c r="FK58" s="584"/>
      <c r="FL58" s="584"/>
      <c r="FM58" s="584"/>
      <c r="FN58" s="584"/>
      <c r="FO58" s="584"/>
      <c r="FP58" s="584"/>
      <c r="FQ58" s="584"/>
      <c r="FR58" s="584"/>
      <c r="FS58" s="584"/>
      <c r="FT58" s="584"/>
      <c r="FU58" s="584"/>
      <c r="FV58" s="584">
        <f>SUM(FW58:FX58)</f>
        <v>0</v>
      </c>
      <c r="FW58" s="584">
        <f>SUM(FY58:FY58)</f>
        <v>0</v>
      </c>
      <c r="FX58" s="584">
        <f>SUM(FZ58:GA58)</f>
        <v>0</v>
      </c>
      <c r="FY58" s="584"/>
      <c r="FZ58" s="584"/>
      <c r="GA58" s="584"/>
      <c r="GB58" s="584"/>
      <c r="GC58" s="586">
        <f>CP58/C58</f>
        <v>1</v>
      </c>
      <c r="GD58" s="586"/>
      <c r="GE58" s="586">
        <f>CW58/J58</f>
        <v>1</v>
      </c>
      <c r="GF58" s="586"/>
      <c r="GG58" s="586"/>
    </row>
    <row r="59" spans="1:189" s="92" customFormat="1" ht="17.25" customHeight="1">
      <c r="A59" s="582">
        <v>16</v>
      </c>
      <c r="B59" s="583" t="s">
        <v>193</v>
      </c>
      <c r="C59" s="584">
        <f t="shared" ref="C59:AU59" si="68">C60+C61</f>
        <v>6153066000</v>
      </c>
      <c r="D59" s="584">
        <f t="shared" si="68"/>
        <v>728066000</v>
      </c>
      <c r="E59" s="584">
        <f t="shared" si="68"/>
        <v>0</v>
      </c>
      <c r="F59" s="584">
        <f t="shared" si="68"/>
        <v>0</v>
      </c>
      <c r="G59" s="584">
        <f t="shared" si="68"/>
        <v>0</v>
      </c>
      <c r="H59" s="584">
        <f t="shared" si="68"/>
        <v>0</v>
      </c>
      <c r="I59" s="584">
        <f t="shared" si="68"/>
        <v>0</v>
      </c>
      <c r="J59" s="584">
        <f t="shared" si="68"/>
        <v>728066000</v>
      </c>
      <c r="K59" s="584">
        <f t="shared" si="68"/>
        <v>0</v>
      </c>
      <c r="L59" s="584">
        <f t="shared" si="68"/>
        <v>0</v>
      </c>
      <c r="M59" s="584">
        <f t="shared" si="68"/>
        <v>0</v>
      </c>
      <c r="N59" s="584">
        <f t="shared" si="68"/>
        <v>0</v>
      </c>
      <c r="O59" s="584">
        <f t="shared" si="68"/>
        <v>0</v>
      </c>
      <c r="P59" s="584">
        <f t="shared" si="68"/>
        <v>0</v>
      </c>
      <c r="Q59" s="584">
        <f t="shared" si="68"/>
        <v>0</v>
      </c>
      <c r="R59" s="584">
        <f t="shared" si="68"/>
        <v>0</v>
      </c>
      <c r="S59" s="584">
        <f t="shared" si="68"/>
        <v>0</v>
      </c>
      <c r="T59" s="584">
        <f t="shared" si="68"/>
        <v>0</v>
      </c>
      <c r="U59" s="584">
        <f t="shared" si="68"/>
        <v>0</v>
      </c>
      <c r="V59" s="584">
        <f t="shared" si="68"/>
        <v>0</v>
      </c>
      <c r="W59" s="584">
        <f t="shared" si="68"/>
        <v>0</v>
      </c>
      <c r="X59" s="584">
        <f t="shared" si="68"/>
        <v>0</v>
      </c>
      <c r="Y59" s="584">
        <f t="shared" si="68"/>
        <v>0</v>
      </c>
      <c r="Z59" s="584">
        <f t="shared" si="68"/>
        <v>17954000</v>
      </c>
      <c r="AA59" s="584">
        <f t="shared" si="68"/>
        <v>0</v>
      </c>
      <c r="AB59" s="584">
        <f t="shared" si="68"/>
        <v>0</v>
      </c>
      <c r="AC59" s="584">
        <f t="shared" si="68"/>
        <v>0</v>
      </c>
      <c r="AD59" s="584">
        <f t="shared" si="68"/>
        <v>0</v>
      </c>
      <c r="AE59" s="584">
        <f t="shared" si="68"/>
        <v>0</v>
      </c>
      <c r="AF59" s="584">
        <f t="shared" si="68"/>
        <v>0</v>
      </c>
      <c r="AG59" s="584">
        <f t="shared" si="68"/>
        <v>103600000</v>
      </c>
      <c r="AH59" s="584">
        <f t="shared" si="68"/>
        <v>0</v>
      </c>
      <c r="AI59" s="584">
        <f t="shared" si="68"/>
        <v>0</v>
      </c>
      <c r="AJ59" s="584">
        <f t="shared" si="68"/>
        <v>0</v>
      </c>
      <c r="AK59" s="584">
        <f t="shared" si="68"/>
        <v>0</v>
      </c>
      <c r="AL59" s="584">
        <f t="shared" si="68"/>
        <v>0</v>
      </c>
      <c r="AM59" s="584">
        <f t="shared" si="68"/>
        <v>0</v>
      </c>
      <c r="AN59" s="584">
        <f t="shared" si="68"/>
        <v>0</v>
      </c>
      <c r="AO59" s="584">
        <f t="shared" si="68"/>
        <v>0</v>
      </c>
      <c r="AP59" s="584">
        <f t="shared" si="68"/>
        <v>0</v>
      </c>
      <c r="AQ59" s="584">
        <f t="shared" si="68"/>
        <v>0</v>
      </c>
      <c r="AR59" s="584">
        <f t="shared" si="68"/>
        <v>0</v>
      </c>
      <c r="AS59" s="584">
        <f t="shared" si="68"/>
        <v>0</v>
      </c>
      <c r="AT59" s="584">
        <f t="shared" si="68"/>
        <v>0</v>
      </c>
      <c r="AU59" s="584">
        <f t="shared" si="68"/>
        <v>0</v>
      </c>
      <c r="AV59" s="584">
        <f>AV60+AV61</f>
        <v>0</v>
      </c>
      <c r="AW59" s="584">
        <f>AW60+AW61</f>
        <v>0</v>
      </c>
      <c r="AX59" s="584">
        <f t="shared" ref="AX59:CN59" si="69">AX60+AX61</f>
        <v>0</v>
      </c>
      <c r="AY59" s="584">
        <f t="shared" si="69"/>
        <v>0</v>
      </c>
      <c r="AZ59" s="584">
        <f t="shared" si="69"/>
        <v>0</v>
      </c>
      <c r="BA59" s="584">
        <f t="shared" si="69"/>
        <v>606512000</v>
      </c>
      <c r="BB59" s="584">
        <f t="shared" si="69"/>
        <v>0</v>
      </c>
      <c r="BC59" s="584">
        <f t="shared" si="69"/>
        <v>0</v>
      </c>
      <c r="BD59" s="584">
        <f t="shared" si="69"/>
        <v>0</v>
      </c>
      <c r="BE59" s="584">
        <f t="shared" si="69"/>
        <v>5425000000</v>
      </c>
      <c r="BF59" s="584">
        <f t="shared" si="69"/>
        <v>0</v>
      </c>
      <c r="BG59" s="584">
        <f t="shared" si="69"/>
        <v>5425000000</v>
      </c>
      <c r="BH59" s="584">
        <f t="shared" si="69"/>
        <v>0</v>
      </c>
      <c r="BI59" s="584">
        <f t="shared" si="69"/>
        <v>0</v>
      </c>
      <c r="BJ59" s="584">
        <f t="shared" si="69"/>
        <v>0</v>
      </c>
      <c r="BK59" s="584">
        <f t="shared" si="69"/>
        <v>0</v>
      </c>
      <c r="BL59" s="584">
        <f>BL60+BL61</f>
        <v>0</v>
      </c>
      <c r="BM59" s="584">
        <f>BM60+BM61</f>
        <v>0</v>
      </c>
      <c r="BN59" s="584">
        <f t="shared" si="69"/>
        <v>0</v>
      </c>
      <c r="BO59" s="584">
        <f t="shared" si="69"/>
        <v>4318000000</v>
      </c>
      <c r="BP59" s="584">
        <f t="shared" si="69"/>
        <v>0</v>
      </c>
      <c r="BQ59" s="584">
        <f t="shared" si="69"/>
        <v>0</v>
      </c>
      <c r="BR59" s="584">
        <f t="shared" si="69"/>
        <v>0</v>
      </c>
      <c r="BS59" s="584">
        <f t="shared" si="69"/>
        <v>0</v>
      </c>
      <c r="BT59" s="584">
        <f t="shared" si="69"/>
        <v>0</v>
      </c>
      <c r="BU59" s="584">
        <f t="shared" si="69"/>
        <v>1007000000</v>
      </c>
      <c r="BV59" s="584">
        <f t="shared" si="69"/>
        <v>100000000</v>
      </c>
      <c r="BW59" s="584">
        <f t="shared" si="69"/>
        <v>0</v>
      </c>
      <c r="BX59" s="584">
        <f t="shared" si="69"/>
        <v>0</v>
      </c>
      <c r="BY59" s="584">
        <f t="shared" si="69"/>
        <v>0</v>
      </c>
      <c r="BZ59" s="584">
        <f t="shared" si="69"/>
        <v>0</v>
      </c>
      <c r="CA59" s="584">
        <f t="shared" si="69"/>
        <v>0</v>
      </c>
      <c r="CB59" s="584">
        <f t="shared" si="69"/>
        <v>0</v>
      </c>
      <c r="CC59" s="584">
        <f t="shared" si="69"/>
        <v>0</v>
      </c>
      <c r="CD59" s="584">
        <f t="shared" si="69"/>
        <v>0</v>
      </c>
      <c r="CE59" s="584">
        <f t="shared" si="69"/>
        <v>0</v>
      </c>
      <c r="CF59" s="584">
        <f t="shared" si="69"/>
        <v>0</v>
      </c>
      <c r="CG59" s="584">
        <f t="shared" si="69"/>
        <v>0</v>
      </c>
      <c r="CH59" s="584">
        <f t="shared" si="69"/>
        <v>0</v>
      </c>
      <c r="CI59" s="584">
        <f t="shared" si="69"/>
        <v>0</v>
      </c>
      <c r="CJ59" s="584">
        <f t="shared" si="69"/>
        <v>0</v>
      </c>
      <c r="CK59" s="584">
        <f t="shared" si="69"/>
        <v>0</v>
      </c>
      <c r="CL59" s="584">
        <f t="shared" si="69"/>
        <v>0</v>
      </c>
      <c r="CM59" s="584">
        <f t="shared" si="69"/>
        <v>0</v>
      </c>
      <c r="CN59" s="584">
        <f t="shared" si="69"/>
        <v>0</v>
      </c>
      <c r="CO59" s="583" t="s">
        <v>193</v>
      </c>
      <c r="CP59" s="584">
        <f>CP60+CP61</f>
        <v>6153066000</v>
      </c>
      <c r="CQ59" s="584">
        <f t="shared" ref="CQ59:FB59" si="70">CQ60+CQ61</f>
        <v>728066000</v>
      </c>
      <c r="CR59" s="584">
        <f t="shared" si="70"/>
        <v>0</v>
      </c>
      <c r="CS59" s="584">
        <f t="shared" si="70"/>
        <v>0</v>
      </c>
      <c r="CT59" s="584">
        <f t="shared" si="70"/>
        <v>0</v>
      </c>
      <c r="CU59" s="584">
        <f t="shared" si="70"/>
        <v>0</v>
      </c>
      <c r="CV59" s="584">
        <f t="shared" si="70"/>
        <v>0</v>
      </c>
      <c r="CW59" s="584">
        <f t="shared" si="70"/>
        <v>728066000</v>
      </c>
      <c r="CX59" s="584">
        <f t="shared" si="70"/>
        <v>0</v>
      </c>
      <c r="CY59" s="584">
        <f t="shared" si="70"/>
        <v>0</v>
      </c>
      <c r="CZ59" s="584">
        <f t="shared" si="70"/>
        <v>0</v>
      </c>
      <c r="DA59" s="584">
        <f t="shared" si="70"/>
        <v>0</v>
      </c>
      <c r="DB59" s="584">
        <f t="shared" si="70"/>
        <v>0</v>
      </c>
      <c r="DC59" s="584">
        <f t="shared" si="70"/>
        <v>0</v>
      </c>
      <c r="DD59" s="584">
        <f t="shared" si="70"/>
        <v>0</v>
      </c>
      <c r="DE59" s="584">
        <f t="shared" si="70"/>
        <v>0</v>
      </c>
      <c r="DF59" s="584">
        <f t="shared" si="70"/>
        <v>0</v>
      </c>
      <c r="DG59" s="584">
        <f t="shared" si="70"/>
        <v>0</v>
      </c>
      <c r="DH59" s="584">
        <f t="shared" si="70"/>
        <v>0</v>
      </c>
      <c r="DI59" s="584">
        <f t="shared" si="70"/>
        <v>0</v>
      </c>
      <c r="DJ59" s="584">
        <f t="shared" si="70"/>
        <v>0</v>
      </c>
      <c r="DK59" s="584">
        <f t="shared" si="70"/>
        <v>0</v>
      </c>
      <c r="DL59" s="584">
        <f t="shared" si="70"/>
        <v>0</v>
      </c>
      <c r="DM59" s="584">
        <f>DM60+DM61</f>
        <v>17954000</v>
      </c>
      <c r="DN59" s="584">
        <f t="shared" si="70"/>
        <v>0</v>
      </c>
      <c r="DO59" s="584">
        <f t="shared" si="70"/>
        <v>0</v>
      </c>
      <c r="DP59" s="584">
        <f t="shared" si="70"/>
        <v>0</v>
      </c>
      <c r="DQ59" s="584">
        <f t="shared" si="70"/>
        <v>0</v>
      </c>
      <c r="DR59" s="584">
        <f t="shared" si="70"/>
        <v>0</v>
      </c>
      <c r="DS59" s="584">
        <f t="shared" si="70"/>
        <v>0</v>
      </c>
      <c r="DT59" s="584">
        <f t="shared" si="70"/>
        <v>103600000</v>
      </c>
      <c r="DU59" s="584">
        <f t="shared" si="70"/>
        <v>0</v>
      </c>
      <c r="DV59" s="584">
        <f t="shared" si="70"/>
        <v>0</v>
      </c>
      <c r="DW59" s="584">
        <f t="shared" si="70"/>
        <v>0</v>
      </c>
      <c r="DX59" s="584">
        <f t="shared" si="70"/>
        <v>0</v>
      </c>
      <c r="DY59" s="584">
        <f t="shared" si="70"/>
        <v>0</v>
      </c>
      <c r="DZ59" s="584">
        <f t="shared" si="70"/>
        <v>0</v>
      </c>
      <c r="EA59" s="584">
        <f t="shared" si="70"/>
        <v>0</v>
      </c>
      <c r="EB59" s="584">
        <f t="shared" si="70"/>
        <v>0</v>
      </c>
      <c r="EC59" s="584">
        <f t="shared" si="70"/>
        <v>0</v>
      </c>
      <c r="ED59" s="584">
        <f t="shared" si="70"/>
        <v>0</v>
      </c>
      <c r="EE59" s="584">
        <f t="shared" si="70"/>
        <v>0</v>
      </c>
      <c r="EF59" s="584">
        <f t="shared" si="70"/>
        <v>0</v>
      </c>
      <c r="EG59" s="584">
        <f t="shared" si="70"/>
        <v>0</v>
      </c>
      <c r="EH59" s="584">
        <f t="shared" si="70"/>
        <v>0</v>
      </c>
      <c r="EI59" s="584">
        <f>EI60+EI61</f>
        <v>0</v>
      </c>
      <c r="EJ59" s="584">
        <f>EJ60+EJ61</f>
        <v>0</v>
      </c>
      <c r="EK59" s="584">
        <f t="shared" si="70"/>
        <v>0</v>
      </c>
      <c r="EL59" s="584">
        <f t="shared" si="70"/>
        <v>0</v>
      </c>
      <c r="EM59" s="584">
        <f t="shared" si="70"/>
        <v>0</v>
      </c>
      <c r="EN59" s="584">
        <f t="shared" si="70"/>
        <v>606512000</v>
      </c>
      <c r="EO59" s="584">
        <f t="shared" si="70"/>
        <v>0</v>
      </c>
      <c r="EP59" s="584">
        <f t="shared" si="70"/>
        <v>0</v>
      </c>
      <c r="EQ59" s="584">
        <f t="shared" si="70"/>
        <v>0</v>
      </c>
      <c r="ER59" s="584">
        <f t="shared" si="70"/>
        <v>4497290180</v>
      </c>
      <c r="ES59" s="584">
        <f t="shared" si="70"/>
        <v>0</v>
      </c>
      <c r="ET59" s="584">
        <f t="shared" si="70"/>
        <v>4497290180</v>
      </c>
      <c r="EU59" s="584">
        <f t="shared" si="70"/>
        <v>0</v>
      </c>
      <c r="EV59" s="584">
        <f t="shared" si="70"/>
        <v>0</v>
      </c>
      <c r="EW59" s="584">
        <f t="shared" si="70"/>
        <v>0</v>
      </c>
      <c r="EX59" s="584">
        <f t="shared" si="70"/>
        <v>0</v>
      </c>
      <c r="EY59" s="584">
        <f>EY60+EY61</f>
        <v>0</v>
      </c>
      <c r="EZ59" s="584">
        <f>EZ60+EZ61</f>
        <v>0</v>
      </c>
      <c r="FA59" s="584">
        <f t="shared" si="70"/>
        <v>0</v>
      </c>
      <c r="FB59" s="584">
        <f t="shared" si="70"/>
        <v>4191536000</v>
      </c>
      <c r="FC59" s="584">
        <f t="shared" ref="FC59:GB59" si="71">FC60+FC61</f>
        <v>0</v>
      </c>
      <c r="FD59" s="584">
        <f t="shared" si="71"/>
        <v>0</v>
      </c>
      <c r="FE59" s="584">
        <f t="shared" si="71"/>
        <v>0</v>
      </c>
      <c r="FF59" s="584">
        <f t="shared" si="71"/>
        <v>0</v>
      </c>
      <c r="FG59" s="584">
        <f t="shared" si="71"/>
        <v>0</v>
      </c>
      <c r="FH59" s="584">
        <f t="shared" si="71"/>
        <v>255129180</v>
      </c>
      <c r="FI59" s="584">
        <f t="shared" si="71"/>
        <v>50625000</v>
      </c>
      <c r="FJ59" s="584">
        <f t="shared" si="71"/>
        <v>0</v>
      </c>
      <c r="FK59" s="584">
        <f t="shared" si="71"/>
        <v>0</v>
      </c>
      <c r="FL59" s="584">
        <f t="shared" si="71"/>
        <v>0</v>
      </c>
      <c r="FM59" s="584">
        <f t="shared" si="71"/>
        <v>0</v>
      </c>
      <c r="FN59" s="584">
        <f t="shared" si="71"/>
        <v>0</v>
      </c>
      <c r="FO59" s="584">
        <f t="shared" si="71"/>
        <v>0</v>
      </c>
      <c r="FP59" s="584">
        <f t="shared" si="71"/>
        <v>0</v>
      </c>
      <c r="FQ59" s="584">
        <f t="shared" si="71"/>
        <v>0</v>
      </c>
      <c r="FR59" s="584">
        <f t="shared" si="71"/>
        <v>0</v>
      </c>
      <c r="FS59" s="584">
        <f t="shared" si="71"/>
        <v>0</v>
      </c>
      <c r="FT59" s="584">
        <f t="shared" si="71"/>
        <v>0</v>
      </c>
      <c r="FU59" s="584">
        <f t="shared" si="71"/>
        <v>0</v>
      </c>
      <c r="FV59" s="584">
        <f t="shared" si="71"/>
        <v>0</v>
      </c>
      <c r="FW59" s="584">
        <f t="shared" si="71"/>
        <v>0</v>
      </c>
      <c r="FX59" s="584">
        <f t="shared" si="71"/>
        <v>0</v>
      </c>
      <c r="FY59" s="584">
        <f t="shared" si="71"/>
        <v>0</v>
      </c>
      <c r="FZ59" s="584">
        <f t="shared" si="71"/>
        <v>0</v>
      </c>
      <c r="GA59" s="584">
        <f t="shared" si="71"/>
        <v>0</v>
      </c>
      <c r="GB59" s="584">
        <f t="shared" si="71"/>
        <v>927709820</v>
      </c>
      <c r="GC59" s="586">
        <f>CP59/C59</f>
        <v>1</v>
      </c>
      <c r="GD59" s="586"/>
      <c r="GE59" s="586">
        <f>CW59/J59</f>
        <v>1</v>
      </c>
      <c r="GF59" s="586">
        <f>ER59/BE59</f>
        <v>0.82899358156682024</v>
      </c>
      <c r="GG59" s="586"/>
    </row>
    <row r="60" spans="1:189" s="92" customFormat="1" ht="17.25" hidden="1" customHeight="1">
      <c r="A60" s="582"/>
      <c r="B60" s="583" t="s">
        <v>183</v>
      </c>
      <c r="C60" s="584">
        <f>D60+BE60+CI60</f>
        <v>0</v>
      </c>
      <c r="D60" s="584">
        <f>E60+J60</f>
        <v>0</v>
      </c>
      <c r="E60" s="584">
        <f>SUM(F60:I60)</f>
        <v>0</v>
      </c>
      <c r="F60" s="584"/>
      <c r="G60" s="584"/>
      <c r="H60" s="584"/>
      <c r="I60" s="584"/>
      <c r="J60" s="584">
        <f>SUM(K60:BD60)</f>
        <v>0</v>
      </c>
      <c r="K60" s="584"/>
      <c r="L60" s="584"/>
      <c r="M60" s="584"/>
      <c r="N60" s="584"/>
      <c r="O60" s="584"/>
      <c r="P60" s="584"/>
      <c r="Q60" s="584"/>
      <c r="R60" s="584"/>
      <c r="S60" s="584"/>
      <c r="T60" s="584"/>
      <c r="U60" s="584"/>
      <c r="V60" s="584"/>
      <c r="W60" s="584"/>
      <c r="X60" s="584"/>
      <c r="Y60" s="584"/>
      <c r="Z60" s="584"/>
      <c r="AA60" s="584"/>
      <c r="AB60" s="584"/>
      <c r="AC60" s="584"/>
      <c r="AD60" s="584"/>
      <c r="AE60" s="584"/>
      <c r="AF60" s="584"/>
      <c r="AG60" s="584"/>
      <c r="AH60" s="584"/>
      <c r="AI60" s="584"/>
      <c r="AJ60" s="584"/>
      <c r="AK60" s="584"/>
      <c r="AL60" s="584"/>
      <c r="AM60" s="584"/>
      <c r="AN60" s="584"/>
      <c r="AO60" s="584"/>
      <c r="AP60" s="584"/>
      <c r="AQ60" s="584"/>
      <c r="AR60" s="584"/>
      <c r="AS60" s="584"/>
      <c r="AT60" s="584"/>
      <c r="AU60" s="584"/>
      <c r="AV60" s="584"/>
      <c r="AW60" s="584"/>
      <c r="AX60" s="584"/>
      <c r="AY60" s="584"/>
      <c r="AZ60" s="584"/>
      <c r="BA60" s="584"/>
      <c r="BB60" s="584"/>
      <c r="BC60" s="584"/>
      <c r="BD60" s="584"/>
      <c r="BE60" s="584">
        <f>SUM(BF60:BG60)</f>
        <v>0</v>
      </c>
      <c r="BF60" s="584">
        <f>SUM(BH60:BI60)+BJ60+SUM(BL60:BN60)+BW60+CE60</f>
        <v>0</v>
      </c>
      <c r="BG60" s="584">
        <f>BK60+SUM(BO60:BV60)+SUM(BX60:CD60)+SUM(CF60:CH60)</f>
        <v>0</v>
      </c>
      <c r="BH60" s="584"/>
      <c r="BI60" s="584"/>
      <c r="BJ60" s="584"/>
      <c r="BK60" s="584"/>
      <c r="BL60" s="584"/>
      <c r="BM60" s="584"/>
      <c r="BN60" s="584"/>
      <c r="BO60" s="584"/>
      <c r="BP60" s="584"/>
      <c r="BQ60" s="584"/>
      <c r="BR60" s="584"/>
      <c r="BS60" s="584"/>
      <c r="BT60" s="584"/>
      <c r="BU60" s="584"/>
      <c r="BV60" s="584"/>
      <c r="BW60" s="584"/>
      <c r="BX60" s="584"/>
      <c r="BY60" s="584"/>
      <c r="BZ60" s="584"/>
      <c r="CA60" s="584"/>
      <c r="CB60" s="584"/>
      <c r="CC60" s="584"/>
      <c r="CD60" s="584"/>
      <c r="CE60" s="584"/>
      <c r="CF60" s="584"/>
      <c r="CG60" s="584"/>
      <c r="CH60" s="584"/>
      <c r="CI60" s="584">
        <f>SUM(CJ60:CK60)</f>
        <v>0</v>
      </c>
      <c r="CJ60" s="584">
        <f>SUM(CL60:CL60)</f>
        <v>0</v>
      </c>
      <c r="CK60" s="584">
        <f>SUM(CM60:CN60)</f>
        <v>0</v>
      </c>
      <c r="CL60" s="584"/>
      <c r="CM60" s="584"/>
      <c r="CN60" s="584"/>
      <c r="CO60" s="583" t="s">
        <v>183</v>
      </c>
      <c r="CP60" s="584">
        <f>CQ60+ER60+FV60+GB60</f>
        <v>0</v>
      </c>
      <c r="CQ60" s="584">
        <f>CR60+CW60</f>
        <v>0</v>
      </c>
      <c r="CR60" s="584">
        <f>SUM(CS60:CV60)</f>
        <v>0</v>
      </c>
      <c r="CS60" s="584"/>
      <c r="CT60" s="584"/>
      <c r="CU60" s="584"/>
      <c r="CV60" s="584"/>
      <c r="CW60" s="584">
        <f>SUM(CX60:EQ60)</f>
        <v>0</v>
      </c>
      <c r="CX60" s="584"/>
      <c r="CY60" s="584"/>
      <c r="CZ60" s="584"/>
      <c r="DA60" s="584"/>
      <c r="DB60" s="584"/>
      <c r="DC60" s="584"/>
      <c r="DD60" s="584"/>
      <c r="DE60" s="584"/>
      <c r="DF60" s="584"/>
      <c r="DG60" s="584"/>
      <c r="DH60" s="584"/>
      <c r="DI60" s="584"/>
      <c r="DJ60" s="584"/>
      <c r="DK60" s="584"/>
      <c r="DL60" s="584"/>
      <c r="DM60" s="584"/>
      <c r="DN60" s="584"/>
      <c r="DO60" s="584"/>
      <c r="DP60" s="584"/>
      <c r="DQ60" s="584"/>
      <c r="DR60" s="584"/>
      <c r="DS60" s="584"/>
      <c r="DT60" s="584"/>
      <c r="DU60" s="584"/>
      <c r="DV60" s="584"/>
      <c r="DW60" s="584"/>
      <c r="DX60" s="584"/>
      <c r="DY60" s="584"/>
      <c r="DZ60" s="584"/>
      <c r="EA60" s="584"/>
      <c r="EB60" s="584"/>
      <c r="EC60" s="584"/>
      <c r="ED60" s="584"/>
      <c r="EE60" s="584"/>
      <c r="EF60" s="584"/>
      <c r="EG60" s="584"/>
      <c r="EH60" s="584"/>
      <c r="EI60" s="584"/>
      <c r="EJ60" s="584"/>
      <c r="EK60" s="584"/>
      <c r="EL60" s="584"/>
      <c r="EM60" s="584"/>
      <c r="EN60" s="584"/>
      <c r="EO60" s="584"/>
      <c r="EP60" s="584"/>
      <c r="EQ60" s="584"/>
      <c r="ER60" s="584">
        <f>SUM(ES60:ET60)</f>
        <v>0</v>
      </c>
      <c r="ES60" s="584">
        <f>SUM(EU60:EV60)+EW60+SUM(EY60:FA60)+FJ60+FR60</f>
        <v>0</v>
      </c>
      <c r="ET60" s="584">
        <f>EX60+SUM(FB60:FI60)+SUM(FK60:FQ60)+SUM(FS60:FU60)</f>
        <v>0</v>
      </c>
      <c r="EU60" s="584"/>
      <c r="EV60" s="584"/>
      <c r="EW60" s="584"/>
      <c r="EX60" s="584"/>
      <c r="EY60" s="584"/>
      <c r="EZ60" s="584"/>
      <c r="FA60" s="584"/>
      <c r="FB60" s="584"/>
      <c r="FC60" s="584"/>
      <c r="FD60" s="584"/>
      <c r="FE60" s="584"/>
      <c r="FF60" s="584"/>
      <c r="FG60" s="584"/>
      <c r="FH60" s="584"/>
      <c r="FI60" s="584"/>
      <c r="FJ60" s="584"/>
      <c r="FK60" s="584"/>
      <c r="FL60" s="584"/>
      <c r="FM60" s="584"/>
      <c r="FN60" s="584"/>
      <c r="FO60" s="584"/>
      <c r="FP60" s="584"/>
      <c r="FQ60" s="584"/>
      <c r="FR60" s="584"/>
      <c r="FS60" s="584"/>
      <c r="FT60" s="584"/>
      <c r="FU60" s="584"/>
      <c r="FV60" s="584">
        <f>SUM(FW60:FX60)</f>
        <v>0</v>
      </c>
      <c r="FW60" s="584">
        <f>SUM(FY60:FY60)</f>
        <v>0</v>
      </c>
      <c r="FX60" s="584">
        <f>SUM(FZ60:GA60)</f>
        <v>0</v>
      </c>
      <c r="FY60" s="584"/>
      <c r="FZ60" s="584"/>
      <c r="GA60" s="584"/>
      <c r="GB60" s="584"/>
      <c r="GC60" s="586"/>
      <c r="GD60" s="586"/>
      <c r="GE60" s="586"/>
      <c r="GF60" s="586"/>
      <c r="GG60" s="586"/>
    </row>
    <row r="61" spans="1:189" s="92" customFormat="1" ht="17.25" hidden="1" customHeight="1">
      <c r="A61" s="582"/>
      <c r="B61" s="583" t="s">
        <v>184</v>
      </c>
      <c r="C61" s="584">
        <f>D61+BE61+CI61</f>
        <v>6153066000</v>
      </c>
      <c r="D61" s="584">
        <f>E61+J61</f>
        <v>728066000</v>
      </c>
      <c r="E61" s="584">
        <f>SUM(F61:I61)</f>
        <v>0</v>
      </c>
      <c r="F61" s="584"/>
      <c r="G61" s="584"/>
      <c r="H61" s="584"/>
      <c r="I61" s="584"/>
      <c r="J61" s="584">
        <f>SUM(K61:BD61)</f>
        <v>728066000</v>
      </c>
      <c r="K61" s="584"/>
      <c r="L61" s="584"/>
      <c r="M61" s="584"/>
      <c r="N61" s="584"/>
      <c r="O61" s="584"/>
      <c r="P61" s="584"/>
      <c r="Q61" s="584"/>
      <c r="R61" s="584"/>
      <c r="S61" s="584"/>
      <c r="T61" s="584"/>
      <c r="U61" s="584"/>
      <c r="V61" s="584"/>
      <c r="W61" s="584"/>
      <c r="X61" s="584"/>
      <c r="Y61" s="584"/>
      <c r="Z61" s="584">
        <v>17954000</v>
      </c>
      <c r="AA61" s="584"/>
      <c r="AB61" s="584"/>
      <c r="AC61" s="584"/>
      <c r="AD61" s="584"/>
      <c r="AE61" s="584"/>
      <c r="AF61" s="584"/>
      <c r="AG61" s="584">
        <v>103600000</v>
      </c>
      <c r="AH61" s="584"/>
      <c r="AI61" s="584"/>
      <c r="AJ61" s="584"/>
      <c r="AK61" s="584"/>
      <c r="AL61" s="584"/>
      <c r="AM61" s="584"/>
      <c r="AN61" s="584"/>
      <c r="AO61" s="584"/>
      <c r="AP61" s="584"/>
      <c r="AQ61" s="584"/>
      <c r="AR61" s="584"/>
      <c r="AS61" s="584"/>
      <c r="AT61" s="584"/>
      <c r="AU61" s="584"/>
      <c r="AV61" s="584"/>
      <c r="AW61" s="584"/>
      <c r="AX61" s="584"/>
      <c r="AY61" s="584"/>
      <c r="AZ61" s="584"/>
      <c r="BA61" s="584">
        <v>606512000</v>
      </c>
      <c r="BB61" s="584"/>
      <c r="BC61" s="584"/>
      <c r="BD61" s="584"/>
      <c r="BE61" s="584">
        <f>SUM(BF61:BG61)</f>
        <v>5425000000</v>
      </c>
      <c r="BF61" s="584">
        <f>SUM(BH61:BI61)+BJ61+SUM(BL61:BN61)+BW61+CE61</f>
        <v>0</v>
      </c>
      <c r="BG61" s="584">
        <f>BK61+SUM(BO61:BV61)+SUM(BX61:CD61)+SUM(CF61:CH61)</f>
        <v>5425000000</v>
      </c>
      <c r="BH61" s="584"/>
      <c r="BI61" s="584"/>
      <c r="BJ61" s="584"/>
      <c r="BK61" s="584"/>
      <c r="BL61" s="584"/>
      <c r="BM61" s="584"/>
      <c r="BN61" s="584"/>
      <c r="BO61" s="584">
        <v>4318000000</v>
      </c>
      <c r="BP61" s="584"/>
      <c r="BQ61" s="584"/>
      <c r="BR61" s="584"/>
      <c r="BS61" s="584"/>
      <c r="BT61" s="584"/>
      <c r="BU61" s="584">
        <f>191000000+816000000</f>
        <v>1007000000</v>
      </c>
      <c r="BV61" s="584">
        <v>100000000</v>
      </c>
      <c r="BW61" s="584"/>
      <c r="BX61" s="584"/>
      <c r="BY61" s="584"/>
      <c r="BZ61" s="584"/>
      <c r="CA61" s="584"/>
      <c r="CB61" s="584"/>
      <c r="CC61" s="584"/>
      <c r="CD61" s="584"/>
      <c r="CE61" s="584"/>
      <c r="CF61" s="584"/>
      <c r="CG61" s="584"/>
      <c r="CH61" s="584"/>
      <c r="CI61" s="584">
        <f>SUM(CJ61:CK61)</f>
        <v>0</v>
      </c>
      <c r="CJ61" s="584">
        <f>SUM(CL61:CL61)</f>
        <v>0</v>
      </c>
      <c r="CK61" s="584">
        <f>SUM(CM61:CN61)</f>
        <v>0</v>
      </c>
      <c r="CL61" s="584"/>
      <c r="CM61" s="584"/>
      <c r="CN61" s="584"/>
      <c r="CO61" s="583" t="s">
        <v>184</v>
      </c>
      <c r="CP61" s="584">
        <f>CQ61+ER61+FV61+GB61</f>
        <v>6153066000</v>
      </c>
      <c r="CQ61" s="584">
        <f>CR61+CW61</f>
        <v>728066000</v>
      </c>
      <c r="CR61" s="584">
        <f>SUM(CS61:CV61)</f>
        <v>0</v>
      </c>
      <c r="CS61" s="584"/>
      <c r="CT61" s="584"/>
      <c r="CU61" s="584"/>
      <c r="CV61" s="584"/>
      <c r="CW61" s="584">
        <f>SUM(CX61:EQ61)</f>
        <v>728066000</v>
      </c>
      <c r="CX61" s="584"/>
      <c r="CY61" s="584"/>
      <c r="CZ61" s="584"/>
      <c r="DA61" s="584"/>
      <c r="DB61" s="584"/>
      <c r="DC61" s="584"/>
      <c r="DD61" s="584"/>
      <c r="DE61" s="584"/>
      <c r="DF61" s="584"/>
      <c r="DG61" s="584"/>
      <c r="DH61" s="584"/>
      <c r="DI61" s="584"/>
      <c r="DJ61" s="584"/>
      <c r="DK61" s="584"/>
      <c r="DL61" s="584"/>
      <c r="DM61" s="584">
        <v>17954000</v>
      </c>
      <c r="DN61" s="584"/>
      <c r="DO61" s="584"/>
      <c r="DP61" s="584"/>
      <c r="DQ61" s="584"/>
      <c r="DR61" s="584"/>
      <c r="DS61" s="584"/>
      <c r="DT61" s="584">
        <v>103600000</v>
      </c>
      <c r="DU61" s="584"/>
      <c r="DV61" s="584"/>
      <c r="DW61" s="584"/>
      <c r="DX61" s="584"/>
      <c r="DY61" s="584"/>
      <c r="DZ61" s="584"/>
      <c r="EA61" s="584"/>
      <c r="EB61" s="584"/>
      <c r="EC61" s="584"/>
      <c r="ED61" s="584"/>
      <c r="EE61" s="584"/>
      <c r="EF61" s="584"/>
      <c r="EG61" s="584"/>
      <c r="EH61" s="584"/>
      <c r="EI61" s="584"/>
      <c r="EJ61" s="584"/>
      <c r="EK61" s="584"/>
      <c r="EL61" s="584"/>
      <c r="EM61" s="584"/>
      <c r="EN61" s="584">
        <v>606512000</v>
      </c>
      <c r="EO61" s="584"/>
      <c r="EP61" s="584"/>
      <c r="EQ61" s="584"/>
      <c r="ER61" s="584">
        <f>SUM(ES61:ET61)</f>
        <v>4497290180</v>
      </c>
      <c r="ES61" s="584">
        <f>SUM(EU61:EV61)+EW61+SUM(EY61:FA61)+FJ61+FR61</f>
        <v>0</v>
      </c>
      <c r="ET61" s="584">
        <f>EX61+SUM(FB61:FI61)+SUM(FK61:FQ61)+SUM(FS61:FU61)</f>
        <v>4497290180</v>
      </c>
      <c r="EU61" s="584"/>
      <c r="EV61" s="584"/>
      <c r="EW61" s="584"/>
      <c r="EX61" s="584"/>
      <c r="EY61" s="584"/>
      <c r="EZ61" s="584"/>
      <c r="FA61" s="584"/>
      <c r="FB61" s="584">
        <v>4191536000</v>
      </c>
      <c r="FC61" s="584"/>
      <c r="FD61" s="584"/>
      <c r="FE61" s="584"/>
      <c r="FF61" s="584"/>
      <c r="FG61" s="584"/>
      <c r="FH61" s="584">
        <v>255129180</v>
      </c>
      <c r="FI61" s="584">
        <v>50625000</v>
      </c>
      <c r="FJ61" s="584"/>
      <c r="FK61" s="584"/>
      <c r="FL61" s="584"/>
      <c r="FM61" s="584"/>
      <c r="FN61" s="584"/>
      <c r="FO61" s="584"/>
      <c r="FP61" s="584"/>
      <c r="FQ61" s="584"/>
      <c r="FR61" s="584"/>
      <c r="FS61" s="584"/>
      <c r="FT61" s="584"/>
      <c r="FU61" s="584"/>
      <c r="FV61" s="584">
        <f>SUM(FW61:FX61)</f>
        <v>0</v>
      </c>
      <c r="FW61" s="584">
        <f>SUM(FY61:FY61)</f>
        <v>0</v>
      </c>
      <c r="FX61" s="584">
        <f>SUM(FZ61:GA61)</f>
        <v>0</v>
      </c>
      <c r="FY61" s="584"/>
      <c r="FZ61" s="584"/>
      <c r="GA61" s="584"/>
      <c r="GB61" s="584">
        <v>927709820</v>
      </c>
      <c r="GC61" s="586">
        <f>CP61/C61</f>
        <v>1</v>
      </c>
      <c r="GD61" s="586"/>
      <c r="GE61" s="586">
        <f>CW61/J61</f>
        <v>1</v>
      </c>
      <c r="GF61" s="586">
        <f>ER61/BE61</f>
        <v>0.82899358156682024</v>
      </c>
      <c r="GG61" s="586"/>
    </row>
    <row r="62" spans="1:189" s="92" customFormat="1" ht="17.25" customHeight="1">
      <c r="A62" s="582">
        <v>17</v>
      </c>
      <c r="B62" s="583" t="s">
        <v>391</v>
      </c>
      <c r="C62" s="584">
        <f t="shared" ref="C62:AU62" si="72">C63+C64</f>
        <v>1227533118</v>
      </c>
      <c r="D62" s="584">
        <f t="shared" si="72"/>
        <v>1227533118</v>
      </c>
      <c r="E62" s="584">
        <f t="shared" si="72"/>
        <v>0</v>
      </c>
      <c r="F62" s="584">
        <f t="shared" si="72"/>
        <v>0</v>
      </c>
      <c r="G62" s="584">
        <f t="shared" si="72"/>
        <v>0</v>
      </c>
      <c r="H62" s="584">
        <f t="shared" si="72"/>
        <v>0</v>
      </c>
      <c r="I62" s="584">
        <f t="shared" si="72"/>
        <v>0</v>
      </c>
      <c r="J62" s="584">
        <f t="shared" si="72"/>
        <v>1227533118</v>
      </c>
      <c r="K62" s="584">
        <f t="shared" si="72"/>
        <v>0</v>
      </c>
      <c r="L62" s="584">
        <f t="shared" si="72"/>
        <v>0</v>
      </c>
      <c r="M62" s="584">
        <f t="shared" si="72"/>
        <v>0</v>
      </c>
      <c r="N62" s="584">
        <f t="shared" si="72"/>
        <v>0</v>
      </c>
      <c r="O62" s="584">
        <f t="shared" si="72"/>
        <v>0</v>
      </c>
      <c r="P62" s="584">
        <f t="shared" si="72"/>
        <v>0</v>
      </c>
      <c r="Q62" s="584">
        <f t="shared" si="72"/>
        <v>0</v>
      </c>
      <c r="R62" s="584">
        <f t="shared" si="72"/>
        <v>0</v>
      </c>
      <c r="S62" s="584">
        <f t="shared" si="72"/>
        <v>0</v>
      </c>
      <c r="T62" s="584">
        <f t="shared" si="72"/>
        <v>0</v>
      </c>
      <c r="U62" s="584">
        <f t="shared" si="72"/>
        <v>0</v>
      </c>
      <c r="V62" s="584">
        <f t="shared" si="72"/>
        <v>0</v>
      </c>
      <c r="W62" s="584">
        <f t="shared" si="72"/>
        <v>0</v>
      </c>
      <c r="X62" s="584">
        <f t="shared" si="72"/>
        <v>0</v>
      </c>
      <c r="Y62" s="584">
        <f t="shared" si="72"/>
        <v>0</v>
      </c>
      <c r="Z62" s="584">
        <f t="shared" si="72"/>
        <v>1227533118</v>
      </c>
      <c r="AA62" s="584">
        <f t="shared" si="72"/>
        <v>0</v>
      </c>
      <c r="AB62" s="584">
        <f t="shared" si="72"/>
        <v>0</v>
      </c>
      <c r="AC62" s="584">
        <f t="shared" si="72"/>
        <v>0</v>
      </c>
      <c r="AD62" s="584">
        <f t="shared" si="72"/>
        <v>0</v>
      </c>
      <c r="AE62" s="584">
        <f t="shared" si="72"/>
        <v>0</v>
      </c>
      <c r="AF62" s="584">
        <f t="shared" si="72"/>
        <v>0</v>
      </c>
      <c r="AG62" s="584">
        <f t="shared" si="72"/>
        <v>0</v>
      </c>
      <c r="AH62" s="584">
        <f t="shared" si="72"/>
        <v>0</v>
      </c>
      <c r="AI62" s="584">
        <f t="shared" si="72"/>
        <v>0</v>
      </c>
      <c r="AJ62" s="584">
        <f t="shared" si="72"/>
        <v>0</v>
      </c>
      <c r="AK62" s="584">
        <f t="shared" si="72"/>
        <v>0</v>
      </c>
      <c r="AL62" s="584">
        <f t="shared" si="72"/>
        <v>0</v>
      </c>
      <c r="AM62" s="584">
        <f t="shared" si="72"/>
        <v>0</v>
      </c>
      <c r="AN62" s="584">
        <f t="shared" si="72"/>
        <v>0</v>
      </c>
      <c r="AO62" s="584">
        <f t="shared" si="72"/>
        <v>0</v>
      </c>
      <c r="AP62" s="584">
        <f t="shared" si="72"/>
        <v>0</v>
      </c>
      <c r="AQ62" s="584">
        <f t="shared" si="72"/>
        <v>0</v>
      </c>
      <c r="AR62" s="584">
        <f t="shared" si="72"/>
        <v>0</v>
      </c>
      <c r="AS62" s="584">
        <f t="shared" si="72"/>
        <v>0</v>
      </c>
      <c r="AT62" s="584">
        <f t="shared" si="72"/>
        <v>0</v>
      </c>
      <c r="AU62" s="584">
        <f t="shared" si="72"/>
        <v>0</v>
      </c>
      <c r="AV62" s="584">
        <f>AV63+AV64</f>
        <v>0</v>
      </c>
      <c r="AW62" s="584">
        <f>AW63+AW64</f>
        <v>0</v>
      </c>
      <c r="AX62" s="584">
        <f t="shared" ref="AX62:CN62" si="73">AX63+AX64</f>
        <v>0</v>
      </c>
      <c r="AY62" s="584">
        <f t="shared" si="73"/>
        <v>0</v>
      </c>
      <c r="AZ62" s="584">
        <f t="shared" si="73"/>
        <v>0</v>
      </c>
      <c r="BA62" s="584">
        <f t="shared" si="73"/>
        <v>0</v>
      </c>
      <c r="BB62" s="584">
        <f t="shared" si="73"/>
        <v>0</v>
      </c>
      <c r="BC62" s="584">
        <f t="shared" si="73"/>
        <v>0</v>
      </c>
      <c r="BD62" s="584">
        <f t="shared" si="73"/>
        <v>0</v>
      </c>
      <c r="BE62" s="584">
        <f t="shared" si="73"/>
        <v>0</v>
      </c>
      <c r="BF62" s="584">
        <f t="shared" si="73"/>
        <v>0</v>
      </c>
      <c r="BG62" s="584">
        <f t="shared" si="73"/>
        <v>0</v>
      </c>
      <c r="BH62" s="584">
        <f t="shared" si="73"/>
        <v>0</v>
      </c>
      <c r="BI62" s="584">
        <f t="shared" si="73"/>
        <v>0</v>
      </c>
      <c r="BJ62" s="584">
        <f t="shared" si="73"/>
        <v>0</v>
      </c>
      <c r="BK62" s="584">
        <f t="shared" si="73"/>
        <v>0</v>
      </c>
      <c r="BL62" s="584">
        <f>BL63+BL64</f>
        <v>0</v>
      </c>
      <c r="BM62" s="584">
        <f>BM63+BM64</f>
        <v>0</v>
      </c>
      <c r="BN62" s="584">
        <f t="shared" si="73"/>
        <v>0</v>
      </c>
      <c r="BO62" s="584">
        <f t="shared" si="73"/>
        <v>0</v>
      </c>
      <c r="BP62" s="584">
        <f t="shared" si="73"/>
        <v>0</v>
      </c>
      <c r="BQ62" s="584">
        <f t="shared" si="73"/>
        <v>0</v>
      </c>
      <c r="BR62" s="584">
        <f t="shared" si="73"/>
        <v>0</v>
      </c>
      <c r="BS62" s="584">
        <f t="shared" si="73"/>
        <v>0</v>
      </c>
      <c r="BT62" s="584">
        <f t="shared" si="73"/>
        <v>0</v>
      </c>
      <c r="BU62" s="584">
        <f t="shared" si="73"/>
        <v>0</v>
      </c>
      <c r="BV62" s="584">
        <f t="shared" si="73"/>
        <v>0</v>
      </c>
      <c r="BW62" s="584">
        <f t="shared" si="73"/>
        <v>0</v>
      </c>
      <c r="BX62" s="584">
        <f t="shared" si="73"/>
        <v>0</v>
      </c>
      <c r="BY62" s="584">
        <f t="shared" si="73"/>
        <v>0</v>
      </c>
      <c r="BZ62" s="584">
        <f t="shared" si="73"/>
        <v>0</v>
      </c>
      <c r="CA62" s="584">
        <f t="shared" si="73"/>
        <v>0</v>
      </c>
      <c r="CB62" s="584">
        <f t="shared" si="73"/>
        <v>0</v>
      </c>
      <c r="CC62" s="584">
        <f t="shared" si="73"/>
        <v>0</v>
      </c>
      <c r="CD62" s="584">
        <f t="shared" si="73"/>
        <v>0</v>
      </c>
      <c r="CE62" s="584">
        <f t="shared" si="73"/>
        <v>0</v>
      </c>
      <c r="CF62" s="584">
        <f t="shared" si="73"/>
        <v>0</v>
      </c>
      <c r="CG62" s="584">
        <f t="shared" si="73"/>
        <v>0</v>
      </c>
      <c r="CH62" s="584">
        <f t="shared" si="73"/>
        <v>0</v>
      </c>
      <c r="CI62" s="584">
        <f t="shared" si="73"/>
        <v>0</v>
      </c>
      <c r="CJ62" s="584">
        <f t="shared" si="73"/>
        <v>0</v>
      </c>
      <c r="CK62" s="584">
        <f t="shared" si="73"/>
        <v>0</v>
      </c>
      <c r="CL62" s="584">
        <f t="shared" si="73"/>
        <v>0</v>
      </c>
      <c r="CM62" s="584">
        <f t="shared" si="73"/>
        <v>0</v>
      </c>
      <c r="CN62" s="584">
        <f t="shared" si="73"/>
        <v>0</v>
      </c>
      <c r="CO62" s="583" t="s">
        <v>391</v>
      </c>
      <c r="CP62" s="584">
        <f t="shared" ref="CP62:FA62" si="74">CP63+CP64</f>
        <v>1227533118</v>
      </c>
      <c r="CQ62" s="584">
        <f t="shared" si="74"/>
        <v>1227533118</v>
      </c>
      <c r="CR62" s="584">
        <f t="shared" si="74"/>
        <v>0</v>
      </c>
      <c r="CS62" s="584">
        <f t="shared" si="74"/>
        <v>0</v>
      </c>
      <c r="CT62" s="584">
        <f t="shared" si="74"/>
        <v>0</v>
      </c>
      <c r="CU62" s="584">
        <f t="shared" si="74"/>
        <v>0</v>
      </c>
      <c r="CV62" s="584">
        <f t="shared" si="74"/>
        <v>0</v>
      </c>
      <c r="CW62" s="584">
        <f t="shared" si="74"/>
        <v>1227533118</v>
      </c>
      <c r="CX62" s="584">
        <f t="shared" si="74"/>
        <v>0</v>
      </c>
      <c r="CY62" s="584">
        <f t="shared" si="74"/>
        <v>0</v>
      </c>
      <c r="CZ62" s="584">
        <f t="shared" si="74"/>
        <v>0</v>
      </c>
      <c r="DA62" s="584">
        <f t="shared" si="74"/>
        <v>0</v>
      </c>
      <c r="DB62" s="584">
        <f t="shared" si="74"/>
        <v>0</v>
      </c>
      <c r="DC62" s="584">
        <f t="shared" si="74"/>
        <v>0</v>
      </c>
      <c r="DD62" s="584">
        <f t="shared" si="74"/>
        <v>0</v>
      </c>
      <c r="DE62" s="584">
        <f t="shared" si="74"/>
        <v>0</v>
      </c>
      <c r="DF62" s="584">
        <f t="shared" si="74"/>
        <v>0</v>
      </c>
      <c r="DG62" s="584">
        <f t="shared" si="74"/>
        <v>0</v>
      </c>
      <c r="DH62" s="584">
        <f t="shared" si="74"/>
        <v>0</v>
      </c>
      <c r="DI62" s="584">
        <f t="shared" si="74"/>
        <v>0</v>
      </c>
      <c r="DJ62" s="584">
        <f t="shared" si="74"/>
        <v>0</v>
      </c>
      <c r="DK62" s="584">
        <f t="shared" si="74"/>
        <v>0</v>
      </c>
      <c r="DL62" s="584">
        <f t="shared" si="74"/>
        <v>0</v>
      </c>
      <c r="DM62" s="584">
        <f>DM63+DM64</f>
        <v>1227533118</v>
      </c>
      <c r="DN62" s="584">
        <f t="shared" si="74"/>
        <v>0</v>
      </c>
      <c r="DO62" s="584">
        <f t="shared" si="74"/>
        <v>0</v>
      </c>
      <c r="DP62" s="584">
        <f t="shared" si="74"/>
        <v>0</v>
      </c>
      <c r="DQ62" s="584">
        <f t="shared" si="74"/>
        <v>0</v>
      </c>
      <c r="DR62" s="584">
        <f t="shared" si="74"/>
        <v>0</v>
      </c>
      <c r="DS62" s="584">
        <f t="shared" si="74"/>
        <v>0</v>
      </c>
      <c r="DT62" s="584">
        <f t="shared" si="74"/>
        <v>0</v>
      </c>
      <c r="DU62" s="584">
        <f t="shared" si="74"/>
        <v>0</v>
      </c>
      <c r="DV62" s="584">
        <f t="shared" si="74"/>
        <v>0</v>
      </c>
      <c r="DW62" s="584">
        <f t="shared" si="74"/>
        <v>0</v>
      </c>
      <c r="DX62" s="584">
        <f t="shared" si="74"/>
        <v>0</v>
      </c>
      <c r="DY62" s="584">
        <f t="shared" si="74"/>
        <v>0</v>
      </c>
      <c r="DZ62" s="584">
        <f t="shared" si="74"/>
        <v>0</v>
      </c>
      <c r="EA62" s="584">
        <f t="shared" si="74"/>
        <v>0</v>
      </c>
      <c r="EB62" s="584">
        <f t="shared" si="74"/>
        <v>0</v>
      </c>
      <c r="EC62" s="584">
        <f t="shared" si="74"/>
        <v>0</v>
      </c>
      <c r="ED62" s="584">
        <f t="shared" si="74"/>
        <v>0</v>
      </c>
      <c r="EE62" s="584">
        <f t="shared" si="74"/>
        <v>0</v>
      </c>
      <c r="EF62" s="584">
        <f t="shared" si="74"/>
        <v>0</v>
      </c>
      <c r="EG62" s="584">
        <f t="shared" si="74"/>
        <v>0</v>
      </c>
      <c r="EH62" s="584">
        <f t="shared" si="74"/>
        <v>0</v>
      </c>
      <c r="EI62" s="584">
        <f>EI63+EI64</f>
        <v>0</v>
      </c>
      <c r="EJ62" s="584">
        <f>EJ63+EJ64</f>
        <v>0</v>
      </c>
      <c r="EK62" s="584">
        <f t="shared" si="74"/>
        <v>0</v>
      </c>
      <c r="EL62" s="584">
        <f t="shared" si="74"/>
        <v>0</v>
      </c>
      <c r="EM62" s="584">
        <f t="shared" si="74"/>
        <v>0</v>
      </c>
      <c r="EN62" s="584">
        <f t="shared" si="74"/>
        <v>0</v>
      </c>
      <c r="EO62" s="584">
        <f t="shared" si="74"/>
        <v>0</v>
      </c>
      <c r="EP62" s="584">
        <f t="shared" si="74"/>
        <v>0</v>
      </c>
      <c r="EQ62" s="584">
        <f t="shared" si="74"/>
        <v>0</v>
      </c>
      <c r="ER62" s="584">
        <f t="shared" si="74"/>
        <v>0</v>
      </c>
      <c r="ES62" s="584">
        <f t="shared" si="74"/>
        <v>0</v>
      </c>
      <c r="ET62" s="584">
        <f t="shared" si="74"/>
        <v>0</v>
      </c>
      <c r="EU62" s="584">
        <f t="shared" si="74"/>
        <v>0</v>
      </c>
      <c r="EV62" s="584">
        <f t="shared" si="74"/>
        <v>0</v>
      </c>
      <c r="EW62" s="584">
        <f t="shared" si="74"/>
        <v>0</v>
      </c>
      <c r="EX62" s="584">
        <f t="shared" si="74"/>
        <v>0</v>
      </c>
      <c r="EY62" s="584">
        <f>EY63+EY64</f>
        <v>0</v>
      </c>
      <c r="EZ62" s="584">
        <f>EZ63+EZ64</f>
        <v>0</v>
      </c>
      <c r="FA62" s="584">
        <f t="shared" si="74"/>
        <v>0</v>
      </c>
      <c r="FB62" s="584">
        <f t="shared" ref="FB62:GB62" si="75">FB63+FB64</f>
        <v>0</v>
      </c>
      <c r="FC62" s="584">
        <f t="shared" si="75"/>
        <v>0</v>
      </c>
      <c r="FD62" s="584">
        <f t="shared" si="75"/>
        <v>0</v>
      </c>
      <c r="FE62" s="584">
        <f t="shared" si="75"/>
        <v>0</v>
      </c>
      <c r="FF62" s="584">
        <f t="shared" si="75"/>
        <v>0</v>
      </c>
      <c r="FG62" s="584">
        <f t="shared" si="75"/>
        <v>0</v>
      </c>
      <c r="FH62" s="584">
        <f t="shared" si="75"/>
        <v>0</v>
      </c>
      <c r="FI62" s="584">
        <f t="shared" si="75"/>
        <v>0</v>
      </c>
      <c r="FJ62" s="584">
        <f t="shared" si="75"/>
        <v>0</v>
      </c>
      <c r="FK62" s="584">
        <f t="shared" si="75"/>
        <v>0</v>
      </c>
      <c r="FL62" s="584">
        <f t="shared" si="75"/>
        <v>0</v>
      </c>
      <c r="FM62" s="584">
        <f t="shared" si="75"/>
        <v>0</v>
      </c>
      <c r="FN62" s="584">
        <f t="shared" si="75"/>
        <v>0</v>
      </c>
      <c r="FO62" s="584">
        <f t="shared" si="75"/>
        <v>0</v>
      </c>
      <c r="FP62" s="584">
        <f t="shared" si="75"/>
        <v>0</v>
      </c>
      <c r="FQ62" s="584">
        <f t="shared" si="75"/>
        <v>0</v>
      </c>
      <c r="FR62" s="584">
        <f t="shared" si="75"/>
        <v>0</v>
      </c>
      <c r="FS62" s="584">
        <f t="shared" si="75"/>
        <v>0</v>
      </c>
      <c r="FT62" s="584">
        <f t="shared" si="75"/>
        <v>0</v>
      </c>
      <c r="FU62" s="584">
        <f t="shared" si="75"/>
        <v>0</v>
      </c>
      <c r="FV62" s="584">
        <f t="shared" si="75"/>
        <v>0</v>
      </c>
      <c r="FW62" s="584">
        <f t="shared" si="75"/>
        <v>0</v>
      </c>
      <c r="FX62" s="584">
        <f t="shared" si="75"/>
        <v>0</v>
      </c>
      <c r="FY62" s="584">
        <f t="shared" si="75"/>
        <v>0</v>
      </c>
      <c r="FZ62" s="584">
        <f t="shared" si="75"/>
        <v>0</v>
      </c>
      <c r="GA62" s="584">
        <f t="shared" si="75"/>
        <v>0</v>
      </c>
      <c r="GB62" s="584">
        <f t="shared" si="75"/>
        <v>0</v>
      </c>
      <c r="GC62" s="586">
        <f>CP62/C62</f>
        <v>1</v>
      </c>
      <c r="GD62" s="586"/>
      <c r="GE62" s="586">
        <f>CW62/J62</f>
        <v>1</v>
      </c>
      <c r="GF62" s="586"/>
      <c r="GG62" s="586"/>
    </row>
    <row r="63" spans="1:189" s="92" customFormat="1" ht="17.25" hidden="1" customHeight="1">
      <c r="A63" s="582"/>
      <c r="B63" s="583" t="s">
        <v>183</v>
      </c>
      <c r="C63" s="584">
        <f>D63+BE63+CI63</f>
        <v>0</v>
      </c>
      <c r="D63" s="584">
        <f>E63+J63</f>
        <v>0</v>
      </c>
      <c r="E63" s="584">
        <f>SUM(F63:I63)</f>
        <v>0</v>
      </c>
      <c r="F63" s="584"/>
      <c r="G63" s="584"/>
      <c r="H63" s="584"/>
      <c r="I63" s="584"/>
      <c r="J63" s="584">
        <f>SUM(K63:BD63)</f>
        <v>0</v>
      </c>
      <c r="K63" s="584"/>
      <c r="L63" s="584"/>
      <c r="M63" s="584"/>
      <c r="N63" s="584"/>
      <c r="O63" s="584"/>
      <c r="P63" s="584"/>
      <c r="Q63" s="584"/>
      <c r="R63" s="584"/>
      <c r="S63" s="584"/>
      <c r="T63" s="584"/>
      <c r="U63" s="584"/>
      <c r="V63" s="584"/>
      <c r="W63" s="584"/>
      <c r="X63" s="584"/>
      <c r="Y63" s="584"/>
      <c r="Z63" s="584"/>
      <c r="AA63" s="584"/>
      <c r="AB63" s="584"/>
      <c r="AC63" s="584"/>
      <c r="AD63" s="584"/>
      <c r="AE63" s="584"/>
      <c r="AF63" s="584"/>
      <c r="AG63" s="584"/>
      <c r="AH63" s="584"/>
      <c r="AI63" s="584"/>
      <c r="AJ63" s="584"/>
      <c r="AK63" s="584"/>
      <c r="AL63" s="584"/>
      <c r="AM63" s="584"/>
      <c r="AN63" s="584"/>
      <c r="AO63" s="584"/>
      <c r="AP63" s="584"/>
      <c r="AQ63" s="584"/>
      <c r="AR63" s="584"/>
      <c r="AS63" s="584"/>
      <c r="AT63" s="584"/>
      <c r="AU63" s="584"/>
      <c r="AV63" s="584"/>
      <c r="AW63" s="584"/>
      <c r="AX63" s="584"/>
      <c r="AY63" s="584"/>
      <c r="AZ63" s="584"/>
      <c r="BA63" s="584"/>
      <c r="BB63" s="584"/>
      <c r="BC63" s="584"/>
      <c r="BD63" s="584"/>
      <c r="BE63" s="584">
        <f>SUM(BF63:BG63)</f>
        <v>0</v>
      </c>
      <c r="BF63" s="584">
        <f>SUM(BH63:BI63)+BJ63+BM63+BW63+CE63</f>
        <v>0</v>
      </c>
      <c r="BG63" s="584">
        <f>BK63+SUM(BO63:BV63)+SUM(BX63:CD63)+SUM(CF63:CH63)</f>
        <v>0</v>
      </c>
      <c r="BH63" s="584"/>
      <c r="BI63" s="584"/>
      <c r="BJ63" s="584"/>
      <c r="BK63" s="584"/>
      <c r="BL63" s="584"/>
      <c r="BM63" s="584"/>
      <c r="BN63" s="584"/>
      <c r="BO63" s="584"/>
      <c r="BP63" s="584"/>
      <c r="BQ63" s="584"/>
      <c r="BR63" s="584"/>
      <c r="BS63" s="584"/>
      <c r="BT63" s="584"/>
      <c r="BU63" s="584"/>
      <c r="BV63" s="584"/>
      <c r="BW63" s="584"/>
      <c r="BX63" s="584"/>
      <c r="BY63" s="584"/>
      <c r="BZ63" s="584"/>
      <c r="CA63" s="584"/>
      <c r="CB63" s="584"/>
      <c r="CC63" s="584"/>
      <c r="CD63" s="584"/>
      <c r="CE63" s="584"/>
      <c r="CF63" s="584"/>
      <c r="CG63" s="584"/>
      <c r="CH63" s="584"/>
      <c r="CI63" s="584">
        <f>SUM(CJ63:CK63)</f>
        <v>0</v>
      </c>
      <c r="CJ63" s="584">
        <f>SUM(CL63:CL63)</f>
        <v>0</v>
      </c>
      <c r="CK63" s="584">
        <f>SUM(CM63:CN63)</f>
        <v>0</v>
      </c>
      <c r="CL63" s="584"/>
      <c r="CM63" s="584"/>
      <c r="CN63" s="584"/>
      <c r="CO63" s="583" t="s">
        <v>183</v>
      </c>
      <c r="CP63" s="584">
        <f>CQ63+ER63+FV63+GB63</f>
        <v>0</v>
      </c>
      <c r="CQ63" s="584">
        <f>CR63+CW63</f>
        <v>0</v>
      </c>
      <c r="CR63" s="584">
        <f>SUM(CS63:CV63)</f>
        <v>0</v>
      </c>
      <c r="CS63" s="584"/>
      <c r="CT63" s="584"/>
      <c r="CU63" s="584"/>
      <c r="CV63" s="584"/>
      <c r="CW63" s="584">
        <f>SUM(CX63:EQ63)</f>
        <v>0</v>
      </c>
      <c r="CX63" s="584"/>
      <c r="CY63" s="584"/>
      <c r="CZ63" s="584"/>
      <c r="DA63" s="584"/>
      <c r="DB63" s="584"/>
      <c r="DC63" s="584"/>
      <c r="DD63" s="584"/>
      <c r="DE63" s="584"/>
      <c r="DF63" s="584"/>
      <c r="DG63" s="584"/>
      <c r="DH63" s="584"/>
      <c r="DI63" s="584"/>
      <c r="DJ63" s="584"/>
      <c r="DK63" s="584"/>
      <c r="DL63" s="584"/>
      <c r="DM63" s="584"/>
      <c r="DN63" s="584"/>
      <c r="DO63" s="584"/>
      <c r="DP63" s="584"/>
      <c r="DQ63" s="584"/>
      <c r="DR63" s="584"/>
      <c r="DS63" s="584"/>
      <c r="DT63" s="584"/>
      <c r="DU63" s="584"/>
      <c r="DV63" s="584"/>
      <c r="DW63" s="584"/>
      <c r="DX63" s="584"/>
      <c r="DY63" s="584"/>
      <c r="DZ63" s="584"/>
      <c r="EA63" s="584"/>
      <c r="EB63" s="584"/>
      <c r="EC63" s="584"/>
      <c r="ED63" s="584"/>
      <c r="EE63" s="584"/>
      <c r="EF63" s="584"/>
      <c r="EG63" s="584"/>
      <c r="EH63" s="584"/>
      <c r="EI63" s="584"/>
      <c r="EJ63" s="584"/>
      <c r="EK63" s="584"/>
      <c r="EL63" s="584"/>
      <c r="EM63" s="584"/>
      <c r="EN63" s="584"/>
      <c r="EO63" s="584"/>
      <c r="EP63" s="584"/>
      <c r="EQ63" s="584"/>
      <c r="ER63" s="584">
        <f>SUM(ES63:ET63)</f>
        <v>0</v>
      </c>
      <c r="ES63" s="584">
        <f>SUM(EU63:EV63)+EW63+EZ63+FJ63+FR63</f>
        <v>0</v>
      </c>
      <c r="ET63" s="584">
        <f>EX63+SUM(FB63:FI63)+SUM(FK63:FQ63)+SUM(FS63:FU63)</f>
        <v>0</v>
      </c>
      <c r="EU63" s="584"/>
      <c r="EV63" s="584"/>
      <c r="EW63" s="584"/>
      <c r="EX63" s="584"/>
      <c r="EY63" s="584"/>
      <c r="EZ63" s="584"/>
      <c r="FA63" s="584"/>
      <c r="FB63" s="584"/>
      <c r="FC63" s="584"/>
      <c r="FD63" s="584"/>
      <c r="FE63" s="584"/>
      <c r="FF63" s="584"/>
      <c r="FG63" s="584"/>
      <c r="FH63" s="584"/>
      <c r="FI63" s="584"/>
      <c r="FJ63" s="584"/>
      <c r="FK63" s="584"/>
      <c r="FL63" s="584"/>
      <c r="FM63" s="584"/>
      <c r="FN63" s="584"/>
      <c r="FO63" s="584"/>
      <c r="FP63" s="584"/>
      <c r="FQ63" s="584"/>
      <c r="FR63" s="584"/>
      <c r="FS63" s="584"/>
      <c r="FT63" s="584"/>
      <c r="FU63" s="584"/>
      <c r="FV63" s="584">
        <f>SUM(FW63:FX63)</f>
        <v>0</v>
      </c>
      <c r="FW63" s="584">
        <f>SUM(FY63:FY63)</f>
        <v>0</v>
      </c>
      <c r="FX63" s="584">
        <f>SUM(FZ63:GA63)</f>
        <v>0</v>
      </c>
      <c r="FY63" s="584"/>
      <c r="FZ63" s="584"/>
      <c r="GA63" s="584"/>
      <c r="GB63" s="584"/>
      <c r="GC63" s="586"/>
      <c r="GD63" s="586"/>
      <c r="GE63" s="586"/>
      <c r="GF63" s="586"/>
      <c r="GG63" s="586"/>
    </row>
    <row r="64" spans="1:189" s="92" customFormat="1" ht="17.25" hidden="1" customHeight="1">
      <c r="A64" s="582"/>
      <c r="B64" s="583" t="s">
        <v>184</v>
      </c>
      <c r="C64" s="584">
        <f>D64+BE64+CI64</f>
        <v>1227533118</v>
      </c>
      <c r="D64" s="584">
        <f>E64+J64</f>
        <v>1227533118</v>
      </c>
      <c r="E64" s="584">
        <f>SUM(F64:I64)</f>
        <v>0</v>
      </c>
      <c r="F64" s="584"/>
      <c r="G64" s="584"/>
      <c r="H64" s="584"/>
      <c r="I64" s="584"/>
      <c r="J64" s="584">
        <f>SUM(K64:BD64)</f>
        <v>1227533118</v>
      </c>
      <c r="K64" s="584"/>
      <c r="L64" s="584"/>
      <c r="M64" s="584"/>
      <c r="N64" s="584"/>
      <c r="O64" s="584"/>
      <c r="P64" s="584"/>
      <c r="Q64" s="584"/>
      <c r="R64" s="584"/>
      <c r="S64" s="584"/>
      <c r="T64" s="584"/>
      <c r="U64" s="584"/>
      <c r="V64" s="584"/>
      <c r="W64" s="584"/>
      <c r="X64" s="584"/>
      <c r="Y64" s="584"/>
      <c r="Z64" s="584">
        <v>1227533118</v>
      </c>
      <c r="AA64" s="584"/>
      <c r="AB64" s="584"/>
      <c r="AC64" s="584"/>
      <c r="AD64" s="584"/>
      <c r="AE64" s="584"/>
      <c r="AF64" s="584"/>
      <c r="AG64" s="584"/>
      <c r="AH64" s="584"/>
      <c r="AI64" s="584"/>
      <c r="AJ64" s="584"/>
      <c r="AK64" s="584"/>
      <c r="AL64" s="584"/>
      <c r="AM64" s="584"/>
      <c r="AN64" s="584"/>
      <c r="AO64" s="584"/>
      <c r="AP64" s="584"/>
      <c r="AQ64" s="584"/>
      <c r="AR64" s="584"/>
      <c r="AS64" s="584"/>
      <c r="AT64" s="584"/>
      <c r="AU64" s="584"/>
      <c r="AV64" s="584"/>
      <c r="AW64" s="584"/>
      <c r="AX64" s="584"/>
      <c r="AY64" s="584"/>
      <c r="AZ64" s="584"/>
      <c r="BA64" s="584"/>
      <c r="BB64" s="584"/>
      <c r="BC64" s="584"/>
      <c r="BD64" s="584"/>
      <c r="BE64" s="584">
        <f>SUM(BF64:BG64)</f>
        <v>0</v>
      </c>
      <c r="BF64" s="584">
        <f>SUM(BH64:BI64)+BJ64+BM64+BW64+CE64</f>
        <v>0</v>
      </c>
      <c r="BG64" s="584">
        <f>BK64+SUM(BO64:BV64)+SUM(BX64:CD64)+SUM(CF64:CH64)</f>
        <v>0</v>
      </c>
      <c r="BH64" s="584"/>
      <c r="BI64" s="584"/>
      <c r="BJ64" s="584"/>
      <c r="BK64" s="584"/>
      <c r="BL64" s="584"/>
      <c r="BM64" s="584"/>
      <c r="BN64" s="584"/>
      <c r="BO64" s="584"/>
      <c r="BP64" s="584"/>
      <c r="BQ64" s="584"/>
      <c r="BR64" s="584"/>
      <c r="BS64" s="584"/>
      <c r="BT64" s="584"/>
      <c r="BU64" s="584"/>
      <c r="BV64" s="584"/>
      <c r="BW64" s="584"/>
      <c r="BX64" s="584"/>
      <c r="BY64" s="584"/>
      <c r="BZ64" s="584"/>
      <c r="CA64" s="584"/>
      <c r="CB64" s="584"/>
      <c r="CC64" s="584"/>
      <c r="CD64" s="584"/>
      <c r="CE64" s="584"/>
      <c r="CF64" s="584"/>
      <c r="CG64" s="584"/>
      <c r="CH64" s="584"/>
      <c r="CI64" s="584">
        <f>SUM(CJ64:CK64)</f>
        <v>0</v>
      </c>
      <c r="CJ64" s="584">
        <f>SUM(CL64:CL64)</f>
        <v>0</v>
      </c>
      <c r="CK64" s="584">
        <f>SUM(CM64:CN64)</f>
        <v>0</v>
      </c>
      <c r="CL64" s="584"/>
      <c r="CM64" s="584"/>
      <c r="CN64" s="584"/>
      <c r="CO64" s="583" t="s">
        <v>184</v>
      </c>
      <c r="CP64" s="584">
        <f>CQ64+ER64+FV64+GB64</f>
        <v>1227533118</v>
      </c>
      <c r="CQ64" s="584">
        <f>CR64+CW64</f>
        <v>1227533118</v>
      </c>
      <c r="CR64" s="584">
        <f>SUM(CS64:CV64)</f>
        <v>0</v>
      </c>
      <c r="CS64" s="584"/>
      <c r="CT64" s="584"/>
      <c r="CU64" s="584"/>
      <c r="CV64" s="584"/>
      <c r="CW64" s="584">
        <f>SUM(CX64:EQ64)</f>
        <v>1227533118</v>
      </c>
      <c r="CX64" s="584"/>
      <c r="CY64" s="584"/>
      <c r="CZ64" s="584"/>
      <c r="DA64" s="584"/>
      <c r="DB64" s="584"/>
      <c r="DC64" s="584"/>
      <c r="DD64" s="584"/>
      <c r="DE64" s="584"/>
      <c r="DF64" s="584"/>
      <c r="DG64" s="584"/>
      <c r="DH64" s="584"/>
      <c r="DI64" s="584"/>
      <c r="DJ64" s="584"/>
      <c r="DK64" s="584"/>
      <c r="DL64" s="584"/>
      <c r="DM64" s="584">
        <v>1227533118</v>
      </c>
      <c r="DN64" s="584"/>
      <c r="DO64" s="584"/>
      <c r="DP64" s="584"/>
      <c r="DQ64" s="584"/>
      <c r="DR64" s="584"/>
      <c r="DS64" s="584"/>
      <c r="DT64" s="584"/>
      <c r="DU64" s="584"/>
      <c r="DV64" s="584"/>
      <c r="DW64" s="584"/>
      <c r="DX64" s="584"/>
      <c r="DY64" s="584"/>
      <c r="DZ64" s="584"/>
      <c r="EA64" s="584"/>
      <c r="EB64" s="584"/>
      <c r="EC64" s="584"/>
      <c r="ED64" s="584"/>
      <c r="EE64" s="584"/>
      <c r="EF64" s="584"/>
      <c r="EG64" s="584"/>
      <c r="EH64" s="584"/>
      <c r="EI64" s="584"/>
      <c r="EJ64" s="584"/>
      <c r="EK64" s="584"/>
      <c r="EL64" s="584"/>
      <c r="EM64" s="584"/>
      <c r="EN64" s="584"/>
      <c r="EO64" s="584"/>
      <c r="EP64" s="584"/>
      <c r="EQ64" s="584"/>
      <c r="ER64" s="584">
        <f>SUM(ES64:ET64)</f>
        <v>0</v>
      </c>
      <c r="ES64" s="584">
        <f>SUM(EU64:EV64)+EW64+EZ64+FJ64+FR64</f>
        <v>0</v>
      </c>
      <c r="ET64" s="584">
        <f>EX64+SUM(FB64:FI64)+SUM(FK64:FQ64)+SUM(FS64:FU64)</f>
        <v>0</v>
      </c>
      <c r="EU64" s="584"/>
      <c r="EV64" s="584"/>
      <c r="EW64" s="584"/>
      <c r="EX64" s="584"/>
      <c r="EY64" s="584"/>
      <c r="EZ64" s="584"/>
      <c r="FA64" s="584"/>
      <c r="FB64" s="584"/>
      <c r="FC64" s="584"/>
      <c r="FD64" s="584"/>
      <c r="FE64" s="584"/>
      <c r="FF64" s="584"/>
      <c r="FG64" s="584"/>
      <c r="FH64" s="584"/>
      <c r="FI64" s="584"/>
      <c r="FJ64" s="584"/>
      <c r="FK64" s="584"/>
      <c r="FL64" s="584"/>
      <c r="FM64" s="584"/>
      <c r="FN64" s="584"/>
      <c r="FO64" s="584"/>
      <c r="FP64" s="584"/>
      <c r="FQ64" s="584"/>
      <c r="FR64" s="584"/>
      <c r="FS64" s="584"/>
      <c r="FT64" s="584"/>
      <c r="FU64" s="584"/>
      <c r="FV64" s="584">
        <f>SUM(FW64:FX64)</f>
        <v>0</v>
      </c>
      <c r="FW64" s="584">
        <f>SUM(FY64:FY64)</f>
        <v>0</v>
      </c>
      <c r="FX64" s="584">
        <f>SUM(FZ64:GA64)</f>
        <v>0</v>
      </c>
      <c r="FY64" s="584"/>
      <c r="FZ64" s="584"/>
      <c r="GA64" s="584"/>
      <c r="GB64" s="584"/>
      <c r="GC64" s="586">
        <f>CP64/C64</f>
        <v>1</v>
      </c>
      <c r="GD64" s="586"/>
      <c r="GE64" s="586">
        <f>CW64/J64</f>
        <v>1</v>
      </c>
      <c r="GF64" s="586"/>
      <c r="GG64" s="586"/>
    </row>
    <row r="65" spans="1:189" s="92" customFormat="1" ht="17.25" customHeight="1">
      <c r="A65" s="582">
        <v>18</v>
      </c>
      <c r="B65" s="583" t="s">
        <v>340</v>
      </c>
      <c r="C65" s="584">
        <f t="shared" ref="C65:AU65" si="76">C66+C67</f>
        <v>5652356019</v>
      </c>
      <c r="D65" s="584">
        <f t="shared" si="76"/>
        <v>4541356019</v>
      </c>
      <c r="E65" s="584">
        <f t="shared" si="76"/>
        <v>0</v>
      </c>
      <c r="F65" s="584">
        <f t="shared" si="76"/>
        <v>0</v>
      </c>
      <c r="G65" s="584">
        <f t="shared" si="76"/>
        <v>0</v>
      </c>
      <c r="H65" s="584">
        <f t="shared" si="76"/>
        <v>0</v>
      </c>
      <c r="I65" s="584">
        <f t="shared" si="76"/>
        <v>0</v>
      </c>
      <c r="J65" s="584">
        <f t="shared" si="76"/>
        <v>4541356019</v>
      </c>
      <c r="K65" s="584">
        <f t="shared" si="76"/>
        <v>0</v>
      </c>
      <c r="L65" s="584">
        <f t="shared" si="76"/>
        <v>0</v>
      </c>
      <c r="M65" s="584">
        <f t="shared" si="76"/>
        <v>0</v>
      </c>
      <c r="N65" s="584">
        <f t="shared" si="76"/>
        <v>0</v>
      </c>
      <c r="O65" s="584">
        <f t="shared" si="76"/>
        <v>0</v>
      </c>
      <c r="P65" s="584">
        <f t="shared" si="76"/>
        <v>0</v>
      </c>
      <c r="Q65" s="584">
        <f t="shared" si="76"/>
        <v>0</v>
      </c>
      <c r="R65" s="584">
        <f t="shared" si="76"/>
        <v>0</v>
      </c>
      <c r="S65" s="584">
        <f t="shared" si="76"/>
        <v>0</v>
      </c>
      <c r="T65" s="584">
        <f t="shared" si="76"/>
        <v>0</v>
      </c>
      <c r="U65" s="584">
        <f t="shared" si="76"/>
        <v>0</v>
      </c>
      <c r="V65" s="584">
        <f t="shared" si="76"/>
        <v>0</v>
      </c>
      <c r="W65" s="584">
        <f t="shared" si="76"/>
        <v>0</v>
      </c>
      <c r="X65" s="584">
        <f t="shared" si="76"/>
        <v>0</v>
      </c>
      <c r="Y65" s="584">
        <f t="shared" si="76"/>
        <v>0</v>
      </c>
      <c r="Z65" s="584">
        <f t="shared" si="76"/>
        <v>31450000</v>
      </c>
      <c r="AA65" s="584">
        <f t="shared" si="76"/>
        <v>0</v>
      </c>
      <c r="AB65" s="584">
        <f t="shared" si="76"/>
        <v>0</v>
      </c>
      <c r="AC65" s="584">
        <f t="shared" si="76"/>
        <v>0</v>
      </c>
      <c r="AD65" s="584">
        <f t="shared" si="76"/>
        <v>0</v>
      </c>
      <c r="AE65" s="584">
        <f t="shared" si="76"/>
        <v>0</v>
      </c>
      <c r="AF65" s="584">
        <f t="shared" si="76"/>
        <v>0</v>
      </c>
      <c r="AG65" s="584">
        <f t="shared" si="76"/>
        <v>0</v>
      </c>
      <c r="AH65" s="584">
        <f t="shared" si="76"/>
        <v>0</v>
      </c>
      <c r="AI65" s="584">
        <f t="shared" si="76"/>
        <v>0</v>
      </c>
      <c r="AJ65" s="584">
        <f t="shared" si="76"/>
        <v>0</v>
      </c>
      <c r="AK65" s="584">
        <f t="shared" si="76"/>
        <v>0</v>
      </c>
      <c r="AL65" s="584">
        <f t="shared" si="76"/>
        <v>0</v>
      </c>
      <c r="AM65" s="584">
        <f t="shared" si="76"/>
        <v>0</v>
      </c>
      <c r="AN65" s="584">
        <f t="shared" si="76"/>
        <v>0</v>
      </c>
      <c r="AO65" s="584">
        <f t="shared" si="76"/>
        <v>0</v>
      </c>
      <c r="AP65" s="584">
        <f t="shared" si="76"/>
        <v>0</v>
      </c>
      <c r="AQ65" s="584">
        <f t="shared" si="76"/>
        <v>0</v>
      </c>
      <c r="AR65" s="584">
        <f t="shared" si="76"/>
        <v>0</v>
      </c>
      <c r="AS65" s="584">
        <f t="shared" si="76"/>
        <v>0</v>
      </c>
      <c r="AT65" s="584">
        <f t="shared" si="76"/>
        <v>0</v>
      </c>
      <c r="AU65" s="584">
        <f t="shared" si="76"/>
        <v>0</v>
      </c>
      <c r="AV65" s="584">
        <f>AV66+AV67</f>
        <v>0</v>
      </c>
      <c r="AW65" s="584">
        <f>AW66+AW67</f>
        <v>0</v>
      </c>
      <c r="AX65" s="584">
        <f t="shared" ref="AX65:CN65" si="77">AX66+AX67</f>
        <v>0</v>
      </c>
      <c r="AY65" s="584">
        <f t="shared" si="77"/>
        <v>0</v>
      </c>
      <c r="AZ65" s="584">
        <f t="shared" si="77"/>
        <v>0</v>
      </c>
      <c r="BA65" s="584">
        <f t="shared" si="77"/>
        <v>4350533569</v>
      </c>
      <c r="BB65" s="584">
        <f t="shared" si="77"/>
        <v>159372450</v>
      </c>
      <c r="BC65" s="584">
        <f t="shared" si="77"/>
        <v>0</v>
      </c>
      <c r="BD65" s="584">
        <f t="shared" si="77"/>
        <v>0</v>
      </c>
      <c r="BE65" s="584">
        <f t="shared" si="77"/>
        <v>1111000000</v>
      </c>
      <c r="BF65" s="584">
        <f t="shared" si="77"/>
        <v>0</v>
      </c>
      <c r="BG65" s="584">
        <f t="shared" si="77"/>
        <v>1111000000</v>
      </c>
      <c r="BH65" s="584">
        <f t="shared" si="77"/>
        <v>0</v>
      </c>
      <c r="BI65" s="584">
        <f t="shared" si="77"/>
        <v>0</v>
      </c>
      <c r="BJ65" s="584">
        <f t="shared" si="77"/>
        <v>0</v>
      </c>
      <c r="BK65" s="584">
        <f t="shared" si="77"/>
        <v>0</v>
      </c>
      <c r="BL65" s="584">
        <f>BL66+BL67</f>
        <v>0</v>
      </c>
      <c r="BM65" s="584">
        <f>BM66+BM67</f>
        <v>0</v>
      </c>
      <c r="BN65" s="584">
        <f t="shared" si="77"/>
        <v>0</v>
      </c>
      <c r="BO65" s="584">
        <f t="shared" si="77"/>
        <v>0</v>
      </c>
      <c r="BP65" s="584">
        <f t="shared" si="77"/>
        <v>0</v>
      </c>
      <c r="BQ65" s="584">
        <f t="shared" si="77"/>
        <v>0</v>
      </c>
      <c r="BR65" s="584">
        <f t="shared" si="77"/>
        <v>0</v>
      </c>
      <c r="BS65" s="584">
        <f t="shared" si="77"/>
        <v>0</v>
      </c>
      <c r="BT65" s="584">
        <f t="shared" si="77"/>
        <v>1111000000</v>
      </c>
      <c r="BU65" s="584">
        <f t="shared" si="77"/>
        <v>0</v>
      </c>
      <c r="BV65" s="584">
        <f t="shared" si="77"/>
        <v>0</v>
      </c>
      <c r="BW65" s="584">
        <f t="shared" si="77"/>
        <v>0</v>
      </c>
      <c r="BX65" s="584">
        <f t="shared" si="77"/>
        <v>0</v>
      </c>
      <c r="BY65" s="584">
        <f t="shared" si="77"/>
        <v>0</v>
      </c>
      <c r="BZ65" s="584">
        <f t="shared" si="77"/>
        <v>0</v>
      </c>
      <c r="CA65" s="584">
        <f t="shared" si="77"/>
        <v>0</v>
      </c>
      <c r="CB65" s="584">
        <f t="shared" si="77"/>
        <v>0</v>
      </c>
      <c r="CC65" s="584">
        <f t="shared" si="77"/>
        <v>0</v>
      </c>
      <c r="CD65" s="584">
        <f t="shared" si="77"/>
        <v>0</v>
      </c>
      <c r="CE65" s="584">
        <f t="shared" si="77"/>
        <v>0</v>
      </c>
      <c r="CF65" s="584">
        <f t="shared" si="77"/>
        <v>0</v>
      </c>
      <c r="CG65" s="584">
        <f t="shared" si="77"/>
        <v>0</v>
      </c>
      <c r="CH65" s="584">
        <f t="shared" si="77"/>
        <v>0</v>
      </c>
      <c r="CI65" s="584">
        <f t="shared" si="77"/>
        <v>0</v>
      </c>
      <c r="CJ65" s="584">
        <f t="shared" si="77"/>
        <v>0</v>
      </c>
      <c r="CK65" s="584">
        <f t="shared" si="77"/>
        <v>0</v>
      </c>
      <c r="CL65" s="584">
        <f t="shared" si="77"/>
        <v>0</v>
      </c>
      <c r="CM65" s="584">
        <f t="shared" si="77"/>
        <v>0</v>
      </c>
      <c r="CN65" s="584">
        <f t="shared" si="77"/>
        <v>0</v>
      </c>
      <c r="CO65" s="583" t="s">
        <v>186</v>
      </c>
      <c r="CP65" s="584">
        <f t="shared" ref="CP65:FA65" si="78">CP66+CP67</f>
        <v>5652356019</v>
      </c>
      <c r="CQ65" s="584">
        <f t="shared" si="78"/>
        <v>4541356019</v>
      </c>
      <c r="CR65" s="584">
        <f t="shared" si="78"/>
        <v>0</v>
      </c>
      <c r="CS65" s="584">
        <f t="shared" si="78"/>
        <v>0</v>
      </c>
      <c r="CT65" s="584">
        <f t="shared" si="78"/>
        <v>0</v>
      </c>
      <c r="CU65" s="584">
        <f t="shared" si="78"/>
        <v>0</v>
      </c>
      <c r="CV65" s="584">
        <f t="shared" si="78"/>
        <v>0</v>
      </c>
      <c r="CW65" s="584">
        <f t="shared" si="78"/>
        <v>4541356019</v>
      </c>
      <c r="CX65" s="584">
        <f t="shared" si="78"/>
        <v>0</v>
      </c>
      <c r="CY65" s="584">
        <f t="shared" si="78"/>
        <v>0</v>
      </c>
      <c r="CZ65" s="584">
        <f t="shared" si="78"/>
        <v>0</v>
      </c>
      <c r="DA65" s="584">
        <f t="shared" si="78"/>
        <v>0</v>
      </c>
      <c r="DB65" s="584">
        <f t="shared" si="78"/>
        <v>0</v>
      </c>
      <c r="DC65" s="584">
        <f t="shared" si="78"/>
        <v>0</v>
      </c>
      <c r="DD65" s="584">
        <f t="shared" si="78"/>
        <v>0</v>
      </c>
      <c r="DE65" s="584">
        <f t="shared" si="78"/>
        <v>0</v>
      </c>
      <c r="DF65" s="584">
        <f t="shared" si="78"/>
        <v>0</v>
      </c>
      <c r="DG65" s="584">
        <f t="shared" si="78"/>
        <v>0</v>
      </c>
      <c r="DH65" s="584">
        <f t="shared" si="78"/>
        <v>0</v>
      </c>
      <c r="DI65" s="584">
        <f t="shared" si="78"/>
        <v>0</v>
      </c>
      <c r="DJ65" s="584">
        <f t="shared" si="78"/>
        <v>0</v>
      </c>
      <c r="DK65" s="584">
        <f t="shared" si="78"/>
        <v>0</v>
      </c>
      <c r="DL65" s="584">
        <f t="shared" si="78"/>
        <v>0</v>
      </c>
      <c r="DM65" s="584">
        <f>DM66+DM67</f>
        <v>31450000</v>
      </c>
      <c r="DN65" s="584">
        <f t="shared" si="78"/>
        <v>0</v>
      </c>
      <c r="DO65" s="584">
        <f t="shared" si="78"/>
        <v>0</v>
      </c>
      <c r="DP65" s="584">
        <f t="shared" si="78"/>
        <v>0</v>
      </c>
      <c r="DQ65" s="584">
        <f t="shared" si="78"/>
        <v>0</v>
      </c>
      <c r="DR65" s="584">
        <f t="shared" si="78"/>
        <v>0</v>
      </c>
      <c r="DS65" s="584">
        <f t="shared" si="78"/>
        <v>0</v>
      </c>
      <c r="DT65" s="584">
        <f t="shared" si="78"/>
        <v>0</v>
      </c>
      <c r="DU65" s="584">
        <f t="shared" si="78"/>
        <v>0</v>
      </c>
      <c r="DV65" s="584">
        <f t="shared" si="78"/>
        <v>0</v>
      </c>
      <c r="DW65" s="584">
        <f t="shared" si="78"/>
        <v>0</v>
      </c>
      <c r="DX65" s="584">
        <f t="shared" si="78"/>
        <v>0</v>
      </c>
      <c r="DY65" s="584">
        <f t="shared" si="78"/>
        <v>0</v>
      </c>
      <c r="DZ65" s="584">
        <f t="shared" si="78"/>
        <v>0</v>
      </c>
      <c r="EA65" s="584">
        <f t="shared" si="78"/>
        <v>0</v>
      </c>
      <c r="EB65" s="584">
        <f t="shared" si="78"/>
        <v>0</v>
      </c>
      <c r="EC65" s="584">
        <f t="shared" si="78"/>
        <v>0</v>
      </c>
      <c r="ED65" s="584">
        <f t="shared" si="78"/>
        <v>0</v>
      </c>
      <c r="EE65" s="584">
        <f t="shared" si="78"/>
        <v>0</v>
      </c>
      <c r="EF65" s="584">
        <f t="shared" si="78"/>
        <v>0</v>
      </c>
      <c r="EG65" s="584">
        <f t="shared" si="78"/>
        <v>0</v>
      </c>
      <c r="EH65" s="584">
        <f t="shared" si="78"/>
        <v>0</v>
      </c>
      <c r="EI65" s="584">
        <f>EI66+EI67</f>
        <v>0</v>
      </c>
      <c r="EJ65" s="584">
        <f>EJ66+EJ67</f>
        <v>0</v>
      </c>
      <c r="EK65" s="584">
        <f t="shared" si="78"/>
        <v>0</v>
      </c>
      <c r="EL65" s="584">
        <f t="shared" si="78"/>
        <v>0</v>
      </c>
      <c r="EM65" s="584">
        <f t="shared" si="78"/>
        <v>0</v>
      </c>
      <c r="EN65" s="584">
        <f t="shared" si="78"/>
        <v>4350533569</v>
      </c>
      <c r="EO65" s="584">
        <f t="shared" si="78"/>
        <v>159372450</v>
      </c>
      <c r="EP65" s="584">
        <f t="shared" si="78"/>
        <v>0</v>
      </c>
      <c r="EQ65" s="584">
        <f t="shared" si="78"/>
        <v>0</v>
      </c>
      <c r="ER65" s="584">
        <f t="shared" si="78"/>
        <v>340256510</v>
      </c>
      <c r="ES65" s="584">
        <f t="shared" si="78"/>
        <v>0</v>
      </c>
      <c r="ET65" s="584">
        <f t="shared" si="78"/>
        <v>340256510</v>
      </c>
      <c r="EU65" s="584">
        <f t="shared" si="78"/>
        <v>0</v>
      </c>
      <c r="EV65" s="584">
        <f t="shared" si="78"/>
        <v>0</v>
      </c>
      <c r="EW65" s="584">
        <f t="shared" si="78"/>
        <v>0</v>
      </c>
      <c r="EX65" s="584">
        <f t="shared" si="78"/>
        <v>0</v>
      </c>
      <c r="EY65" s="584">
        <f>EY66+EY67</f>
        <v>0</v>
      </c>
      <c r="EZ65" s="584">
        <f>EZ66+EZ67</f>
        <v>0</v>
      </c>
      <c r="FA65" s="584">
        <f t="shared" si="78"/>
        <v>0</v>
      </c>
      <c r="FB65" s="584">
        <f t="shared" ref="FB65:GB65" si="79">FB66+FB67</f>
        <v>0</v>
      </c>
      <c r="FC65" s="584">
        <f t="shared" si="79"/>
        <v>0</v>
      </c>
      <c r="FD65" s="584">
        <f t="shared" si="79"/>
        <v>0</v>
      </c>
      <c r="FE65" s="584">
        <f t="shared" si="79"/>
        <v>0</v>
      </c>
      <c r="FF65" s="584">
        <f t="shared" si="79"/>
        <v>0</v>
      </c>
      <c r="FG65" s="584">
        <f t="shared" si="79"/>
        <v>340256510</v>
      </c>
      <c r="FH65" s="584">
        <f t="shared" si="79"/>
        <v>0</v>
      </c>
      <c r="FI65" s="584">
        <f t="shared" si="79"/>
        <v>0</v>
      </c>
      <c r="FJ65" s="584">
        <f t="shared" si="79"/>
        <v>0</v>
      </c>
      <c r="FK65" s="584">
        <f t="shared" si="79"/>
        <v>0</v>
      </c>
      <c r="FL65" s="584">
        <f t="shared" si="79"/>
        <v>0</v>
      </c>
      <c r="FM65" s="584">
        <f t="shared" si="79"/>
        <v>0</v>
      </c>
      <c r="FN65" s="584">
        <f t="shared" si="79"/>
        <v>0</v>
      </c>
      <c r="FO65" s="584">
        <f t="shared" si="79"/>
        <v>0</v>
      </c>
      <c r="FP65" s="584">
        <f t="shared" si="79"/>
        <v>0</v>
      </c>
      <c r="FQ65" s="584">
        <f t="shared" si="79"/>
        <v>0</v>
      </c>
      <c r="FR65" s="584">
        <f t="shared" si="79"/>
        <v>0</v>
      </c>
      <c r="FS65" s="584">
        <f t="shared" si="79"/>
        <v>0</v>
      </c>
      <c r="FT65" s="584">
        <f t="shared" si="79"/>
        <v>0</v>
      </c>
      <c r="FU65" s="584">
        <f t="shared" si="79"/>
        <v>0</v>
      </c>
      <c r="FV65" s="584">
        <f t="shared" si="79"/>
        <v>0</v>
      </c>
      <c r="FW65" s="584">
        <f t="shared" si="79"/>
        <v>0</v>
      </c>
      <c r="FX65" s="584">
        <f t="shared" si="79"/>
        <v>0</v>
      </c>
      <c r="FY65" s="584">
        <f t="shared" si="79"/>
        <v>0</v>
      </c>
      <c r="FZ65" s="584">
        <f t="shared" si="79"/>
        <v>0</v>
      </c>
      <c r="GA65" s="584">
        <f t="shared" si="79"/>
        <v>0</v>
      </c>
      <c r="GB65" s="584">
        <f t="shared" si="79"/>
        <v>770743490</v>
      </c>
      <c r="GC65" s="586">
        <f>CP65/C65</f>
        <v>1</v>
      </c>
      <c r="GD65" s="586"/>
      <c r="GE65" s="586">
        <f>CW65/J65</f>
        <v>1</v>
      </c>
      <c r="GF65" s="586">
        <f>ER65/BE65</f>
        <v>0.30626148514851487</v>
      </c>
      <c r="GG65" s="586"/>
    </row>
    <row r="66" spans="1:189" s="92" customFormat="1" ht="17.25" hidden="1" customHeight="1">
      <c r="A66" s="582"/>
      <c r="B66" s="583" t="s">
        <v>183</v>
      </c>
      <c r="C66" s="584">
        <f>D66+BE66+CI66</f>
        <v>0</v>
      </c>
      <c r="D66" s="584">
        <f>E66+J66</f>
        <v>0</v>
      </c>
      <c r="E66" s="584">
        <f>SUM(F66:I66)</f>
        <v>0</v>
      </c>
      <c r="F66" s="584"/>
      <c r="G66" s="584"/>
      <c r="H66" s="584"/>
      <c r="I66" s="584"/>
      <c r="J66" s="584">
        <f>SUM(K66:BD66)</f>
        <v>0</v>
      </c>
      <c r="K66" s="584"/>
      <c r="L66" s="584"/>
      <c r="M66" s="584"/>
      <c r="N66" s="584"/>
      <c r="O66" s="584"/>
      <c r="P66" s="584"/>
      <c r="Q66" s="584"/>
      <c r="R66" s="584"/>
      <c r="S66" s="584"/>
      <c r="T66" s="584"/>
      <c r="U66" s="584"/>
      <c r="V66" s="584"/>
      <c r="W66" s="584"/>
      <c r="X66" s="584"/>
      <c r="Y66" s="584"/>
      <c r="Z66" s="584"/>
      <c r="AA66" s="584"/>
      <c r="AB66" s="584"/>
      <c r="AC66" s="584"/>
      <c r="AD66" s="584"/>
      <c r="AE66" s="584"/>
      <c r="AF66" s="584"/>
      <c r="AG66" s="584"/>
      <c r="AH66" s="584"/>
      <c r="AI66" s="584"/>
      <c r="AJ66" s="584"/>
      <c r="AK66" s="584"/>
      <c r="AL66" s="584"/>
      <c r="AM66" s="584"/>
      <c r="AN66" s="584"/>
      <c r="AO66" s="584"/>
      <c r="AP66" s="584"/>
      <c r="AQ66" s="584"/>
      <c r="AR66" s="584"/>
      <c r="AS66" s="584"/>
      <c r="AT66" s="584"/>
      <c r="AU66" s="584"/>
      <c r="AV66" s="584"/>
      <c r="AW66" s="584"/>
      <c r="AX66" s="584"/>
      <c r="AY66" s="584"/>
      <c r="AZ66" s="584"/>
      <c r="BA66" s="584"/>
      <c r="BB66" s="584"/>
      <c r="BC66" s="584"/>
      <c r="BD66" s="584"/>
      <c r="BE66" s="584">
        <f>SUM(BF66:BG66)</f>
        <v>0</v>
      </c>
      <c r="BF66" s="584">
        <f>SUM(BH66:BI66)+BJ66+SUM(BL66:BN66)+BW66+CE66</f>
        <v>0</v>
      </c>
      <c r="BG66" s="584">
        <f>BK66+SUM(BO66:BV66)+SUM(BX66:CD66)+SUM(CF66:CH66)</f>
        <v>0</v>
      </c>
      <c r="BH66" s="584"/>
      <c r="BI66" s="584"/>
      <c r="BJ66" s="584"/>
      <c r="BK66" s="584"/>
      <c r="BL66" s="584"/>
      <c r="BM66" s="584"/>
      <c r="BN66" s="584"/>
      <c r="BO66" s="584"/>
      <c r="BP66" s="584"/>
      <c r="BQ66" s="584"/>
      <c r="BR66" s="584"/>
      <c r="BS66" s="584"/>
      <c r="BT66" s="584"/>
      <c r="BU66" s="584"/>
      <c r="BV66" s="584"/>
      <c r="BW66" s="584"/>
      <c r="BX66" s="584"/>
      <c r="BY66" s="584"/>
      <c r="BZ66" s="584"/>
      <c r="CA66" s="584"/>
      <c r="CB66" s="584"/>
      <c r="CC66" s="584"/>
      <c r="CD66" s="584"/>
      <c r="CE66" s="584"/>
      <c r="CF66" s="584"/>
      <c r="CG66" s="584"/>
      <c r="CH66" s="584"/>
      <c r="CI66" s="584">
        <f>SUM(CJ66:CK66)</f>
        <v>0</v>
      </c>
      <c r="CJ66" s="584">
        <f>SUM(CL66:CL66)</f>
        <v>0</v>
      </c>
      <c r="CK66" s="584">
        <f>SUM(CM66:CN66)</f>
        <v>0</v>
      </c>
      <c r="CL66" s="584"/>
      <c r="CM66" s="584"/>
      <c r="CN66" s="584"/>
      <c r="CO66" s="583" t="s">
        <v>183</v>
      </c>
      <c r="CP66" s="584">
        <f>CQ66+ER66+FV66+GB66</f>
        <v>0</v>
      </c>
      <c r="CQ66" s="584">
        <f>CR66+CW66</f>
        <v>0</v>
      </c>
      <c r="CR66" s="584">
        <f>SUM(CS66:CV66)</f>
        <v>0</v>
      </c>
      <c r="CS66" s="584"/>
      <c r="CT66" s="584"/>
      <c r="CU66" s="584"/>
      <c r="CV66" s="584"/>
      <c r="CW66" s="584">
        <f>SUM(CX66:EQ66)</f>
        <v>0</v>
      </c>
      <c r="CX66" s="584"/>
      <c r="CY66" s="584"/>
      <c r="CZ66" s="584"/>
      <c r="DA66" s="584"/>
      <c r="DB66" s="584"/>
      <c r="DC66" s="584"/>
      <c r="DD66" s="584"/>
      <c r="DE66" s="584"/>
      <c r="DF66" s="584"/>
      <c r="DG66" s="584"/>
      <c r="DH66" s="584"/>
      <c r="DI66" s="584"/>
      <c r="DJ66" s="584"/>
      <c r="DK66" s="584"/>
      <c r="DL66" s="584"/>
      <c r="DM66" s="584"/>
      <c r="DN66" s="584"/>
      <c r="DO66" s="584"/>
      <c r="DP66" s="584"/>
      <c r="DQ66" s="584"/>
      <c r="DR66" s="584"/>
      <c r="DS66" s="584"/>
      <c r="DT66" s="584"/>
      <c r="DU66" s="584"/>
      <c r="DV66" s="584"/>
      <c r="DW66" s="584"/>
      <c r="DX66" s="584"/>
      <c r="DY66" s="584"/>
      <c r="DZ66" s="584"/>
      <c r="EA66" s="584"/>
      <c r="EB66" s="584"/>
      <c r="EC66" s="584"/>
      <c r="ED66" s="584"/>
      <c r="EE66" s="584"/>
      <c r="EF66" s="584"/>
      <c r="EG66" s="584"/>
      <c r="EH66" s="584"/>
      <c r="EI66" s="584"/>
      <c r="EJ66" s="584"/>
      <c r="EK66" s="584"/>
      <c r="EL66" s="584"/>
      <c r="EM66" s="584"/>
      <c r="EN66" s="584"/>
      <c r="EO66" s="584"/>
      <c r="EP66" s="584"/>
      <c r="EQ66" s="584"/>
      <c r="ER66" s="584">
        <f>SUM(ES66:ET66)</f>
        <v>0</v>
      </c>
      <c r="ES66" s="584">
        <f>SUM(EU66:EV66)+EW66+SUM(EY66:FA66)+FJ66+FR66</f>
        <v>0</v>
      </c>
      <c r="ET66" s="584">
        <f>EX66+SUM(FB66:FI66)+SUM(FK66:FQ66)+SUM(FS66:FU66)</f>
        <v>0</v>
      </c>
      <c r="EU66" s="584"/>
      <c r="EV66" s="584"/>
      <c r="EW66" s="584"/>
      <c r="EX66" s="584"/>
      <c r="EY66" s="584"/>
      <c r="EZ66" s="584"/>
      <c r="FA66" s="584"/>
      <c r="FB66" s="584"/>
      <c r="FC66" s="584"/>
      <c r="FD66" s="584"/>
      <c r="FE66" s="584"/>
      <c r="FF66" s="584"/>
      <c r="FG66" s="584"/>
      <c r="FH66" s="584"/>
      <c r="FI66" s="584"/>
      <c r="FJ66" s="584"/>
      <c r="FK66" s="584"/>
      <c r="FL66" s="584"/>
      <c r="FM66" s="584"/>
      <c r="FN66" s="584"/>
      <c r="FO66" s="584"/>
      <c r="FP66" s="584"/>
      <c r="FQ66" s="584"/>
      <c r="FR66" s="584"/>
      <c r="FS66" s="584"/>
      <c r="FT66" s="584"/>
      <c r="FU66" s="584"/>
      <c r="FV66" s="584">
        <f>SUM(FW66:FX66)</f>
        <v>0</v>
      </c>
      <c r="FW66" s="584">
        <f>SUM(FY66:FY66)</f>
        <v>0</v>
      </c>
      <c r="FX66" s="584">
        <f>SUM(FZ66:GA66)</f>
        <v>0</v>
      </c>
      <c r="FY66" s="584"/>
      <c r="FZ66" s="584"/>
      <c r="GA66" s="584"/>
      <c r="GB66" s="584"/>
      <c r="GC66" s="586"/>
      <c r="GD66" s="586"/>
      <c r="GE66" s="586"/>
      <c r="GF66" s="586"/>
      <c r="GG66" s="586"/>
    </row>
    <row r="67" spans="1:189" s="92" customFormat="1" ht="17.25" hidden="1" customHeight="1">
      <c r="A67" s="582"/>
      <c r="B67" s="583" t="s">
        <v>184</v>
      </c>
      <c r="C67" s="584">
        <f>D67+BE67+CI67</f>
        <v>5652356019</v>
      </c>
      <c r="D67" s="584">
        <f>E67+J67</f>
        <v>4541356019</v>
      </c>
      <c r="E67" s="584">
        <f>SUM(F67:I67)</f>
        <v>0</v>
      </c>
      <c r="F67" s="584"/>
      <c r="G67" s="584"/>
      <c r="H67" s="584"/>
      <c r="I67" s="584"/>
      <c r="J67" s="584">
        <f>SUM(K67:BD67)</f>
        <v>4541356019</v>
      </c>
      <c r="K67" s="584"/>
      <c r="L67" s="584"/>
      <c r="M67" s="584"/>
      <c r="N67" s="584"/>
      <c r="O67" s="584"/>
      <c r="P67" s="584"/>
      <c r="Q67" s="584"/>
      <c r="R67" s="584"/>
      <c r="S67" s="584"/>
      <c r="T67" s="584"/>
      <c r="U67" s="584"/>
      <c r="V67" s="584"/>
      <c r="W67" s="584"/>
      <c r="X67" s="584"/>
      <c r="Y67" s="584"/>
      <c r="Z67" s="584">
        <v>31450000</v>
      </c>
      <c r="AA67" s="584"/>
      <c r="AB67" s="584"/>
      <c r="AC67" s="584"/>
      <c r="AD67" s="584"/>
      <c r="AE67" s="584"/>
      <c r="AF67" s="584"/>
      <c r="AG67" s="584"/>
      <c r="AH67" s="584"/>
      <c r="AI67" s="584"/>
      <c r="AJ67" s="584"/>
      <c r="AK67" s="584"/>
      <c r="AL67" s="584"/>
      <c r="AM67" s="584"/>
      <c r="AN67" s="584"/>
      <c r="AO67" s="584"/>
      <c r="AP67" s="584"/>
      <c r="AQ67" s="584"/>
      <c r="AR67" s="584"/>
      <c r="AS67" s="584"/>
      <c r="AT67" s="584"/>
      <c r="AU67" s="584"/>
      <c r="AV67" s="584"/>
      <c r="AW67" s="584"/>
      <c r="AX67" s="584"/>
      <c r="AY67" s="584"/>
      <c r="AZ67" s="584"/>
      <c r="BA67" s="584">
        <v>4350533569</v>
      </c>
      <c r="BB67" s="584">
        <v>159372450</v>
      </c>
      <c r="BC67" s="584"/>
      <c r="BD67" s="584"/>
      <c r="BE67" s="584">
        <f>SUM(BF67:BG67)</f>
        <v>1111000000</v>
      </c>
      <c r="BF67" s="584">
        <f>SUM(BH67:BI67)+BJ67+SUM(BL67:BN67)+BW67+CE67</f>
        <v>0</v>
      </c>
      <c r="BG67" s="584">
        <f>BK67+SUM(BO67:BV67)+SUM(BX67:CD67)+SUM(CF67:CH67)</f>
        <v>1111000000</v>
      </c>
      <c r="BH67" s="584"/>
      <c r="BI67" s="584"/>
      <c r="BJ67" s="584"/>
      <c r="BK67" s="584"/>
      <c r="BL67" s="584"/>
      <c r="BM67" s="584"/>
      <c r="BN67" s="584"/>
      <c r="BO67" s="584"/>
      <c r="BP67" s="584"/>
      <c r="BQ67" s="584"/>
      <c r="BR67" s="584"/>
      <c r="BS67" s="584"/>
      <c r="BT67" s="584">
        <v>1111000000</v>
      </c>
      <c r="BU67" s="584"/>
      <c r="BV67" s="584"/>
      <c r="BW67" s="584"/>
      <c r="BX67" s="584"/>
      <c r="BY67" s="584"/>
      <c r="BZ67" s="584"/>
      <c r="CA67" s="584"/>
      <c r="CB67" s="584"/>
      <c r="CC67" s="584"/>
      <c r="CD67" s="584"/>
      <c r="CE67" s="584"/>
      <c r="CF67" s="584"/>
      <c r="CG67" s="584"/>
      <c r="CH67" s="584"/>
      <c r="CI67" s="584">
        <f>SUM(CJ67:CK67)</f>
        <v>0</v>
      </c>
      <c r="CJ67" s="584">
        <f>SUM(CL67:CL67)</f>
        <v>0</v>
      </c>
      <c r="CK67" s="584">
        <f>SUM(CM67:CN67)</f>
        <v>0</v>
      </c>
      <c r="CL67" s="584"/>
      <c r="CM67" s="584"/>
      <c r="CN67" s="584"/>
      <c r="CO67" s="583" t="s">
        <v>184</v>
      </c>
      <c r="CP67" s="584">
        <f>CQ67+ER67+FV67+GB67</f>
        <v>5652356019</v>
      </c>
      <c r="CQ67" s="584">
        <f>CR67+CW67</f>
        <v>4541356019</v>
      </c>
      <c r="CR67" s="584">
        <f>SUM(CS67:CV67)</f>
        <v>0</v>
      </c>
      <c r="CS67" s="584"/>
      <c r="CT67" s="584"/>
      <c r="CU67" s="584"/>
      <c r="CV67" s="584"/>
      <c r="CW67" s="584">
        <f>SUM(CX67:EQ67)</f>
        <v>4541356019</v>
      </c>
      <c r="CX67" s="584"/>
      <c r="CY67" s="584"/>
      <c r="CZ67" s="584"/>
      <c r="DA67" s="584"/>
      <c r="DB67" s="584"/>
      <c r="DC67" s="584"/>
      <c r="DD67" s="584"/>
      <c r="DE67" s="584"/>
      <c r="DF67" s="584"/>
      <c r="DG67" s="584"/>
      <c r="DH67" s="584"/>
      <c r="DI67" s="584"/>
      <c r="DJ67" s="584"/>
      <c r="DK67" s="584"/>
      <c r="DL67" s="584"/>
      <c r="DM67" s="584">
        <v>31450000</v>
      </c>
      <c r="DN67" s="584"/>
      <c r="DO67" s="584"/>
      <c r="DP67" s="584"/>
      <c r="DQ67" s="584"/>
      <c r="DR67" s="584"/>
      <c r="DS67" s="584"/>
      <c r="DT67" s="584"/>
      <c r="DU67" s="584"/>
      <c r="DV67" s="584"/>
      <c r="DW67" s="584"/>
      <c r="DX67" s="584"/>
      <c r="DY67" s="584"/>
      <c r="DZ67" s="584"/>
      <c r="EA67" s="584"/>
      <c r="EB67" s="584"/>
      <c r="EC67" s="584"/>
      <c r="ED67" s="584"/>
      <c r="EE67" s="584"/>
      <c r="EF67" s="584"/>
      <c r="EG67" s="584"/>
      <c r="EH67" s="584"/>
      <c r="EI67" s="584"/>
      <c r="EJ67" s="584"/>
      <c r="EK67" s="584"/>
      <c r="EL67" s="584"/>
      <c r="EM67" s="584"/>
      <c r="EN67" s="584">
        <v>4350533569</v>
      </c>
      <c r="EO67" s="584">
        <v>159372450</v>
      </c>
      <c r="EP67" s="584"/>
      <c r="EQ67" s="584"/>
      <c r="ER67" s="584">
        <f>SUM(ES67:ET67)</f>
        <v>340256510</v>
      </c>
      <c r="ES67" s="584">
        <f>SUM(EU67:EV67)+EW67+SUM(EY67:FA67)+FJ67+FR67</f>
        <v>0</v>
      </c>
      <c r="ET67" s="584">
        <f>EX67+SUM(FB67:FI67)+SUM(FK67:FQ67)+SUM(FS67:FU67)</f>
        <v>340256510</v>
      </c>
      <c r="EU67" s="584"/>
      <c r="EV67" s="584"/>
      <c r="EW67" s="584"/>
      <c r="EX67" s="584"/>
      <c r="EY67" s="584"/>
      <c r="EZ67" s="584"/>
      <c r="FA67" s="584"/>
      <c r="FB67" s="584"/>
      <c r="FC67" s="584"/>
      <c r="FD67" s="584"/>
      <c r="FE67" s="584"/>
      <c r="FF67" s="584"/>
      <c r="FG67" s="584">
        <v>340256510</v>
      </c>
      <c r="FH67" s="584"/>
      <c r="FI67" s="584"/>
      <c r="FJ67" s="584"/>
      <c r="FK67" s="584"/>
      <c r="FL67" s="584"/>
      <c r="FM67" s="584"/>
      <c r="FN67" s="584"/>
      <c r="FO67" s="584"/>
      <c r="FP67" s="584"/>
      <c r="FQ67" s="584"/>
      <c r="FR67" s="584"/>
      <c r="FS67" s="584"/>
      <c r="FT67" s="584"/>
      <c r="FU67" s="584"/>
      <c r="FV67" s="584">
        <f>SUM(FW67:FX67)</f>
        <v>0</v>
      </c>
      <c r="FW67" s="584">
        <f>SUM(FY67:FY67)</f>
        <v>0</v>
      </c>
      <c r="FX67" s="584">
        <f>SUM(FZ67:GA67)</f>
        <v>0</v>
      </c>
      <c r="FY67" s="584"/>
      <c r="FZ67" s="584"/>
      <c r="GA67" s="584"/>
      <c r="GB67" s="584">
        <v>770743490</v>
      </c>
      <c r="GC67" s="586">
        <f>CP67/C67</f>
        <v>1</v>
      </c>
      <c r="GD67" s="586"/>
      <c r="GE67" s="586">
        <f>CW67/J67</f>
        <v>1</v>
      </c>
      <c r="GF67" s="586">
        <f>ER67/BE67</f>
        <v>0.30626148514851487</v>
      </c>
      <c r="GG67" s="586"/>
    </row>
    <row r="68" spans="1:189" s="92" customFormat="1" ht="17.25" customHeight="1">
      <c r="A68" s="582">
        <v>19</v>
      </c>
      <c r="B68" s="583" t="s">
        <v>314</v>
      </c>
      <c r="C68" s="584">
        <f t="shared" ref="C68:AU68" si="80">C69+C70</f>
        <v>23551381900</v>
      </c>
      <c r="D68" s="584">
        <f t="shared" si="80"/>
        <v>2851077000</v>
      </c>
      <c r="E68" s="584">
        <f t="shared" si="80"/>
        <v>0</v>
      </c>
      <c r="F68" s="584">
        <f t="shared" si="80"/>
        <v>0</v>
      </c>
      <c r="G68" s="584">
        <f t="shared" si="80"/>
        <v>0</v>
      </c>
      <c r="H68" s="584">
        <f t="shared" si="80"/>
        <v>0</v>
      </c>
      <c r="I68" s="584">
        <f t="shared" si="80"/>
        <v>0</v>
      </c>
      <c r="J68" s="584">
        <f t="shared" si="80"/>
        <v>2851077000</v>
      </c>
      <c r="K68" s="584">
        <f t="shared" si="80"/>
        <v>0</v>
      </c>
      <c r="L68" s="584">
        <f t="shared" si="80"/>
        <v>0</v>
      </c>
      <c r="M68" s="584">
        <f t="shared" si="80"/>
        <v>0</v>
      </c>
      <c r="N68" s="584">
        <f t="shared" si="80"/>
        <v>0</v>
      </c>
      <c r="O68" s="584">
        <f t="shared" si="80"/>
        <v>0</v>
      </c>
      <c r="P68" s="584">
        <f t="shared" si="80"/>
        <v>0</v>
      </c>
      <c r="Q68" s="584">
        <f t="shared" si="80"/>
        <v>0</v>
      </c>
      <c r="R68" s="584">
        <f t="shared" si="80"/>
        <v>0</v>
      </c>
      <c r="S68" s="584">
        <f t="shared" si="80"/>
        <v>0</v>
      </c>
      <c r="T68" s="584">
        <f t="shared" si="80"/>
        <v>0</v>
      </c>
      <c r="U68" s="584">
        <f t="shared" si="80"/>
        <v>0</v>
      </c>
      <c r="V68" s="584">
        <f t="shared" si="80"/>
        <v>0</v>
      </c>
      <c r="W68" s="584">
        <f t="shared" si="80"/>
        <v>193800000</v>
      </c>
      <c r="X68" s="584">
        <f t="shared" si="80"/>
        <v>0</v>
      </c>
      <c r="Y68" s="584">
        <f t="shared" si="80"/>
        <v>47080000</v>
      </c>
      <c r="Z68" s="584">
        <f t="shared" si="80"/>
        <v>2610197000</v>
      </c>
      <c r="AA68" s="584">
        <f t="shared" si="80"/>
        <v>0</v>
      </c>
      <c r="AB68" s="584">
        <f t="shared" si="80"/>
        <v>0</v>
      </c>
      <c r="AC68" s="584">
        <f t="shared" si="80"/>
        <v>0</v>
      </c>
      <c r="AD68" s="584">
        <f t="shared" si="80"/>
        <v>0</v>
      </c>
      <c r="AE68" s="584">
        <f t="shared" si="80"/>
        <v>0</v>
      </c>
      <c r="AF68" s="584">
        <f t="shared" si="80"/>
        <v>0</v>
      </c>
      <c r="AG68" s="584">
        <f t="shared" si="80"/>
        <v>0</v>
      </c>
      <c r="AH68" s="584">
        <f t="shared" si="80"/>
        <v>0</v>
      </c>
      <c r="AI68" s="584">
        <f t="shared" si="80"/>
        <v>0</v>
      </c>
      <c r="AJ68" s="584">
        <f t="shared" si="80"/>
        <v>0</v>
      </c>
      <c r="AK68" s="584">
        <f t="shared" si="80"/>
        <v>0</v>
      </c>
      <c r="AL68" s="584">
        <f t="shared" si="80"/>
        <v>0</v>
      </c>
      <c r="AM68" s="584">
        <f t="shared" si="80"/>
        <v>0</v>
      </c>
      <c r="AN68" s="584">
        <f t="shared" si="80"/>
        <v>0</v>
      </c>
      <c r="AO68" s="584">
        <f t="shared" si="80"/>
        <v>0</v>
      </c>
      <c r="AP68" s="584">
        <f t="shared" si="80"/>
        <v>0</v>
      </c>
      <c r="AQ68" s="584">
        <f t="shared" si="80"/>
        <v>0</v>
      </c>
      <c r="AR68" s="584">
        <f t="shared" si="80"/>
        <v>0</v>
      </c>
      <c r="AS68" s="584">
        <f t="shared" si="80"/>
        <v>0</v>
      </c>
      <c r="AT68" s="584">
        <f t="shared" si="80"/>
        <v>0</v>
      </c>
      <c r="AU68" s="584">
        <f t="shared" si="80"/>
        <v>0</v>
      </c>
      <c r="AV68" s="584">
        <f>AV69+AV70</f>
        <v>0</v>
      </c>
      <c r="AW68" s="584">
        <f>AW69+AW70</f>
        <v>0</v>
      </c>
      <c r="AX68" s="584">
        <f t="shared" ref="AX68:CN68" si="81">AX69+AX70</f>
        <v>0</v>
      </c>
      <c r="AY68" s="584">
        <f t="shared" si="81"/>
        <v>0</v>
      </c>
      <c r="AZ68" s="584">
        <f t="shared" si="81"/>
        <v>0</v>
      </c>
      <c r="BA68" s="584">
        <f t="shared" si="81"/>
        <v>0</v>
      </c>
      <c r="BB68" s="584">
        <f t="shared" si="81"/>
        <v>0</v>
      </c>
      <c r="BC68" s="584">
        <f t="shared" si="81"/>
        <v>0</v>
      </c>
      <c r="BD68" s="584">
        <f t="shared" si="81"/>
        <v>0</v>
      </c>
      <c r="BE68" s="584">
        <f t="shared" si="81"/>
        <v>20700304900</v>
      </c>
      <c r="BF68" s="584">
        <f t="shared" si="81"/>
        <v>0</v>
      </c>
      <c r="BG68" s="584">
        <f t="shared" si="81"/>
        <v>20700304900</v>
      </c>
      <c r="BH68" s="584">
        <f t="shared" si="81"/>
        <v>0</v>
      </c>
      <c r="BI68" s="584">
        <f t="shared" si="81"/>
        <v>0</v>
      </c>
      <c r="BJ68" s="584">
        <f t="shared" si="81"/>
        <v>0</v>
      </c>
      <c r="BK68" s="584">
        <f t="shared" si="81"/>
        <v>0</v>
      </c>
      <c r="BL68" s="584">
        <f>BL69+BL70</f>
        <v>0</v>
      </c>
      <c r="BM68" s="584">
        <f>BM69+BM70</f>
        <v>0</v>
      </c>
      <c r="BN68" s="584">
        <f t="shared" si="81"/>
        <v>0</v>
      </c>
      <c r="BO68" s="584">
        <f t="shared" si="81"/>
        <v>133000000</v>
      </c>
      <c r="BP68" s="584">
        <f t="shared" si="81"/>
        <v>0</v>
      </c>
      <c r="BQ68" s="584">
        <f t="shared" si="81"/>
        <v>0</v>
      </c>
      <c r="BR68" s="584">
        <f t="shared" si="81"/>
        <v>16054724000</v>
      </c>
      <c r="BS68" s="584">
        <f t="shared" si="81"/>
        <v>0</v>
      </c>
      <c r="BT68" s="584">
        <f t="shared" si="81"/>
        <v>0</v>
      </c>
      <c r="BU68" s="584">
        <f t="shared" si="81"/>
        <v>0</v>
      </c>
      <c r="BV68" s="584">
        <f t="shared" si="81"/>
        <v>0</v>
      </c>
      <c r="BW68" s="584">
        <f t="shared" si="81"/>
        <v>0</v>
      </c>
      <c r="BX68" s="584">
        <f t="shared" si="81"/>
        <v>0</v>
      </c>
      <c r="BY68" s="584">
        <f t="shared" si="81"/>
        <v>0</v>
      </c>
      <c r="BZ68" s="584">
        <f t="shared" si="81"/>
        <v>0</v>
      </c>
      <c r="CA68" s="584">
        <f t="shared" si="81"/>
        <v>4512580900</v>
      </c>
      <c r="CB68" s="584">
        <f t="shared" si="81"/>
        <v>0</v>
      </c>
      <c r="CC68" s="584">
        <f t="shared" si="81"/>
        <v>0</v>
      </c>
      <c r="CD68" s="584">
        <f t="shared" si="81"/>
        <v>0</v>
      </c>
      <c r="CE68" s="584">
        <f t="shared" si="81"/>
        <v>0</v>
      </c>
      <c r="CF68" s="584">
        <f t="shared" si="81"/>
        <v>0</v>
      </c>
      <c r="CG68" s="584">
        <f t="shared" si="81"/>
        <v>0</v>
      </c>
      <c r="CH68" s="584">
        <f t="shared" si="81"/>
        <v>0</v>
      </c>
      <c r="CI68" s="584">
        <f t="shared" si="81"/>
        <v>0</v>
      </c>
      <c r="CJ68" s="584">
        <f t="shared" si="81"/>
        <v>0</v>
      </c>
      <c r="CK68" s="584">
        <f t="shared" si="81"/>
        <v>0</v>
      </c>
      <c r="CL68" s="584">
        <f t="shared" si="81"/>
        <v>0</v>
      </c>
      <c r="CM68" s="584">
        <f t="shared" si="81"/>
        <v>0</v>
      </c>
      <c r="CN68" s="584">
        <f t="shared" si="81"/>
        <v>0</v>
      </c>
      <c r="CO68" s="583" t="s">
        <v>314</v>
      </c>
      <c r="CP68" s="584">
        <f t="shared" ref="CP68:FA68" si="82">CP69+CP70</f>
        <v>23551381900</v>
      </c>
      <c r="CQ68" s="584">
        <f t="shared" si="82"/>
        <v>2851077000</v>
      </c>
      <c r="CR68" s="584">
        <f t="shared" si="82"/>
        <v>0</v>
      </c>
      <c r="CS68" s="584">
        <f t="shared" si="82"/>
        <v>0</v>
      </c>
      <c r="CT68" s="584">
        <f t="shared" si="82"/>
        <v>0</v>
      </c>
      <c r="CU68" s="584">
        <f t="shared" si="82"/>
        <v>0</v>
      </c>
      <c r="CV68" s="584">
        <f t="shared" si="82"/>
        <v>0</v>
      </c>
      <c r="CW68" s="584">
        <f t="shared" si="82"/>
        <v>2851077000</v>
      </c>
      <c r="CX68" s="584">
        <f t="shared" si="82"/>
        <v>0</v>
      </c>
      <c r="CY68" s="584">
        <f t="shared" si="82"/>
        <v>0</v>
      </c>
      <c r="CZ68" s="584">
        <f t="shared" si="82"/>
        <v>0</v>
      </c>
      <c r="DA68" s="584">
        <f t="shared" si="82"/>
        <v>0</v>
      </c>
      <c r="DB68" s="584">
        <f t="shared" si="82"/>
        <v>0</v>
      </c>
      <c r="DC68" s="584">
        <f t="shared" si="82"/>
        <v>0</v>
      </c>
      <c r="DD68" s="584">
        <f t="shared" si="82"/>
        <v>0</v>
      </c>
      <c r="DE68" s="584">
        <f t="shared" si="82"/>
        <v>0</v>
      </c>
      <c r="DF68" s="584">
        <f t="shared" si="82"/>
        <v>0</v>
      </c>
      <c r="DG68" s="584">
        <f t="shared" si="82"/>
        <v>0</v>
      </c>
      <c r="DH68" s="584">
        <f t="shared" si="82"/>
        <v>0</v>
      </c>
      <c r="DI68" s="584">
        <f t="shared" si="82"/>
        <v>0</v>
      </c>
      <c r="DJ68" s="584">
        <f t="shared" si="82"/>
        <v>193800000</v>
      </c>
      <c r="DK68" s="584">
        <f t="shared" si="82"/>
        <v>0</v>
      </c>
      <c r="DL68" s="584">
        <f t="shared" si="82"/>
        <v>47080000</v>
      </c>
      <c r="DM68" s="584">
        <f>DM69+DM70</f>
        <v>2610197000</v>
      </c>
      <c r="DN68" s="584">
        <f t="shared" si="82"/>
        <v>0</v>
      </c>
      <c r="DO68" s="584">
        <f t="shared" si="82"/>
        <v>0</v>
      </c>
      <c r="DP68" s="584">
        <f t="shared" si="82"/>
        <v>0</v>
      </c>
      <c r="DQ68" s="584">
        <f t="shared" si="82"/>
        <v>0</v>
      </c>
      <c r="DR68" s="584">
        <f t="shared" si="82"/>
        <v>0</v>
      </c>
      <c r="DS68" s="584">
        <f t="shared" si="82"/>
        <v>0</v>
      </c>
      <c r="DT68" s="584">
        <f t="shared" si="82"/>
        <v>0</v>
      </c>
      <c r="DU68" s="584">
        <f t="shared" si="82"/>
        <v>0</v>
      </c>
      <c r="DV68" s="584">
        <f t="shared" si="82"/>
        <v>0</v>
      </c>
      <c r="DW68" s="584">
        <f t="shared" si="82"/>
        <v>0</v>
      </c>
      <c r="DX68" s="584">
        <f t="shared" si="82"/>
        <v>0</v>
      </c>
      <c r="DY68" s="584">
        <f t="shared" si="82"/>
        <v>0</v>
      </c>
      <c r="DZ68" s="584">
        <f t="shared" si="82"/>
        <v>0</v>
      </c>
      <c r="EA68" s="584">
        <f t="shared" si="82"/>
        <v>0</v>
      </c>
      <c r="EB68" s="584">
        <f t="shared" si="82"/>
        <v>0</v>
      </c>
      <c r="EC68" s="584">
        <f t="shared" si="82"/>
        <v>0</v>
      </c>
      <c r="ED68" s="584">
        <f t="shared" si="82"/>
        <v>0</v>
      </c>
      <c r="EE68" s="584">
        <f t="shared" si="82"/>
        <v>0</v>
      </c>
      <c r="EF68" s="584">
        <f t="shared" si="82"/>
        <v>0</v>
      </c>
      <c r="EG68" s="584">
        <f t="shared" si="82"/>
        <v>0</v>
      </c>
      <c r="EH68" s="584">
        <f t="shared" si="82"/>
        <v>0</v>
      </c>
      <c r="EI68" s="584">
        <f>EI69+EI70</f>
        <v>0</v>
      </c>
      <c r="EJ68" s="584">
        <f>EJ69+EJ70</f>
        <v>0</v>
      </c>
      <c r="EK68" s="584">
        <f t="shared" si="82"/>
        <v>0</v>
      </c>
      <c r="EL68" s="584">
        <f t="shared" si="82"/>
        <v>0</v>
      </c>
      <c r="EM68" s="584">
        <f t="shared" si="82"/>
        <v>0</v>
      </c>
      <c r="EN68" s="584">
        <f t="shared" si="82"/>
        <v>0</v>
      </c>
      <c r="EO68" s="584">
        <f t="shared" si="82"/>
        <v>0</v>
      </c>
      <c r="EP68" s="584">
        <f t="shared" si="82"/>
        <v>0</v>
      </c>
      <c r="EQ68" s="584">
        <f t="shared" si="82"/>
        <v>0</v>
      </c>
      <c r="ER68" s="584">
        <f t="shared" si="82"/>
        <v>2711548900</v>
      </c>
      <c r="ES68" s="584">
        <f t="shared" si="82"/>
        <v>0</v>
      </c>
      <c r="ET68" s="584">
        <f t="shared" si="82"/>
        <v>2711548900</v>
      </c>
      <c r="EU68" s="584">
        <f t="shared" si="82"/>
        <v>0</v>
      </c>
      <c r="EV68" s="584">
        <f t="shared" si="82"/>
        <v>0</v>
      </c>
      <c r="EW68" s="584">
        <f t="shared" si="82"/>
        <v>0</v>
      </c>
      <c r="EX68" s="584">
        <f t="shared" si="82"/>
        <v>0</v>
      </c>
      <c r="EY68" s="584">
        <f>EY69+EY70</f>
        <v>0</v>
      </c>
      <c r="EZ68" s="584">
        <f>EZ69+EZ70</f>
        <v>0</v>
      </c>
      <c r="FA68" s="584">
        <f t="shared" si="82"/>
        <v>0</v>
      </c>
      <c r="FB68" s="584">
        <f t="shared" ref="FB68:GB68" si="83">FB69+FB70</f>
        <v>0</v>
      </c>
      <c r="FC68" s="584">
        <f t="shared" si="83"/>
        <v>0</v>
      </c>
      <c r="FD68" s="584">
        <f t="shared" si="83"/>
        <v>0</v>
      </c>
      <c r="FE68" s="584">
        <f t="shared" si="83"/>
        <v>1323768000</v>
      </c>
      <c r="FF68" s="584">
        <f t="shared" si="83"/>
        <v>0</v>
      </c>
      <c r="FG68" s="584">
        <f t="shared" si="83"/>
        <v>0</v>
      </c>
      <c r="FH68" s="584">
        <f t="shared" si="83"/>
        <v>0</v>
      </c>
      <c r="FI68" s="584">
        <f t="shared" si="83"/>
        <v>0</v>
      </c>
      <c r="FJ68" s="584">
        <f t="shared" si="83"/>
        <v>0</v>
      </c>
      <c r="FK68" s="584">
        <f t="shared" si="83"/>
        <v>0</v>
      </c>
      <c r="FL68" s="584">
        <f t="shared" si="83"/>
        <v>0</v>
      </c>
      <c r="FM68" s="584">
        <f t="shared" si="83"/>
        <v>0</v>
      </c>
      <c r="FN68" s="584">
        <f t="shared" si="83"/>
        <v>1387780900</v>
      </c>
      <c r="FO68" s="584">
        <f t="shared" si="83"/>
        <v>0</v>
      </c>
      <c r="FP68" s="584">
        <f t="shared" si="83"/>
        <v>0</v>
      </c>
      <c r="FQ68" s="584">
        <f t="shared" si="83"/>
        <v>0</v>
      </c>
      <c r="FR68" s="584">
        <f t="shared" si="83"/>
        <v>0</v>
      </c>
      <c r="FS68" s="584">
        <f t="shared" si="83"/>
        <v>0</v>
      </c>
      <c r="FT68" s="584">
        <f t="shared" si="83"/>
        <v>0</v>
      </c>
      <c r="FU68" s="584">
        <f t="shared" si="83"/>
        <v>0</v>
      </c>
      <c r="FV68" s="584">
        <f t="shared" si="83"/>
        <v>0</v>
      </c>
      <c r="FW68" s="584">
        <f t="shared" si="83"/>
        <v>0</v>
      </c>
      <c r="FX68" s="584">
        <f t="shared" si="83"/>
        <v>0</v>
      </c>
      <c r="FY68" s="584">
        <f t="shared" si="83"/>
        <v>0</v>
      </c>
      <c r="FZ68" s="584">
        <f t="shared" si="83"/>
        <v>0</v>
      </c>
      <c r="GA68" s="584">
        <f t="shared" si="83"/>
        <v>0</v>
      </c>
      <c r="GB68" s="584">
        <f t="shared" si="83"/>
        <v>17988756000</v>
      </c>
      <c r="GC68" s="586">
        <f>CP68/C68</f>
        <v>1</v>
      </c>
      <c r="GD68" s="586"/>
      <c r="GE68" s="586">
        <f>CW68/J68</f>
        <v>1</v>
      </c>
      <c r="GF68" s="586">
        <f>ER68/BE68</f>
        <v>0.13099077105864271</v>
      </c>
      <c r="GG68" s="586"/>
    </row>
    <row r="69" spans="1:189" s="92" customFormat="1" ht="17.25" hidden="1" customHeight="1">
      <c r="A69" s="582"/>
      <c r="B69" s="583" t="s">
        <v>183</v>
      </c>
      <c r="C69" s="584">
        <f>D69+BE69+CI69</f>
        <v>0</v>
      </c>
      <c r="D69" s="584">
        <f>E69+J69</f>
        <v>0</v>
      </c>
      <c r="E69" s="584">
        <f>SUM(F69:I69)</f>
        <v>0</v>
      </c>
      <c r="F69" s="584"/>
      <c r="G69" s="584"/>
      <c r="H69" s="584"/>
      <c r="I69" s="584"/>
      <c r="J69" s="584">
        <f>SUM(K69:BD69)</f>
        <v>0</v>
      </c>
      <c r="K69" s="584"/>
      <c r="L69" s="584"/>
      <c r="M69" s="584"/>
      <c r="N69" s="584"/>
      <c r="O69" s="584"/>
      <c r="P69" s="584"/>
      <c r="Q69" s="584"/>
      <c r="R69" s="584"/>
      <c r="S69" s="584"/>
      <c r="T69" s="584"/>
      <c r="U69" s="584"/>
      <c r="V69" s="584"/>
      <c r="W69" s="584"/>
      <c r="X69" s="584"/>
      <c r="Y69" s="584"/>
      <c r="Z69" s="584"/>
      <c r="AA69" s="584"/>
      <c r="AB69" s="584"/>
      <c r="AC69" s="584"/>
      <c r="AD69" s="584"/>
      <c r="AE69" s="584"/>
      <c r="AF69" s="584"/>
      <c r="AG69" s="584"/>
      <c r="AH69" s="584"/>
      <c r="AI69" s="584"/>
      <c r="AJ69" s="584"/>
      <c r="AK69" s="584"/>
      <c r="AL69" s="584"/>
      <c r="AM69" s="584"/>
      <c r="AN69" s="584"/>
      <c r="AO69" s="584"/>
      <c r="AP69" s="584"/>
      <c r="AQ69" s="584"/>
      <c r="AR69" s="584"/>
      <c r="AS69" s="584"/>
      <c r="AT69" s="584"/>
      <c r="AU69" s="584"/>
      <c r="AV69" s="584"/>
      <c r="AW69" s="584"/>
      <c r="AX69" s="584"/>
      <c r="AY69" s="584"/>
      <c r="AZ69" s="584"/>
      <c r="BA69" s="584"/>
      <c r="BB69" s="584"/>
      <c r="BC69" s="584"/>
      <c r="BD69" s="584"/>
      <c r="BE69" s="584">
        <f>SUM(BF69:BG69)</f>
        <v>0</v>
      </c>
      <c r="BF69" s="584">
        <f>SUM(BH69:BI69)+BJ69+BM69+BW69+CE69</f>
        <v>0</v>
      </c>
      <c r="BG69" s="584">
        <f>BK69+SUM(BO69:BV69)+SUM(BX69:CD69)+SUM(CF69:CH69)</f>
        <v>0</v>
      </c>
      <c r="BH69" s="584"/>
      <c r="BI69" s="584"/>
      <c r="BJ69" s="584"/>
      <c r="BK69" s="584"/>
      <c r="BL69" s="584"/>
      <c r="BM69" s="584"/>
      <c r="BN69" s="584"/>
      <c r="BO69" s="584"/>
      <c r="BP69" s="584"/>
      <c r="BQ69" s="584"/>
      <c r="BR69" s="584"/>
      <c r="BS69" s="584"/>
      <c r="BT69" s="584"/>
      <c r="BU69" s="584"/>
      <c r="BV69" s="584"/>
      <c r="BW69" s="584"/>
      <c r="BX69" s="584"/>
      <c r="BY69" s="584"/>
      <c r="BZ69" s="584"/>
      <c r="CA69" s="584"/>
      <c r="CB69" s="584"/>
      <c r="CC69" s="584"/>
      <c r="CD69" s="584"/>
      <c r="CE69" s="584"/>
      <c r="CF69" s="584"/>
      <c r="CG69" s="584"/>
      <c r="CH69" s="584"/>
      <c r="CI69" s="584">
        <f>SUM(CJ69:CK69)</f>
        <v>0</v>
      </c>
      <c r="CJ69" s="584">
        <f>SUM(CL69:CL69)</f>
        <v>0</v>
      </c>
      <c r="CK69" s="584">
        <f>SUM(CM69:CN69)</f>
        <v>0</v>
      </c>
      <c r="CL69" s="584"/>
      <c r="CM69" s="584"/>
      <c r="CN69" s="584"/>
      <c r="CO69" s="583" t="s">
        <v>183</v>
      </c>
      <c r="CP69" s="584">
        <f>CQ69+ER69+FV69+GB69</f>
        <v>0</v>
      </c>
      <c r="CQ69" s="584">
        <f>CR69+CW69</f>
        <v>0</v>
      </c>
      <c r="CR69" s="584">
        <f>SUM(CS69:CV69)</f>
        <v>0</v>
      </c>
      <c r="CS69" s="584"/>
      <c r="CT69" s="584"/>
      <c r="CU69" s="584"/>
      <c r="CV69" s="584"/>
      <c r="CW69" s="584">
        <f>SUM(CX69:EQ69)</f>
        <v>0</v>
      </c>
      <c r="CX69" s="584"/>
      <c r="CY69" s="584"/>
      <c r="CZ69" s="584"/>
      <c r="DA69" s="584"/>
      <c r="DB69" s="584"/>
      <c r="DC69" s="584"/>
      <c r="DD69" s="584"/>
      <c r="DE69" s="584"/>
      <c r="DF69" s="584"/>
      <c r="DG69" s="584"/>
      <c r="DH69" s="584"/>
      <c r="DI69" s="584"/>
      <c r="DJ69" s="584"/>
      <c r="DK69" s="584"/>
      <c r="DL69" s="584"/>
      <c r="DM69" s="584"/>
      <c r="DN69" s="584"/>
      <c r="DO69" s="584"/>
      <c r="DP69" s="584"/>
      <c r="DQ69" s="584"/>
      <c r="DR69" s="584"/>
      <c r="DS69" s="584"/>
      <c r="DT69" s="584"/>
      <c r="DU69" s="584"/>
      <c r="DV69" s="584"/>
      <c r="DW69" s="584"/>
      <c r="DX69" s="584"/>
      <c r="DY69" s="584"/>
      <c r="DZ69" s="584"/>
      <c r="EA69" s="584"/>
      <c r="EB69" s="584"/>
      <c r="EC69" s="584"/>
      <c r="ED69" s="584"/>
      <c r="EE69" s="584"/>
      <c r="EF69" s="584"/>
      <c r="EG69" s="584"/>
      <c r="EH69" s="584"/>
      <c r="EI69" s="584"/>
      <c r="EJ69" s="584"/>
      <c r="EK69" s="584"/>
      <c r="EL69" s="584"/>
      <c r="EM69" s="584"/>
      <c r="EN69" s="584"/>
      <c r="EO69" s="584"/>
      <c r="EP69" s="584"/>
      <c r="EQ69" s="584"/>
      <c r="ER69" s="584">
        <f>SUM(ES69:ET69)</f>
        <v>0</v>
      </c>
      <c r="ES69" s="584">
        <f>SUM(EU69:EV69)+EW69+EZ69+FJ69+FR69</f>
        <v>0</v>
      </c>
      <c r="ET69" s="584">
        <f>EX69+SUM(FB69:FI69)+SUM(FK69:FQ69)+SUM(FS69:FU69)</f>
        <v>0</v>
      </c>
      <c r="EU69" s="584"/>
      <c r="EV69" s="584"/>
      <c r="EW69" s="584"/>
      <c r="EX69" s="584"/>
      <c r="EY69" s="584"/>
      <c r="EZ69" s="584"/>
      <c r="FA69" s="584"/>
      <c r="FB69" s="584"/>
      <c r="FC69" s="584"/>
      <c r="FD69" s="584"/>
      <c r="FE69" s="584"/>
      <c r="FF69" s="584"/>
      <c r="FG69" s="584"/>
      <c r="FH69" s="584"/>
      <c r="FI69" s="584"/>
      <c r="FJ69" s="584"/>
      <c r="FK69" s="584"/>
      <c r="FL69" s="584"/>
      <c r="FM69" s="584"/>
      <c r="FN69" s="584"/>
      <c r="FO69" s="584"/>
      <c r="FP69" s="584"/>
      <c r="FQ69" s="584"/>
      <c r="FR69" s="584"/>
      <c r="FS69" s="584"/>
      <c r="FT69" s="584"/>
      <c r="FU69" s="584"/>
      <c r="FV69" s="584">
        <f>SUM(FW69:FX69)</f>
        <v>0</v>
      </c>
      <c r="FW69" s="584">
        <f>SUM(FY69:FY69)</f>
        <v>0</v>
      </c>
      <c r="FX69" s="584">
        <f>SUM(FZ69:GA69)</f>
        <v>0</v>
      </c>
      <c r="FY69" s="584"/>
      <c r="FZ69" s="584"/>
      <c r="GA69" s="584"/>
      <c r="GB69" s="584"/>
      <c r="GC69" s="586"/>
      <c r="GD69" s="586"/>
      <c r="GE69" s="586"/>
      <c r="GF69" s="586"/>
      <c r="GG69" s="586"/>
    </row>
    <row r="70" spans="1:189" s="92" customFormat="1" ht="17.25" hidden="1" customHeight="1">
      <c r="A70" s="582"/>
      <c r="B70" s="583" t="s">
        <v>184</v>
      </c>
      <c r="C70" s="584">
        <f>D70+BE70+CI70</f>
        <v>23551381900</v>
      </c>
      <c r="D70" s="584">
        <f>E70+J70</f>
        <v>2851077000</v>
      </c>
      <c r="E70" s="584">
        <f>SUM(F70:I70)</f>
        <v>0</v>
      </c>
      <c r="F70" s="584"/>
      <c r="G70" s="584"/>
      <c r="H70" s="584"/>
      <c r="I70" s="584"/>
      <c r="J70" s="584">
        <f>SUM(K70:BD70)</f>
        <v>2851077000</v>
      </c>
      <c r="K70" s="584"/>
      <c r="L70" s="584"/>
      <c r="M70" s="584"/>
      <c r="N70" s="584"/>
      <c r="O70" s="584"/>
      <c r="P70" s="584"/>
      <c r="Q70" s="584"/>
      <c r="R70" s="584"/>
      <c r="S70" s="584"/>
      <c r="T70" s="584"/>
      <c r="U70" s="584"/>
      <c r="V70" s="584"/>
      <c r="W70" s="584">
        <v>193800000</v>
      </c>
      <c r="X70" s="584"/>
      <c r="Y70" s="584">
        <v>47080000</v>
      </c>
      <c r="Z70" s="584">
        <v>2610197000</v>
      </c>
      <c r="AA70" s="584"/>
      <c r="AB70" s="584"/>
      <c r="AC70" s="584"/>
      <c r="AD70" s="584"/>
      <c r="AE70" s="584"/>
      <c r="AF70" s="584"/>
      <c r="AG70" s="584"/>
      <c r="AH70" s="584"/>
      <c r="AI70" s="584"/>
      <c r="AJ70" s="584"/>
      <c r="AK70" s="584"/>
      <c r="AL70" s="584"/>
      <c r="AM70" s="584"/>
      <c r="AN70" s="584"/>
      <c r="AO70" s="584"/>
      <c r="AP70" s="584"/>
      <c r="AQ70" s="584"/>
      <c r="AR70" s="584"/>
      <c r="AS70" s="584"/>
      <c r="AT70" s="584"/>
      <c r="AU70" s="584"/>
      <c r="AV70" s="584"/>
      <c r="AW70" s="584"/>
      <c r="AX70" s="584"/>
      <c r="AY70" s="584"/>
      <c r="AZ70" s="584"/>
      <c r="BA70" s="584"/>
      <c r="BB70" s="584"/>
      <c r="BC70" s="584"/>
      <c r="BD70" s="584"/>
      <c r="BE70" s="584">
        <f>SUM(BF70:BG70)</f>
        <v>20700304900</v>
      </c>
      <c r="BF70" s="584">
        <f>SUM(BH70:BI70)+BJ70+BM70+BW70+CE70</f>
        <v>0</v>
      </c>
      <c r="BG70" s="584">
        <f>BK70+SUM(BO70:BV70)+SUM(BX70:CD70)+SUM(CF70:CH70)</f>
        <v>20700304900</v>
      </c>
      <c r="BH70" s="584"/>
      <c r="BI70" s="584"/>
      <c r="BJ70" s="584"/>
      <c r="BK70" s="584"/>
      <c r="BL70" s="584"/>
      <c r="BM70" s="584"/>
      <c r="BN70" s="584"/>
      <c r="BO70" s="584">
        <v>133000000</v>
      </c>
      <c r="BP70" s="584"/>
      <c r="BQ70" s="584"/>
      <c r="BR70" s="584">
        <v>16054724000</v>
      </c>
      <c r="BS70" s="584"/>
      <c r="BT70" s="584"/>
      <c r="BU70" s="584"/>
      <c r="BV70" s="584"/>
      <c r="BW70" s="584"/>
      <c r="BX70" s="584"/>
      <c r="BY70" s="584"/>
      <c r="BZ70" s="584"/>
      <c r="CA70" s="584">
        <v>4512580900</v>
      </c>
      <c r="CB70" s="584"/>
      <c r="CC70" s="584"/>
      <c r="CD70" s="584"/>
      <c r="CE70" s="584"/>
      <c r="CF70" s="584"/>
      <c r="CG70" s="584"/>
      <c r="CH70" s="584"/>
      <c r="CI70" s="584">
        <f>SUM(CJ70:CK70)</f>
        <v>0</v>
      </c>
      <c r="CJ70" s="584">
        <f>SUM(CL70:CL70)</f>
        <v>0</v>
      </c>
      <c r="CK70" s="584">
        <f>SUM(CM70:CN70)</f>
        <v>0</v>
      </c>
      <c r="CL70" s="584"/>
      <c r="CM70" s="584"/>
      <c r="CN70" s="584"/>
      <c r="CO70" s="583" t="s">
        <v>184</v>
      </c>
      <c r="CP70" s="584">
        <f>CQ70+ER70+FV70+GB70</f>
        <v>23551381900</v>
      </c>
      <c r="CQ70" s="584">
        <f>CR70+CW70</f>
        <v>2851077000</v>
      </c>
      <c r="CR70" s="584">
        <f>SUM(CS70:CV70)</f>
        <v>0</v>
      </c>
      <c r="CS70" s="584"/>
      <c r="CT70" s="584"/>
      <c r="CU70" s="584"/>
      <c r="CV70" s="584"/>
      <c r="CW70" s="584">
        <f>SUM(CX70:EQ70)</f>
        <v>2851077000</v>
      </c>
      <c r="CX70" s="584"/>
      <c r="CY70" s="584"/>
      <c r="CZ70" s="584"/>
      <c r="DA70" s="584"/>
      <c r="DB70" s="584"/>
      <c r="DC70" s="584"/>
      <c r="DD70" s="584"/>
      <c r="DE70" s="584"/>
      <c r="DF70" s="584"/>
      <c r="DG70" s="584"/>
      <c r="DH70" s="584"/>
      <c r="DI70" s="584"/>
      <c r="DJ70" s="584">
        <v>193800000</v>
      </c>
      <c r="DK70" s="584"/>
      <c r="DL70" s="584">
        <v>47080000</v>
      </c>
      <c r="DM70" s="584">
        <v>2610197000</v>
      </c>
      <c r="DN70" s="584"/>
      <c r="DO70" s="584"/>
      <c r="DP70" s="584"/>
      <c r="DQ70" s="584"/>
      <c r="DR70" s="584"/>
      <c r="DS70" s="584"/>
      <c r="DT70" s="584"/>
      <c r="DU70" s="584"/>
      <c r="DV70" s="584"/>
      <c r="DW70" s="584"/>
      <c r="DX70" s="584"/>
      <c r="DY70" s="584"/>
      <c r="DZ70" s="584"/>
      <c r="EA70" s="584"/>
      <c r="EB70" s="584"/>
      <c r="EC70" s="584"/>
      <c r="ED70" s="584"/>
      <c r="EE70" s="584"/>
      <c r="EF70" s="584"/>
      <c r="EG70" s="584"/>
      <c r="EH70" s="584"/>
      <c r="EI70" s="584"/>
      <c r="EJ70" s="584"/>
      <c r="EK70" s="584"/>
      <c r="EL70" s="584"/>
      <c r="EM70" s="584"/>
      <c r="EN70" s="584"/>
      <c r="EO70" s="584"/>
      <c r="EP70" s="584"/>
      <c r="EQ70" s="584"/>
      <c r="ER70" s="584">
        <f>SUM(ES70:ET70)</f>
        <v>2711548900</v>
      </c>
      <c r="ES70" s="584">
        <f>SUM(EU70:EV70)+EW70+EZ70+FJ70+FR70</f>
        <v>0</v>
      </c>
      <c r="ET70" s="584">
        <f>EX70+SUM(FB70:FI70)+SUM(FK70:FQ70)+SUM(FS70:FU70)</f>
        <v>2711548900</v>
      </c>
      <c r="EU70" s="584"/>
      <c r="EV70" s="584"/>
      <c r="EW70" s="584"/>
      <c r="EX70" s="584"/>
      <c r="EY70" s="584"/>
      <c r="EZ70" s="584"/>
      <c r="FA70" s="584"/>
      <c r="FB70" s="584"/>
      <c r="FC70" s="584"/>
      <c r="FD70" s="584"/>
      <c r="FE70" s="584">
        <v>1323768000</v>
      </c>
      <c r="FF70" s="584"/>
      <c r="FG70" s="584"/>
      <c r="FH70" s="584"/>
      <c r="FI70" s="584"/>
      <c r="FJ70" s="584"/>
      <c r="FK70" s="584"/>
      <c r="FL70" s="584"/>
      <c r="FM70" s="584"/>
      <c r="FN70" s="584">
        <v>1387780900</v>
      </c>
      <c r="FO70" s="584"/>
      <c r="FP70" s="584"/>
      <c r="FQ70" s="584"/>
      <c r="FR70" s="584"/>
      <c r="FS70" s="584"/>
      <c r="FT70" s="584"/>
      <c r="FU70" s="584"/>
      <c r="FV70" s="584">
        <f>SUM(FW70:FX70)</f>
        <v>0</v>
      </c>
      <c r="FW70" s="584">
        <f>SUM(FY70:FY70)</f>
        <v>0</v>
      </c>
      <c r="FX70" s="584">
        <f>SUM(FZ70:GA70)</f>
        <v>0</v>
      </c>
      <c r="FY70" s="584"/>
      <c r="FZ70" s="584"/>
      <c r="GA70" s="584"/>
      <c r="GB70" s="584">
        <v>17988756000</v>
      </c>
      <c r="GC70" s="586">
        <f>CP70/C70</f>
        <v>1</v>
      </c>
      <c r="GD70" s="586"/>
      <c r="GE70" s="586">
        <f>CW70/J70</f>
        <v>1</v>
      </c>
      <c r="GF70" s="586">
        <f>ER70/BE70</f>
        <v>0.13099077105864271</v>
      </c>
      <c r="GG70" s="586"/>
    </row>
    <row r="71" spans="1:189" s="92" customFormat="1" ht="17.25" customHeight="1">
      <c r="A71" s="582">
        <v>20</v>
      </c>
      <c r="B71" s="583" t="s">
        <v>335</v>
      </c>
      <c r="C71" s="584">
        <f t="shared" ref="C71:AU71" si="84">C72+C73</f>
        <v>1065214000</v>
      </c>
      <c r="D71" s="584">
        <f t="shared" si="84"/>
        <v>1065214000</v>
      </c>
      <c r="E71" s="584">
        <f t="shared" si="84"/>
        <v>0</v>
      </c>
      <c r="F71" s="584">
        <f t="shared" si="84"/>
        <v>0</v>
      </c>
      <c r="G71" s="584">
        <f t="shared" si="84"/>
        <v>0</v>
      </c>
      <c r="H71" s="584">
        <f t="shared" si="84"/>
        <v>0</v>
      </c>
      <c r="I71" s="584">
        <f t="shared" si="84"/>
        <v>0</v>
      </c>
      <c r="J71" s="584">
        <f t="shared" si="84"/>
        <v>1065214000</v>
      </c>
      <c r="K71" s="584">
        <f t="shared" si="84"/>
        <v>0</v>
      </c>
      <c r="L71" s="584">
        <f t="shared" si="84"/>
        <v>0</v>
      </c>
      <c r="M71" s="584">
        <f t="shared" si="84"/>
        <v>0</v>
      </c>
      <c r="N71" s="584">
        <f t="shared" si="84"/>
        <v>0</v>
      </c>
      <c r="O71" s="584">
        <f t="shared" si="84"/>
        <v>0</v>
      </c>
      <c r="P71" s="584">
        <f t="shared" si="84"/>
        <v>0</v>
      </c>
      <c r="Q71" s="584">
        <f t="shared" si="84"/>
        <v>0</v>
      </c>
      <c r="R71" s="584">
        <f t="shared" si="84"/>
        <v>0</v>
      </c>
      <c r="S71" s="584">
        <f t="shared" si="84"/>
        <v>0</v>
      </c>
      <c r="T71" s="584">
        <f t="shared" si="84"/>
        <v>0</v>
      </c>
      <c r="U71" s="584">
        <f t="shared" si="84"/>
        <v>0</v>
      </c>
      <c r="V71" s="584">
        <f t="shared" si="84"/>
        <v>0</v>
      </c>
      <c r="W71" s="584">
        <f t="shared" si="84"/>
        <v>0</v>
      </c>
      <c r="X71" s="584">
        <f t="shared" si="84"/>
        <v>0</v>
      </c>
      <c r="Y71" s="584">
        <f t="shared" si="84"/>
        <v>0</v>
      </c>
      <c r="Z71" s="584">
        <f t="shared" si="84"/>
        <v>0</v>
      </c>
      <c r="AA71" s="584">
        <f t="shared" si="84"/>
        <v>0</v>
      </c>
      <c r="AB71" s="584">
        <f t="shared" si="84"/>
        <v>0</v>
      </c>
      <c r="AC71" s="584">
        <f t="shared" si="84"/>
        <v>0</v>
      </c>
      <c r="AD71" s="584">
        <f t="shared" si="84"/>
        <v>0</v>
      </c>
      <c r="AE71" s="584">
        <f t="shared" si="84"/>
        <v>0</v>
      </c>
      <c r="AF71" s="584">
        <f t="shared" si="84"/>
        <v>0</v>
      </c>
      <c r="AG71" s="584">
        <f t="shared" si="84"/>
        <v>0</v>
      </c>
      <c r="AH71" s="584">
        <f t="shared" si="84"/>
        <v>0</v>
      </c>
      <c r="AI71" s="584">
        <f t="shared" si="84"/>
        <v>0</v>
      </c>
      <c r="AJ71" s="584">
        <f t="shared" si="84"/>
        <v>0</v>
      </c>
      <c r="AK71" s="584">
        <f t="shared" si="84"/>
        <v>0</v>
      </c>
      <c r="AL71" s="584">
        <f t="shared" si="84"/>
        <v>0</v>
      </c>
      <c r="AM71" s="584">
        <f t="shared" si="84"/>
        <v>0</v>
      </c>
      <c r="AN71" s="584">
        <f t="shared" si="84"/>
        <v>0</v>
      </c>
      <c r="AO71" s="584">
        <f t="shared" si="84"/>
        <v>0</v>
      </c>
      <c r="AP71" s="584">
        <f t="shared" si="84"/>
        <v>0</v>
      </c>
      <c r="AQ71" s="584">
        <f t="shared" si="84"/>
        <v>0</v>
      </c>
      <c r="AR71" s="584">
        <f t="shared" si="84"/>
        <v>0</v>
      </c>
      <c r="AS71" s="584">
        <f t="shared" si="84"/>
        <v>0</v>
      </c>
      <c r="AT71" s="584">
        <f t="shared" si="84"/>
        <v>1065214000</v>
      </c>
      <c r="AU71" s="584">
        <f t="shared" si="84"/>
        <v>0</v>
      </c>
      <c r="AV71" s="584">
        <f>AV72+AV73</f>
        <v>0</v>
      </c>
      <c r="AW71" s="584">
        <f>AW72+AW73</f>
        <v>0</v>
      </c>
      <c r="AX71" s="584">
        <f t="shared" ref="AX71:CN71" si="85">AX72+AX73</f>
        <v>0</v>
      </c>
      <c r="AY71" s="584">
        <f t="shared" si="85"/>
        <v>0</v>
      </c>
      <c r="AZ71" s="584">
        <f t="shared" si="85"/>
        <v>0</v>
      </c>
      <c r="BA71" s="584">
        <f t="shared" si="85"/>
        <v>0</v>
      </c>
      <c r="BB71" s="584">
        <f t="shared" si="85"/>
        <v>0</v>
      </c>
      <c r="BC71" s="584">
        <f t="shared" si="85"/>
        <v>0</v>
      </c>
      <c r="BD71" s="584">
        <f t="shared" si="85"/>
        <v>0</v>
      </c>
      <c r="BE71" s="584">
        <f t="shared" si="85"/>
        <v>0</v>
      </c>
      <c r="BF71" s="584">
        <f t="shared" si="85"/>
        <v>0</v>
      </c>
      <c r="BG71" s="584">
        <f t="shared" si="85"/>
        <v>0</v>
      </c>
      <c r="BH71" s="584">
        <f t="shared" si="85"/>
        <v>0</v>
      </c>
      <c r="BI71" s="584">
        <f t="shared" si="85"/>
        <v>0</v>
      </c>
      <c r="BJ71" s="584">
        <f t="shared" si="85"/>
        <v>0</v>
      </c>
      <c r="BK71" s="584">
        <f t="shared" si="85"/>
        <v>0</v>
      </c>
      <c r="BL71" s="584">
        <f>BL72+BL73</f>
        <v>0</v>
      </c>
      <c r="BM71" s="584">
        <f>BM72+BM73</f>
        <v>0</v>
      </c>
      <c r="BN71" s="584">
        <f t="shared" si="85"/>
        <v>0</v>
      </c>
      <c r="BO71" s="584">
        <f t="shared" si="85"/>
        <v>0</v>
      </c>
      <c r="BP71" s="584">
        <f t="shared" si="85"/>
        <v>0</v>
      </c>
      <c r="BQ71" s="584">
        <f t="shared" si="85"/>
        <v>0</v>
      </c>
      <c r="BR71" s="584">
        <f t="shared" si="85"/>
        <v>0</v>
      </c>
      <c r="BS71" s="584">
        <f t="shared" si="85"/>
        <v>0</v>
      </c>
      <c r="BT71" s="584">
        <f t="shared" si="85"/>
        <v>0</v>
      </c>
      <c r="BU71" s="584">
        <f t="shared" si="85"/>
        <v>0</v>
      </c>
      <c r="BV71" s="584">
        <f t="shared" si="85"/>
        <v>0</v>
      </c>
      <c r="BW71" s="584">
        <f t="shared" si="85"/>
        <v>0</v>
      </c>
      <c r="BX71" s="584">
        <f t="shared" si="85"/>
        <v>0</v>
      </c>
      <c r="BY71" s="584">
        <f t="shared" si="85"/>
        <v>0</v>
      </c>
      <c r="BZ71" s="584">
        <f t="shared" si="85"/>
        <v>0</v>
      </c>
      <c r="CA71" s="584">
        <f t="shared" si="85"/>
        <v>0</v>
      </c>
      <c r="CB71" s="584">
        <f t="shared" si="85"/>
        <v>0</v>
      </c>
      <c r="CC71" s="584">
        <f t="shared" si="85"/>
        <v>0</v>
      </c>
      <c r="CD71" s="584">
        <f t="shared" si="85"/>
        <v>0</v>
      </c>
      <c r="CE71" s="584">
        <f t="shared" si="85"/>
        <v>0</v>
      </c>
      <c r="CF71" s="584">
        <f t="shared" si="85"/>
        <v>0</v>
      </c>
      <c r="CG71" s="584">
        <f t="shared" si="85"/>
        <v>0</v>
      </c>
      <c r="CH71" s="584">
        <f t="shared" si="85"/>
        <v>0</v>
      </c>
      <c r="CI71" s="584">
        <f t="shared" si="85"/>
        <v>0</v>
      </c>
      <c r="CJ71" s="584">
        <f t="shared" si="85"/>
        <v>0</v>
      </c>
      <c r="CK71" s="584">
        <f t="shared" si="85"/>
        <v>0</v>
      </c>
      <c r="CL71" s="584">
        <f t="shared" si="85"/>
        <v>0</v>
      </c>
      <c r="CM71" s="584">
        <f t="shared" si="85"/>
        <v>0</v>
      </c>
      <c r="CN71" s="584">
        <f t="shared" si="85"/>
        <v>0</v>
      </c>
      <c r="CO71" s="583" t="s">
        <v>335</v>
      </c>
      <c r="CP71" s="584">
        <f t="shared" ref="CP71:FA71" si="86">CP72+CP73</f>
        <v>1065214000</v>
      </c>
      <c r="CQ71" s="584">
        <f t="shared" si="86"/>
        <v>1065214000</v>
      </c>
      <c r="CR71" s="584">
        <f t="shared" si="86"/>
        <v>0</v>
      </c>
      <c r="CS71" s="584">
        <f t="shared" si="86"/>
        <v>0</v>
      </c>
      <c r="CT71" s="584">
        <f t="shared" si="86"/>
        <v>0</v>
      </c>
      <c r="CU71" s="584">
        <f t="shared" si="86"/>
        <v>0</v>
      </c>
      <c r="CV71" s="584">
        <f t="shared" si="86"/>
        <v>0</v>
      </c>
      <c r="CW71" s="584">
        <f t="shared" si="86"/>
        <v>1065214000</v>
      </c>
      <c r="CX71" s="584">
        <f t="shared" si="86"/>
        <v>0</v>
      </c>
      <c r="CY71" s="584">
        <f t="shared" si="86"/>
        <v>0</v>
      </c>
      <c r="CZ71" s="584">
        <f t="shared" si="86"/>
        <v>0</v>
      </c>
      <c r="DA71" s="584">
        <f t="shared" si="86"/>
        <v>0</v>
      </c>
      <c r="DB71" s="584">
        <f t="shared" si="86"/>
        <v>0</v>
      </c>
      <c r="DC71" s="584">
        <f t="shared" si="86"/>
        <v>0</v>
      </c>
      <c r="DD71" s="584">
        <f t="shared" si="86"/>
        <v>0</v>
      </c>
      <c r="DE71" s="584">
        <f t="shared" si="86"/>
        <v>0</v>
      </c>
      <c r="DF71" s="584">
        <f t="shared" si="86"/>
        <v>0</v>
      </c>
      <c r="DG71" s="584">
        <f t="shared" si="86"/>
        <v>0</v>
      </c>
      <c r="DH71" s="584">
        <f t="shared" si="86"/>
        <v>0</v>
      </c>
      <c r="DI71" s="584">
        <f t="shared" si="86"/>
        <v>0</v>
      </c>
      <c r="DJ71" s="584">
        <f t="shared" si="86"/>
        <v>0</v>
      </c>
      <c r="DK71" s="584">
        <f t="shared" si="86"/>
        <v>0</v>
      </c>
      <c r="DL71" s="584">
        <f t="shared" si="86"/>
        <v>0</v>
      </c>
      <c r="DM71" s="584">
        <f>DM72+DM73</f>
        <v>0</v>
      </c>
      <c r="DN71" s="584">
        <f t="shared" si="86"/>
        <v>0</v>
      </c>
      <c r="DO71" s="584">
        <f t="shared" si="86"/>
        <v>0</v>
      </c>
      <c r="DP71" s="584">
        <f t="shared" si="86"/>
        <v>0</v>
      </c>
      <c r="DQ71" s="584">
        <f t="shared" si="86"/>
        <v>0</v>
      </c>
      <c r="DR71" s="584">
        <f t="shared" si="86"/>
        <v>0</v>
      </c>
      <c r="DS71" s="584">
        <f t="shared" si="86"/>
        <v>0</v>
      </c>
      <c r="DT71" s="584">
        <f t="shared" si="86"/>
        <v>0</v>
      </c>
      <c r="DU71" s="584">
        <f t="shared" si="86"/>
        <v>0</v>
      </c>
      <c r="DV71" s="584">
        <f t="shared" si="86"/>
        <v>0</v>
      </c>
      <c r="DW71" s="584">
        <f t="shared" si="86"/>
        <v>0</v>
      </c>
      <c r="DX71" s="584">
        <f t="shared" si="86"/>
        <v>0</v>
      </c>
      <c r="DY71" s="584">
        <f t="shared" si="86"/>
        <v>0</v>
      </c>
      <c r="DZ71" s="584">
        <f t="shared" si="86"/>
        <v>0</v>
      </c>
      <c r="EA71" s="584">
        <f t="shared" si="86"/>
        <v>0</v>
      </c>
      <c r="EB71" s="584">
        <f t="shared" si="86"/>
        <v>0</v>
      </c>
      <c r="EC71" s="584">
        <f t="shared" si="86"/>
        <v>0</v>
      </c>
      <c r="ED71" s="584">
        <f t="shared" si="86"/>
        <v>0</v>
      </c>
      <c r="EE71" s="584">
        <f t="shared" si="86"/>
        <v>0</v>
      </c>
      <c r="EF71" s="584">
        <f t="shared" si="86"/>
        <v>0</v>
      </c>
      <c r="EG71" s="584">
        <f t="shared" si="86"/>
        <v>1065214000</v>
      </c>
      <c r="EH71" s="584">
        <f t="shared" si="86"/>
        <v>0</v>
      </c>
      <c r="EI71" s="584">
        <f>EI72+EI73</f>
        <v>0</v>
      </c>
      <c r="EJ71" s="584">
        <f>EJ72+EJ73</f>
        <v>0</v>
      </c>
      <c r="EK71" s="584">
        <f t="shared" si="86"/>
        <v>0</v>
      </c>
      <c r="EL71" s="584">
        <f t="shared" si="86"/>
        <v>0</v>
      </c>
      <c r="EM71" s="584">
        <f t="shared" si="86"/>
        <v>0</v>
      </c>
      <c r="EN71" s="584">
        <f t="shared" si="86"/>
        <v>0</v>
      </c>
      <c r="EO71" s="584">
        <f t="shared" si="86"/>
        <v>0</v>
      </c>
      <c r="EP71" s="584">
        <f t="shared" si="86"/>
        <v>0</v>
      </c>
      <c r="EQ71" s="584">
        <f t="shared" si="86"/>
        <v>0</v>
      </c>
      <c r="ER71" s="584">
        <f t="shared" si="86"/>
        <v>0</v>
      </c>
      <c r="ES71" s="584">
        <f t="shared" si="86"/>
        <v>0</v>
      </c>
      <c r="ET71" s="584">
        <f t="shared" si="86"/>
        <v>0</v>
      </c>
      <c r="EU71" s="584">
        <f t="shared" si="86"/>
        <v>0</v>
      </c>
      <c r="EV71" s="584">
        <f t="shared" si="86"/>
        <v>0</v>
      </c>
      <c r="EW71" s="584">
        <f t="shared" si="86"/>
        <v>0</v>
      </c>
      <c r="EX71" s="584">
        <f t="shared" si="86"/>
        <v>0</v>
      </c>
      <c r="EY71" s="584">
        <f>EY72+EY73</f>
        <v>0</v>
      </c>
      <c r="EZ71" s="584">
        <f>EZ72+EZ73</f>
        <v>0</v>
      </c>
      <c r="FA71" s="584">
        <f t="shared" si="86"/>
        <v>0</v>
      </c>
      <c r="FB71" s="584">
        <f t="shared" ref="FB71:GB71" si="87">FB72+FB73</f>
        <v>0</v>
      </c>
      <c r="FC71" s="584">
        <f t="shared" si="87"/>
        <v>0</v>
      </c>
      <c r="FD71" s="584">
        <f t="shared" si="87"/>
        <v>0</v>
      </c>
      <c r="FE71" s="584">
        <f t="shared" si="87"/>
        <v>0</v>
      </c>
      <c r="FF71" s="584">
        <f t="shared" si="87"/>
        <v>0</v>
      </c>
      <c r="FG71" s="584">
        <f t="shared" si="87"/>
        <v>0</v>
      </c>
      <c r="FH71" s="584">
        <f t="shared" si="87"/>
        <v>0</v>
      </c>
      <c r="FI71" s="584">
        <f t="shared" si="87"/>
        <v>0</v>
      </c>
      <c r="FJ71" s="584">
        <f t="shared" si="87"/>
        <v>0</v>
      </c>
      <c r="FK71" s="584">
        <f t="shared" si="87"/>
        <v>0</v>
      </c>
      <c r="FL71" s="584">
        <f t="shared" si="87"/>
        <v>0</v>
      </c>
      <c r="FM71" s="584">
        <f t="shared" si="87"/>
        <v>0</v>
      </c>
      <c r="FN71" s="584">
        <f t="shared" si="87"/>
        <v>0</v>
      </c>
      <c r="FO71" s="584">
        <f t="shared" si="87"/>
        <v>0</v>
      </c>
      <c r="FP71" s="584">
        <f t="shared" si="87"/>
        <v>0</v>
      </c>
      <c r="FQ71" s="584">
        <f t="shared" si="87"/>
        <v>0</v>
      </c>
      <c r="FR71" s="584">
        <f t="shared" si="87"/>
        <v>0</v>
      </c>
      <c r="FS71" s="584">
        <f t="shared" si="87"/>
        <v>0</v>
      </c>
      <c r="FT71" s="584">
        <f t="shared" si="87"/>
        <v>0</v>
      </c>
      <c r="FU71" s="584">
        <f t="shared" si="87"/>
        <v>0</v>
      </c>
      <c r="FV71" s="584">
        <f t="shared" si="87"/>
        <v>0</v>
      </c>
      <c r="FW71" s="584">
        <f t="shared" si="87"/>
        <v>0</v>
      </c>
      <c r="FX71" s="584">
        <f t="shared" si="87"/>
        <v>0</v>
      </c>
      <c r="FY71" s="584">
        <f t="shared" si="87"/>
        <v>0</v>
      </c>
      <c r="FZ71" s="584">
        <f t="shared" si="87"/>
        <v>0</v>
      </c>
      <c r="GA71" s="584">
        <f t="shared" si="87"/>
        <v>0</v>
      </c>
      <c r="GB71" s="584">
        <f t="shared" si="87"/>
        <v>0</v>
      </c>
      <c r="GC71" s="586">
        <f>CP71/C71</f>
        <v>1</v>
      </c>
      <c r="GD71" s="586"/>
      <c r="GE71" s="586">
        <f>CW71/J71</f>
        <v>1</v>
      </c>
      <c r="GF71" s="586"/>
      <c r="GG71" s="586"/>
    </row>
    <row r="72" spans="1:189" s="92" customFormat="1" ht="17.25" hidden="1" customHeight="1">
      <c r="A72" s="582"/>
      <c r="B72" s="583" t="s">
        <v>183</v>
      </c>
      <c r="C72" s="584">
        <f>D72+BE72+CI72</f>
        <v>0</v>
      </c>
      <c r="D72" s="584">
        <f>E72+J72</f>
        <v>0</v>
      </c>
      <c r="E72" s="584">
        <f>SUM(F72:I72)</f>
        <v>0</v>
      </c>
      <c r="F72" s="584"/>
      <c r="G72" s="584"/>
      <c r="H72" s="584"/>
      <c r="I72" s="584"/>
      <c r="J72" s="584">
        <f>SUM(K72:BD72)</f>
        <v>0</v>
      </c>
      <c r="K72" s="584"/>
      <c r="L72" s="584"/>
      <c r="M72" s="584"/>
      <c r="N72" s="584"/>
      <c r="O72" s="584"/>
      <c r="P72" s="584"/>
      <c r="Q72" s="584"/>
      <c r="R72" s="584"/>
      <c r="S72" s="584"/>
      <c r="T72" s="584"/>
      <c r="U72" s="584"/>
      <c r="V72" s="584"/>
      <c r="W72" s="584"/>
      <c r="X72" s="584"/>
      <c r="Y72" s="584"/>
      <c r="Z72" s="584"/>
      <c r="AA72" s="584"/>
      <c r="AB72" s="584"/>
      <c r="AC72" s="584"/>
      <c r="AD72" s="584"/>
      <c r="AE72" s="584"/>
      <c r="AF72" s="584"/>
      <c r="AG72" s="584"/>
      <c r="AH72" s="584"/>
      <c r="AI72" s="584"/>
      <c r="AJ72" s="584"/>
      <c r="AK72" s="584"/>
      <c r="AL72" s="584"/>
      <c r="AM72" s="584"/>
      <c r="AN72" s="584"/>
      <c r="AO72" s="584"/>
      <c r="AP72" s="584"/>
      <c r="AQ72" s="584"/>
      <c r="AR72" s="584"/>
      <c r="AS72" s="584"/>
      <c r="AT72" s="584"/>
      <c r="AU72" s="584"/>
      <c r="AV72" s="584"/>
      <c r="AW72" s="584"/>
      <c r="AX72" s="584"/>
      <c r="AY72" s="584"/>
      <c r="AZ72" s="584"/>
      <c r="BA72" s="584"/>
      <c r="BB72" s="584"/>
      <c r="BC72" s="584"/>
      <c r="BD72" s="584"/>
      <c r="BE72" s="584">
        <f>SUM(BF72:BG72)</f>
        <v>0</v>
      </c>
      <c r="BF72" s="584">
        <f>SUM(BH72:BI72)+BJ72+BM72+BW72+CE72</f>
        <v>0</v>
      </c>
      <c r="BG72" s="584">
        <f>BK72+SUM(BO72:BV72)+SUM(BX72:CD72)+SUM(CF72:CH72)</f>
        <v>0</v>
      </c>
      <c r="BH72" s="584"/>
      <c r="BI72" s="584"/>
      <c r="BJ72" s="584"/>
      <c r="BK72" s="584"/>
      <c r="BL72" s="584"/>
      <c r="BM72" s="584"/>
      <c r="BN72" s="584"/>
      <c r="BO72" s="584"/>
      <c r="BP72" s="584"/>
      <c r="BQ72" s="584"/>
      <c r="BR72" s="584"/>
      <c r="BS72" s="584"/>
      <c r="BT72" s="584"/>
      <c r="BU72" s="584"/>
      <c r="BV72" s="584"/>
      <c r="BW72" s="584"/>
      <c r="BX72" s="584"/>
      <c r="BY72" s="584"/>
      <c r="BZ72" s="584"/>
      <c r="CA72" s="584"/>
      <c r="CB72" s="584"/>
      <c r="CC72" s="584"/>
      <c r="CD72" s="584"/>
      <c r="CE72" s="584"/>
      <c r="CF72" s="584"/>
      <c r="CG72" s="584"/>
      <c r="CH72" s="584"/>
      <c r="CI72" s="584">
        <f>SUM(CJ72:CK72)</f>
        <v>0</v>
      </c>
      <c r="CJ72" s="584">
        <f>SUM(CL72:CL72)</f>
        <v>0</v>
      </c>
      <c r="CK72" s="584">
        <f>SUM(CM72:CN72)</f>
        <v>0</v>
      </c>
      <c r="CL72" s="584"/>
      <c r="CM72" s="584"/>
      <c r="CN72" s="584"/>
      <c r="CO72" s="583" t="s">
        <v>183</v>
      </c>
      <c r="CP72" s="584">
        <f>CQ72+ER72+FV72+GB72</f>
        <v>0</v>
      </c>
      <c r="CQ72" s="584">
        <f>CR72+CW72</f>
        <v>0</v>
      </c>
      <c r="CR72" s="584">
        <f>SUM(CS72:CV72)</f>
        <v>0</v>
      </c>
      <c r="CS72" s="584"/>
      <c r="CT72" s="584"/>
      <c r="CU72" s="584"/>
      <c r="CV72" s="584"/>
      <c r="CW72" s="584">
        <f>SUM(CX72:EQ72)</f>
        <v>0</v>
      </c>
      <c r="CX72" s="584"/>
      <c r="CY72" s="584"/>
      <c r="CZ72" s="584"/>
      <c r="DA72" s="584"/>
      <c r="DB72" s="584"/>
      <c r="DC72" s="584"/>
      <c r="DD72" s="584"/>
      <c r="DE72" s="584"/>
      <c r="DF72" s="584"/>
      <c r="DG72" s="584"/>
      <c r="DH72" s="584"/>
      <c r="DI72" s="584"/>
      <c r="DJ72" s="584"/>
      <c r="DK72" s="584"/>
      <c r="DL72" s="584"/>
      <c r="DM72" s="584"/>
      <c r="DN72" s="584"/>
      <c r="DO72" s="584"/>
      <c r="DP72" s="584"/>
      <c r="DQ72" s="584"/>
      <c r="DR72" s="584"/>
      <c r="DS72" s="584"/>
      <c r="DT72" s="584"/>
      <c r="DU72" s="584"/>
      <c r="DV72" s="584"/>
      <c r="DW72" s="584"/>
      <c r="DX72" s="584"/>
      <c r="DY72" s="584"/>
      <c r="DZ72" s="584"/>
      <c r="EA72" s="584"/>
      <c r="EB72" s="584"/>
      <c r="EC72" s="584"/>
      <c r="ED72" s="584"/>
      <c r="EE72" s="584"/>
      <c r="EF72" s="584"/>
      <c r="EG72" s="584"/>
      <c r="EH72" s="584"/>
      <c r="EI72" s="584"/>
      <c r="EJ72" s="584"/>
      <c r="EK72" s="584"/>
      <c r="EL72" s="584"/>
      <c r="EM72" s="584"/>
      <c r="EN72" s="584"/>
      <c r="EO72" s="584"/>
      <c r="EP72" s="584"/>
      <c r="EQ72" s="584"/>
      <c r="ER72" s="584">
        <f>SUM(ES72:ET72)</f>
        <v>0</v>
      </c>
      <c r="ES72" s="584">
        <f>SUM(EU72:EV72)+EW72+EZ72+FJ72+FR72</f>
        <v>0</v>
      </c>
      <c r="ET72" s="584">
        <f>EX72+SUM(FB72:FI72)+SUM(FK72:FQ72)+SUM(FS72:FU72)</f>
        <v>0</v>
      </c>
      <c r="EU72" s="584"/>
      <c r="EV72" s="584"/>
      <c r="EW72" s="584"/>
      <c r="EX72" s="584"/>
      <c r="EY72" s="584"/>
      <c r="EZ72" s="584"/>
      <c r="FA72" s="584"/>
      <c r="FB72" s="584"/>
      <c r="FC72" s="584"/>
      <c r="FD72" s="584"/>
      <c r="FE72" s="584"/>
      <c r="FF72" s="584"/>
      <c r="FG72" s="584"/>
      <c r="FH72" s="584"/>
      <c r="FI72" s="584"/>
      <c r="FJ72" s="584"/>
      <c r="FK72" s="584"/>
      <c r="FL72" s="584"/>
      <c r="FM72" s="584"/>
      <c r="FN72" s="584"/>
      <c r="FO72" s="584"/>
      <c r="FP72" s="584"/>
      <c r="FQ72" s="584"/>
      <c r="FR72" s="584"/>
      <c r="FS72" s="584"/>
      <c r="FT72" s="584"/>
      <c r="FU72" s="584"/>
      <c r="FV72" s="584">
        <f>SUM(FW72:FX72)</f>
        <v>0</v>
      </c>
      <c r="FW72" s="584">
        <f>SUM(FY72:FY72)</f>
        <v>0</v>
      </c>
      <c r="FX72" s="584">
        <f>SUM(FZ72:GA72)</f>
        <v>0</v>
      </c>
      <c r="FY72" s="584"/>
      <c r="FZ72" s="584"/>
      <c r="GA72" s="584"/>
      <c r="GB72" s="584"/>
      <c r="GC72" s="586"/>
      <c r="GD72" s="586"/>
      <c r="GE72" s="586"/>
      <c r="GF72" s="586"/>
      <c r="GG72" s="586"/>
    </row>
    <row r="73" spans="1:189" s="92" customFormat="1" ht="17.25" hidden="1" customHeight="1">
      <c r="A73" s="582"/>
      <c r="B73" s="583" t="s">
        <v>184</v>
      </c>
      <c r="C73" s="584">
        <f>D73+BE73+CI73</f>
        <v>1065214000</v>
      </c>
      <c r="D73" s="584">
        <f>E73+J73</f>
        <v>1065214000</v>
      </c>
      <c r="E73" s="584">
        <f>SUM(F73:I73)</f>
        <v>0</v>
      </c>
      <c r="F73" s="584"/>
      <c r="G73" s="584"/>
      <c r="H73" s="584"/>
      <c r="I73" s="584"/>
      <c r="J73" s="584">
        <f>SUM(K73:BD73)</f>
        <v>1065214000</v>
      </c>
      <c r="K73" s="584"/>
      <c r="L73" s="584"/>
      <c r="M73" s="584"/>
      <c r="N73" s="584"/>
      <c r="O73" s="584"/>
      <c r="P73" s="584"/>
      <c r="Q73" s="584"/>
      <c r="R73" s="584"/>
      <c r="S73" s="584"/>
      <c r="T73" s="584"/>
      <c r="U73" s="584"/>
      <c r="V73" s="584"/>
      <c r="W73" s="584"/>
      <c r="X73" s="584"/>
      <c r="Y73" s="584"/>
      <c r="Z73" s="584"/>
      <c r="AA73" s="584"/>
      <c r="AB73" s="584"/>
      <c r="AC73" s="584"/>
      <c r="AD73" s="584"/>
      <c r="AE73" s="584"/>
      <c r="AF73" s="584"/>
      <c r="AG73" s="584"/>
      <c r="AH73" s="584"/>
      <c r="AI73" s="584"/>
      <c r="AJ73" s="584"/>
      <c r="AK73" s="584"/>
      <c r="AL73" s="584"/>
      <c r="AM73" s="584"/>
      <c r="AN73" s="584"/>
      <c r="AO73" s="584"/>
      <c r="AP73" s="584"/>
      <c r="AQ73" s="584"/>
      <c r="AR73" s="584"/>
      <c r="AS73" s="584"/>
      <c r="AT73" s="584">
        <v>1065214000</v>
      </c>
      <c r="AU73" s="584"/>
      <c r="AV73" s="584"/>
      <c r="AW73" s="584"/>
      <c r="AX73" s="584"/>
      <c r="AY73" s="584"/>
      <c r="AZ73" s="584"/>
      <c r="BA73" s="584"/>
      <c r="BB73" s="584"/>
      <c r="BC73" s="584"/>
      <c r="BD73" s="584"/>
      <c r="BE73" s="584">
        <f>SUM(BF73:BG73)</f>
        <v>0</v>
      </c>
      <c r="BF73" s="584">
        <f>SUM(BH73:BI73)+BJ73+BM73+BW73+CE73</f>
        <v>0</v>
      </c>
      <c r="BG73" s="584">
        <f>BK73+SUM(BO73:BV73)+SUM(BX73:CD73)+SUM(CF73:CH73)</f>
        <v>0</v>
      </c>
      <c r="BH73" s="584"/>
      <c r="BI73" s="584"/>
      <c r="BJ73" s="584"/>
      <c r="BK73" s="584"/>
      <c r="BL73" s="584"/>
      <c r="BM73" s="584"/>
      <c r="BN73" s="584"/>
      <c r="BO73" s="584"/>
      <c r="BP73" s="584"/>
      <c r="BQ73" s="584"/>
      <c r="BR73" s="584"/>
      <c r="BS73" s="584"/>
      <c r="BT73" s="584"/>
      <c r="BU73" s="584"/>
      <c r="BV73" s="584"/>
      <c r="BW73" s="584"/>
      <c r="BX73" s="584"/>
      <c r="BY73" s="584"/>
      <c r="BZ73" s="584"/>
      <c r="CA73" s="584"/>
      <c r="CB73" s="584"/>
      <c r="CC73" s="584"/>
      <c r="CD73" s="584"/>
      <c r="CE73" s="584"/>
      <c r="CF73" s="584"/>
      <c r="CG73" s="584"/>
      <c r="CH73" s="584"/>
      <c r="CI73" s="584">
        <f>SUM(CJ73:CK73)</f>
        <v>0</v>
      </c>
      <c r="CJ73" s="584">
        <f>SUM(CL73:CL73)</f>
        <v>0</v>
      </c>
      <c r="CK73" s="584">
        <f>SUM(CM73:CN73)</f>
        <v>0</v>
      </c>
      <c r="CL73" s="584"/>
      <c r="CM73" s="584"/>
      <c r="CN73" s="584"/>
      <c r="CO73" s="583" t="s">
        <v>184</v>
      </c>
      <c r="CP73" s="584">
        <f>CQ73+ER73+FV73+GB73</f>
        <v>1065214000</v>
      </c>
      <c r="CQ73" s="584">
        <f>CR73+CW73</f>
        <v>1065214000</v>
      </c>
      <c r="CR73" s="584">
        <f>SUM(CS73:CV73)</f>
        <v>0</v>
      </c>
      <c r="CS73" s="584"/>
      <c r="CT73" s="584"/>
      <c r="CU73" s="584"/>
      <c r="CV73" s="584"/>
      <c r="CW73" s="584">
        <f>SUM(CX73:EQ73)</f>
        <v>1065214000</v>
      </c>
      <c r="CX73" s="584"/>
      <c r="CY73" s="584"/>
      <c r="CZ73" s="584"/>
      <c r="DA73" s="584"/>
      <c r="DB73" s="584"/>
      <c r="DC73" s="584"/>
      <c r="DD73" s="584"/>
      <c r="DE73" s="584"/>
      <c r="DF73" s="584"/>
      <c r="DG73" s="584"/>
      <c r="DH73" s="584"/>
      <c r="DI73" s="584"/>
      <c r="DJ73" s="584"/>
      <c r="DK73" s="584"/>
      <c r="DL73" s="584"/>
      <c r="DM73" s="584"/>
      <c r="DN73" s="584"/>
      <c r="DO73" s="584"/>
      <c r="DP73" s="584"/>
      <c r="DQ73" s="584"/>
      <c r="DR73" s="584"/>
      <c r="DS73" s="584"/>
      <c r="DT73" s="584"/>
      <c r="DU73" s="584"/>
      <c r="DV73" s="584"/>
      <c r="DW73" s="584"/>
      <c r="DX73" s="584"/>
      <c r="DY73" s="584"/>
      <c r="DZ73" s="584"/>
      <c r="EA73" s="584"/>
      <c r="EB73" s="584"/>
      <c r="EC73" s="584"/>
      <c r="ED73" s="584"/>
      <c r="EE73" s="584"/>
      <c r="EF73" s="584"/>
      <c r="EG73" s="584">
        <v>1065214000</v>
      </c>
      <c r="EH73" s="584"/>
      <c r="EI73" s="584"/>
      <c r="EJ73" s="584"/>
      <c r="EK73" s="584"/>
      <c r="EL73" s="584"/>
      <c r="EM73" s="584"/>
      <c r="EN73" s="584"/>
      <c r="EO73" s="584"/>
      <c r="EP73" s="584"/>
      <c r="EQ73" s="584"/>
      <c r="ER73" s="584">
        <f>SUM(ES73:ET73)</f>
        <v>0</v>
      </c>
      <c r="ES73" s="584">
        <f>SUM(EU73:EV73)+EW73+EZ73+FJ73+FR73</f>
        <v>0</v>
      </c>
      <c r="ET73" s="584">
        <f>EX73+SUM(FB73:FI73)+SUM(FK73:FQ73)+SUM(FS73:FU73)</f>
        <v>0</v>
      </c>
      <c r="EU73" s="584"/>
      <c r="EV73" s="584"/>
      <c r="EW73" s="584"/>
      <c r="EX73" s="584"/>
      <c r="EY73" s="584"/>
      <c r="EZ73" s="584"/>
      <c r="FA73" s="584"/>
      <c r="FB73" s="584"/>
      <c r="FC73" s="584"/>
      <c r="FD73" s="584"/>
      <c r="FE73" s="584"/>
      <c r="FF73" s="584"/>
      <c r="FG73" s="584"/>
      <c r="FH73" s="584"/>
      <c r="FI73" s="584"/>
      <c r="FJ73" s="584"/>
      <c r="FK73" s="584"/>
      <c r="FL73" s="584"/>
      <c r="FM73" s="584"/>
      <c r="FN73" s="584"/>
      <c r="FO73" s="584"/>
      <c r="FP73" s="584"/>
      <c r="FQ73" s="584"/>
      <c r="FR73" s="584"/>
      <c r="FS73" s="584"/>
      <c r="FT73" s="584"/>
      <c r="FU73" s="584"/>
      <c r="FV73" s="584">
        <f>SUM(FW73:FX73)</f>
        <v>0</v>
      </c>
      <c r="FW73" s="584">
        <f>SUM(FY73:FY73)</f>
        <v>0</v>
      </c>
      <c r="FX73" s="584">
        <f>SUM(FZ73:GA73)</f>
        <v>0</v>
      </c>
      <c r="FY73" s="584"/>
      <c r="FZ73" s="584"/>
      <c r="GA73" s="584"/>
      <c r="GB73" s="584"/>
      <c r="GC73" s="586">
        <f>CP73/C73</f>
        <v>1</v>
      </c>
      <c r="GD73" s="586"/>
      <c r="GE73" s="586">
        <f>CW73/J73</f>
        <v>1</v>
      </c>
      <c r="GF73" s="586"/>
      <c r="GG73" s="586"/>
    </row>
    <row r="74" spans="1:189" s="92" customFormat="1" ht="17.25" customHeight="1">
      <c r="A74" s="582">
        <v>21</v>
      </c>
      <c r="B74" s="583" t="s">
        <v>392</v>
      </c>
      <c r="C74" s="584">
        <f t="shared" ref="C74:AU74" si="88">C75+C76</f>
        <v>99785109432</v>
      </c>
      <c r="D74" s="584">
        <f t="shared" si="88"/>
        <v>8404109432</v>
      </c>
      <c r="E74" s="584">
        <f t="shared" si="88"/>
        <v>0</v>
      </c>
      <c r="F74" s="584">
        <f t="shared" si="88"/>
        <v>0</v>
      </c>
      <c r="G74" s="584">
        <f t="shared" si="88"/>
        <v>0</v>
      </c>
      <c r="H74" s="584">
        <f t="shared" si="88"/>
        <v>0</v>
      </c>
      <c r="I74" s="584">
        <f t="shared" si="88"/>
        <v>0</v>
      </c>
      <c r="J74" s="584">
        <f t="shared" si="88"/>
        <v>8404109432</v>
      </c>
      <c r="K74" s="584">
        <f t="shared" si="88"/>
        <v>0</v>
      </c>
      <c r="L74" s="584">
        <f t="shared" si="88"/>
        <v>0</v>
      </c>
      <c r="M74" s="584">
        <f t="shared" si="88"/>
        <v>0</v>
      </c>
      <c r="N74" s="584">
        <f t="shared" si="88"/>
        <v>0</v>
      </c>
      <c r="O74" s="584">
        <f t="shared" si="88"/>
        <v>0</v>
      </c>
      <c r="P74" s="584">
        <f t="shared" si="88"/>
        <v>0</v>
      </c>
      <c r="Q74" s="584">
        <f t="shared" si="88"/>
        <v>0</v>
      </c>
      <c r="R74" s="584">
        <f t="shared" si="88"/>
        <v>0</v>
      </c>
      <c r="S74" s="584">
        <f t="shared" si="88"/>
        <v>0</v>
      </c>
      <c r="T74" s="584">
        <f t="shared" si="88"/>
        <v>0</v>
      </c>
      <c r="U74" s="584">
        <f t="shared" si="88"/>
        <v>0</v>
      </c>
      <c r="V74" s="584">
        <f t="shared" si="88"/>
        <v>0</v>
      </c>
      <c r="W74" s="584">
        <f t="shared" si="88"/>
        <v>0</v>
      </c>
      <c r="X74" s="584">
        <f t="shared" si="88"/>
        <v>0</v>
      </c>
      <c r="Y74" s="584">
        <f t="shared" si="88"/>
        <v>0</v>
      </c>
      <c r="Z74" s="584">
        <f t="shared" si="88"/>
        <v>0</v>
      </c>
      <c r="AA74" s="584">
        <f t="shared" si="88"/>
        <v>0</v>
      </c>
      <c r="AB74" s="584">
        <f t="shared" si="88"/>
        <v>0</v>
      </c>
      <c r="AC74" s="584">
        <f t="shared" si="88"/>
        <v>0</v>
      </c>
      <c r="AD74" s="584">
        <f t="shared" si="88"/>
        <v>0</v>
      </c>
      <c r="AE74" s="584">
        <f t="shared" si="88"/>
        <v>0</v>
      </c>
      <c r="AF74" s="584">
        <f t="shared" si="88"/>
        <v>0</v>
      </c>
      <c r="AG74" s="584">
        <f t="shared" si="88"/>
        <v>0</v>
      </c>
      <c r="AH74" s="584">
        <f t="shared" si="88"/>
        <v>0</v>
      </c>
      <c r="AI74" s="584">
        <f t="shared" si="88"/>
        <v>0</v>
      </c>
      <c r="AJ74" s="584">
        <f t="shared" si="88"/>
        <v>3758526000</v>
      </c>
      <c r="AK74" s="584">
        <f t="shared" si="88"/>
        <v>0</v>
      </c>
      <c r="AL74" s="584">
        <f t="shared" si="88"/>
        <v>1388629280</v>
      </c>
      <c r="AM74" s="584">
        <f t="shared" si="88"/>
        <v>0</v>
      </c>
      <c r="AN74" s="584">
        <f t="shared" si="88"/>
        <v>0</v>
      </c>
      <c r="AO74" s="584">
        <f t="shared" si="88"/>
        <v>0</v>
      </c>
      <c r="AP74" s="584">
        <f t="shared" si="88"/>
        <v>0</v>
      </c>
      <c r="AQ74" s="584">
        <f t="shared" si="88"/>
        <v>0</v>
      </c>
      <c r="AR74" s="584">
        <f t="shared" si="88"/>
        <v>0</v>
      </c>
      <c r="AS74" s="584">
        <f t="shared" si="88"/>
        <v>0</v>
      </c>
      <c r="AT74" s="584">
        <f t="shared" si="88"/>
        <v>2237954152</v>
      </c>
      <c r="AU74" s="584">
        <f t="shared" si="88"/>
        <v>0</v>
      </c>
      <c r="AV74" s="584">
        <f>AV75+AV76</f>
        <v>1019000000</v>
      </c>
      <c r="AW74" s="584">
        <f>AW75+AW76</f>
        <v>0</v>
      </c>
      <c r="AX74" s="584">
        <f t="shared" ref="AX74:CN74" si="89">AX75+AX76</f>
        <v>0</v>
      </c>
      <c r="AY74" s="584">
        <f t="shared" si="89"/>
        <v>0</v>
      </c>
      <c r="AZ74" s="584">
        <f t="shared" si="89"/>
        <v>0</v>
      </c>
      <c r="BA74" s="584">
        <f t="shared" si="89"/>
        <v>0</v>
      </c>
      <c r="BB74" s="584">
        <f t="shared" si="89"/>
        <v>0</v>
      </c>
      <c r="BC74" s="584">
        <f t="shared" si="89"/>
        <v>0</v>
      </c>
      <c r="BD74" s="584">
        <f t="shared" si="89"/>
        <v>0</v>
      </c>
      <c r="BE74" s="584">
        <f t="shared" si="89"/>
        <v>91381000000</v>
      </c>
      <c r="BF74" s="584">
        <f t="shared" si="89"/>
        <v>0</v>
      </c>
      <c r="BG74" s="584">
        <f t="shared" si="89"/>
        <v>91381000000</v>
      </c>
      <c r="BH74" s="584">
        <f t="shared" si="89"/>
        <v>0</v>
      </c>
      <c r="BI74" s="584">
        <f t="shared" si="89"/>
        <v>0</v>
      </c>
      <c r="BJ74" s="584">
        <f t="shared" si="89"/>
        <v>0</v>
      </c>
      <c r="BK74" s="584">
        <f t="shared" si="89"/>
        <v>0</v>
      </c>
      <c r="BL74" s="584">
        <f>BL75+BL76</f>
        <v>0</v>
      </c>
      <c r="BM74" s="584">
        <f>BM75+BM76</f>
        <v>0</v>
      </c>
      <c r="BN74" s="584">
        <f t="shared" si="89"/>
        <v>0</v>
      </c>
      <c r="BO74" s="584">
        <f t="shared" si="89"/>
        <v>0</v>
      </c>
      <c r="BP74" s="584">
        <f t="shared" si="89"/>
        <v>69162000000</v>
      </c>
      <c r="BQ74" s="584">
        <f t="shared" si="89"/>
        <v>0</v>
      </c>
      <c r="BR74" s="584">
        <f t="shared" si="89"/>
        <v>0</v>
      </c>
      <c r="BS74" s="584">
        <f t="shared" si="89"/>
        <v>0</v>
      </c>
      <c r="BT74" s="584">
        <f t="shared" si="89"/>
        <v>0</v>
      </c>
      <c r="BU74" s="584">
        <f t="shared" si="89"/>
        <v>0</v>
      </c>
      <c r="BV74" s="584">
        <f t="shared" si="89"/>
        <v>0</v>
      </c>
      <c r="BW74" s="584">
        <f t="shared" si="89"/>
        <v>0</v>
      </c>
      <c r="BX74" s="584">
        <f t="shared" si="89"/>
        <v>0</v>
      </c>
      <c r="BY74" s="584">
        <f t="shared" si="89"/>
        <v>15539000000</v>
      </c>
      <c r="BZ74" s="584">
        <f t="shared" si="89"/>
        <v>6680000000</v>
      </c>
      <c r="CA74" s="584">
        <f t="shared" si="89"/>
        <v>0</v>
      </c>
      <c r="CB74" s="584">
        <f t="shared" si="89"/>
        <v>0</v>
      </c>
      <c r="CC74" s="584">
        <f t="shared" si="89"/>
        <v>0</v>
      </c>
      <c r="CD74" s="584">
        <f t="shared" si="89"/>
        <v>0</v>
      </c>
      <c r="CE74" s="584">
        <f t="shared" si="89"/>
        <v>0</v>
      </c>
      <c r="CF74" s="584">
        <f t="shared" si="89"/>
        <v>0</v>
      </c>
      <c r="CG74" s="584">
        <f t="shared" si="89"/>
        <v>0</v>
      </c>
      <c r="CH74" s="584">
        <f t="shared" si="89"/>
        <v>0</v>
      </c>
      <c r="CI74" s="584">
        <f t="shared" si="89"/>
        <v>0</v>
      </c>
      <c r="CJ74" s="584">
        <f t="shared" si="89"/>
        <v>0</v>
      </c>
      <c r="CK74" s="584">
        <f t="shared" si="89"/>
        <v>0</v>
      </c>
      <c r="CL74" s="584">
        <f t="shared" si="89"/>
        <v>0</v>
      </c>
      <c r="CM74" s="584">
        <f t="shared" si="89"/>
        <v>0</v>
      </c>
      <c r="CN74" s="584">
        <f t="shared" si="89"/>
        <v>0</v>
      </c>
      <c r="CO74" s="583" t="s">
        <v>392</v>
      </c>
      <c r="CP74" s="584">
        <f t="shared" ref="CP74:FA74" si="90">CP75+CP76</f>
        <v>99785109432</v>
      </c>
      <c r="CQ74" s="584">
        <f t="shared" si="90"/>
        <v>7385109432</v>
      </c>
      <c r="CR74" s="584">
        <f t="shared" si="90"/>
        <v>0</v>
      </c>
      <c r="CS74" s="584">
        <f t="shared" si="90"/>
        <v>0</v>
      </c>
      <c r="CT74" s="584">
        <f t="shared" si="90"/>
        <v>0</v>
      </c>
      <c r="CU74" s="584">
        <f t="shared" si="90"/>
        <v>0</v>
      </c>
      <c r="CV74" s="584">
        <f t="shared" si="90"/>
        <v>0</v>
      </c>
      <c r="CW74" s="584">
        <f t="shared" si="90"/>
        <v>7385109432</v>
      </c>
      <c r="CX74" s="584">
        <f t="shared" si="90"/>
        <v>0</v>
      </c>
      <c r="CY74" s="584">
        <f t="shared" si="90"/>
        <v>0</v>
      </c>
      <c r="CZ74" s="584">
        <f t="shared" si="90"/>
        <v>0</v>
      </c>
      <c r="DA74" s="584">
        <f t="shared" si="90"/>
        <v>0</v>
      </c>
      <c r="DB74" s="584">
        <f t="shared" si="90"/>
        <v>0</v>
      </c>
      <c r="DC74" s="584">
        <f t="shared" si="90"/>
        <v>0</v>
      </c>
      <c r="DD74" s="584">
        <f t="shared" si="90"/>
        <v>0</v>
      </c>
      <c r="DE74" s="584">
        <f t="shared" si="90"/>
        <v>0</v>
      </c>
      <c r="DF74" s="584">
        <f t="shared" si="90"/>
        <v>0</v>
      </c>
      <c r="DG74" s="584">
        <f t="shared" si="90"/>
        <v>0</v>
      </c>
      <c r="DH74" s="584">
        <f t="shared" si="90"/>
        <v>0</v>
      </c>
      <c r="DI74" s="584">
        <f t="shared" si="90"/>
        <v>0</v>
      </c>
      <c r="DJ74" s="584">
        <f t="shared" si="90"/>
        <v>0</v>
      </c>
      <c r="DK74" s="584">
        <f t="shared" si="90"/>
        <v>0</v>
      </c>
      <c r="DL74" s="584">
        <f t="shared" si="90"/>
        <v>0</v>
      </c>
      <c r="DM74" s="584">
        <f>DM75+DM76</f>
        <v>0</v>
      </c>
      <c r="DN74" s="584">
        <f t="shared" si="90"/>
        <v>0</v>
      </c>
      <c r="DO74" s="584">
        <f t="shared" si="90"/>
        <v>0</v>
      </c>
      <c r="DP74" s="584">
        <f t="shared" si="90"/>
        <v>0</v>
      </c>
      <c r="DQ74" s="584">
        <f t="shared" si="90"/>
        <v>0</v>
      </c>
      <c r="DR74" s="584">
        <f t="shared" si="90"/>
        <v>0</v>
      </c>
      <c r="DS74" s="584">
        <f t="shared" si="90"/>
        <v>0</v>
      </c>
      <c r="DT74" s="584">
        <f t="shared" si="90"/>
        <v>0</v>
      </c>
      <c r="DU74" s="584">
        <f t="shared" si="90"/>
        <v>0</v>
      </c>
      <c r="DV74" s="584">
        <f t="shared" si="90"/>
        <v>0</v>
      </c>
      <c r="DW74" s="584">
        <f t="shared" si="90"/>
        <v>3758526000</v>
      </c>
      <c r="DX74" s="584">
        <f t="shared" si="90"/>
        <v>0</v>
      </c>
      <c r="DY74" s="584">
        <f t="shared" si="90"/>
        <v>1388629280</v>
      </c>
      <c r="DZ74" s="584">
        <f t="shared" si="90"/>
        <v>0</v>
      </c>
      <c r="EA74" s="584">
        <f t="shared" si="90"/>
        <v>0</v>
      </c>
      <c r="EB74" s="584">
        <f t="shared" si="90"/>
        <v>0</v>
      </c>
      <c r="EC74" s="584">
        <f t="shared" si="90"/>
        <v>0</v>
      </c>
      <c r="ED74" s="584">
        <f t="shared" si="90"/>
        <v>0</v>
      </c>
      <c r="EE74" s="584">
        <f t="shared" si="90"/>
        <v>0</v>
      </c>
      <c r="EF74" s="584">
        <f t="shared" si="90"/>
        <v>0</v>
      </c>
      <c r="EG74" s="584">
        <f t="shared" si="90"/>
        <v>2237954152</v>
      </c>
      <c r="EH74" s="584">
        <f t="shared" si="90"/>
        <v>0</v>
      </c>
      <c r="EI74" s="584">
        <f>EI75+EI76</f>
        <v>0</v>
      </c>
      <c r="EJ74" s="584">
        <f>EJ75+EJ76</f>
        <v>0</v>
      </c>
      <c r="EK74" s="584">
        <f t="shared" si="90"/>
        <v>0</v>
      </c>
      <c r="EL74" s="584">
        <f t="shared" si="90"/>
        <v>0</v>
      </c>
      <c r="EM74" s="584">
        <f t="shared" si="90"/>
        <v>0</v>
      </c>
      <c r="EN74" s="584">
        <f t="shared" si="90"/>
        <v>0</v>
      </c>
      <c r="EO74" s="584">
        <f t="shared" si="90"/>
        <v>0</v>
      </c>
      <c r="EP74" s="584">
        <f t="shared" si="90"/>
        <v>0</v>
      </c>
      <c r="EQ74" s="584">
        <f t="shared" si="90"/>
        <v>0</v>
      </c>
      <c r="ER74" s="584">
        <f t="shared" si="90"/>
        <v>34884499547</v>
      </c>
      <c r="ES74" s="584">
        <f t="shared" si="90"/>
        <v>0</v>
      </c>
      <c r="ET74" s="584">
        <f t="shared" si="90"/>
        <v>34884499547</v>
      </c>
      <c r="EU74" s="584">
        <f t="shared" si="90"/>
        <v>0</v>
      </c>
      <c r="EV74" s="584">
        <f t="shared" si="90"/>
        <v>0</v>
      </c>
      <c r="EW74" s="584">
        <f t="shared" si="90"/>
        <v>0</v>
      </c>
      <c r="EX74" s="584">
        <f t="shared" si="90"/>
        <v>0</v>
      </c>
      <c r="EY74" s="584">
        <f>EY75+EY76</f>
        <v>0</v>
      </c>
      <c r="EZ74" s="584">
        <f>EZ75+EZ76</f>
        <v>0</v>
      </c>
      <c r="FA74" s="584">
        <f t="shared" si="90"/>
        <v>0</v>
      </c>
      <c r="FB74" s="584">
        <f t="shared" ref="FB74:GB74" si="91">FB75+FB76</f>
        <v>0</v>
      </c>
      <c r="FC74" s="584">
        <f t="shared" si="91"/>
        <v>34884499547</v>
      </c>
      <c r="FD74" s="584">
        <f t="shared" si="91"/>
        <v>0</v>
      </c>
      <c r="FE74" s="584">
        <f t="shared" si="91"/>
        <v>0</v>
      </c>
      <c r="FF74" s="584">
        <f t="shared" si="91"/>
        <v>0</v>
      </c>
      <c r="FG74" s="584">
        <f t="shared" si="91"/>
        <v>0</v>
      </c>
      <c r="FH74" s="584">
        <f t="shared" si="91"/>
        <v>0</v>
      </c>
      <c r="FI74" s="584">
        <f t="shared" si="91"/>
        <v>0</v>
      </c>
      <c r="FJ74" s="584">
        <f t="shared" si="91"/>
        <v>0</v>
      </c>
      <c r="FK74" s="584">
        <f t="shared" si="91"/>
        <v>0</v>
      </c>
      <c r="FL74" s="584">
        <f t="shared" si="91"/>
        <v>0</v>
      </c>
      <c r="FM74" s="584">
        <f t="shared" si="91"/>
        <v>0</v>
      </c>
      <c r="FN74" s="584">
        <f t="shared" si="91"/>
        <v>0</v>
      </c>
      <c r="FO74" s="584">
        <f t="shared" si="91"/>
        <v>0</v>
      </c>
      <c r="FP74" s="584">
        <f t="shared" si="91"/>
        <v>0</v>
      </c>
      <c r="FQ74" s="584">
        <f t="shared" si="91"/>
        <v>0</v>
      </c>
      <c r="FR74" s="584">
        <f t="shared" si="91"/>
        <v>0</v>
      </c>
      <c r="FS74" s="584">
        <f t="shared" si="91"/>
        <v>0</v>
      </c>
      <c r="FT74" s="584">
        <f t="shared" si="91"/>
        <v>0</v>
      </c>
      <c r="FU74" s="584">
        <f t="shared" si="91"/>
        <v>0</v>
      </c>
      <c r="FV74" s="584">
        <f t="shared" si="91"/>
        <v>0</v>
      </c>
      <c r="FW74" s="584">
        <f t="shared" si="91"/>
        <v>0</v>
      </c>
      <c r="FX74" s="584">
        <f t="shared" si="91"/>
        <v>0</v>
      </c>
      <c r="FY74" s="584">
        <f t="shared" si="91"/>
        <v>0</v>
      </c>
      <c r="FZ74" s="584">
        <f t="shared" si="91"/>
        <v>0</v>
      </c>
      <c r="GA74" s="584">
        <f t="shared" si="91"/>
        <v>0</v>
      </c>
      <c r="GB74" s="584">
        <f t="shared" si="91"/>
        <v>57515500453</v>
      </c>
      <c r="GC74" s="586">
        <f>CP74/C74</f>
        <v>1</v>
      </c>
      <c r="GD74" s="586"/>
      <c r="GE74" s="586">
        <f>CW74/J74</f>
        <v>0.87874979398530995</v>
      </c>
      <c r="GF74" s="586">
        <f>ER74/BE74</f>
        <v>0.3817478419693372</v>
      </c>
      <c r="GG74" s="586"/>
    </row>
    <row r="75" spans="1:189" s="92" customFormat="1" ht="17.25" hidden="1" customHeight="1">
      <c r="A75" s="582"/>
      <c r="B75" s="583" t="s">
        <v>183</v>
      </c>
      <c r="C75" s="584">
        <f>D75+BE75+CI75</f>
        <v>0</v>
      </c>
      <c r="D75" s="584">
        <f>E75+J75</f>
        <v>0</v>
      </c>
      <c r="E75" s="584">
        <f>SUM(F75:I75)</f>
        <v>0</v>
      </c>
      <c r="F75" s="584"/>
      <c r="G75" s="584"/>
      <c r="H75" s="584"/>
      <c r="I75" s="584"/>
      <c r="J75" s="584">
        <f>SUM(K75:BD75)</f>
        <v>0</v>
      </c>
      <c r="K75" s="584"/>
      <c r="L75" s="584"/>
      <c r="M75" s="584"/>
      <c r="N75" s="584"/>
      <c r="O75" s="584"/>
      <c r="P75" s="584"/>
      <c r="Q75" s="584"/>
      <c r="R75" s="584"/>
      <c r="S75" s="584"/>
      <c r="T75" s="584"/>
      <c r="U75" s="584"/>
      <c r="V75" s="584"/>
      <c r="W75" s="584"/>
      <c r="X75" s="584"/>
      <c r="Y75" s="584"/>
      <c r="Z75" s="584"/>
      <c r="AA75" s="584"/>
      <c r="AB75" s="584"/>
      <c r="AC75" s="584"/>
      <c r="AD75" s="584"/>
      <c r="AE75" s="584"/>
      <c r="AF75" s="584"/>
      <c r="AG75" s="584"/>
      <c r="AH75" s="584"/>
      <c r="AI75" s="584"/>
      <c r="AJ75" s="584"/>
      <c r="AK75" s="584"/>
      <c r="AL75" s="584"/>
      <c r="AM75" s="584"/>
      <c r="AN75" s="584"/>
      <c r="AO75" s="584"/>
      <c r="AP75" s="584"/>
      <c r="AQ75" s="584"/>
      <c r="AR75" s="584"/>
      <c r="AS75" s="584"/>
      <c r="AT75" s="584"/>
      <c r="AU75" s="584"/>
      <c r="AV75" s="584"/>
      <c r="AW75" s="584"/>
      <c r="AX75" s="584"/>
      <c r="AY75" s="584"/>
      <c r="AZ75" s="584"/>
      <c r="BA75" s="584"/>
      <c r="BB75" s="584"/>
      <c r="BC75" s="584"/>
      <c r="BD75" s="584"/>
      <c r="BE75" s="584">
        <f>SUM(BF75:BG75)</f>
        <v>0</v>
      </c>
      <c r="BF75" s="584">
        <f>SUM(BH75:BI75)+BJ75+SUM(BL75:BN75)+BW75+CE75</f>
        <v>0</v>
      </c>
      <c r="BG75" s="584">
        <f>BK75+SUM(BO75:BV75)+SUM(BX75:CD75)+SUM(CF75:CH75)</f>
        <v>0</v>
      </c>
      <c r="BH75" s="584"/>
      <c r="BI75" s="584"/>
      <c r="BJ75" s="584"/>
      <c r="BK75" s="584"/>
      <c r="BL75" s="584"/>
      <c r="BM75" s="584"/>
      <c r="BN75" s="584"/>
      <c r="BO75" s="584"/>
      <c r="BP75" s="584"/>
      <c r="BQ75" s="584"/>
      <c r="BR75" s="584"/>
      <c r="BS75" s="584"/>
      <c r="BT75" s="584"/>
      <c r="BU75" s="584"/>
      <c r="BV75" s="584"/>
      <c r="BW75" s="584"/>
      <c r="BX75" s="584"/>
      <c r="BY75" s="584"/>
      <c r="BZ75" s="584"/>
      <c r="CA75" s="584"/>
      <c r="CB75" s="584"/>
      <c r="CC75" s="584"/>
      <c r="CD75" s="584"/>
      <c r="CE75" s="584"/>
      <c r="CF75" s="584"/>
      <c r="CG75" s="584"/>
      <c r="CH75" s="584"/>
      <c r="CI75" s="584">
        <f>SUM(CJ75:CK75)</f>
        <v>0</v>
      </c>
      <c r="CJ75" s="584">
        <f>SUM(CL75:CL75)</f>
        <v>0</v>
      </c>
      <c r="CK75" s="584">
        <f>SUM(CM75:CN75)</f>
        <v>0</v>
      </c>
      <c r="CL75" s="584"/>
      <c r="CM75" s="584"/>
      <c r="CN75" s="584"/>
      <c r="CO75" s="583" t="s">
        <v>183</v>
      </c>
      <c r="CP75" s="584">
        <f>CQ75+ER75+FV75+GB75</f>
        <v>0</v>
      </c>
      <c r="CQ75" s="584">
        <f>CR75+CW75</f>
        <v>0</v>
      </c>
      <c r="CR75" s="584">
        <f>SUM(CS75:CV75)</f>
        <v>0</v>
      </c>
      <c r="CS75" s="584"/>
      <c r="CT75" s="584"/>
      <c r="CU75" s="584"/>
      <c r="CV75" s="584"/>
      <c r="CW75" s="584">
        <f>SUM(CX75:EQ75)</f>
        <v>0</v>
      </c>
      <c r="CX75" s="584"/>
      <c r="CY75" s="584"/>
      <c r="CZ75" s="584"/>
      <c r="DA75" s="584"/>
      <c r="DB75" s="584"/>
      <c r="DC75" s="584"/>
      <c r="DD75" s="584"/>
      <c r="DE75" s="584"/>
      <c r="DF75" s="584"/>
      <c r="DG75" s="584"/>
      <c r="DH75" s="584"/>
      <c r="DI75" s="584"/>
      <c r="DJ75" s="584"/>
      <c r="DK75" s="584"/>
      <c r="DL75" s="584"/>
      <c r="DM75" s="584"/>
      <c r="DN75" s="584"/>
      <c r="DO75" s="584"/>
      <c r="DP75" s="584"/>
      <c r="DQ75" s="584"/>
      <c r="DR75" s="584"/>
      <c r="DS75" s="584"/>
      <c r="DT75" s="584"/>
      <c r="DU75" s="584"/>
      <c r="DV75" s="584"/>
      <c r="DW75" s="584"/>
      <c r="DX75" s="584"/>
      <c r="DY75" s="584"/>
      <c r="DZ75" s="584"/>
      <c r="EA75" s="584"/>
      <c r="EB75" s="584"/>
      <c r="EC75" s="584"/>
      <c r="ED75" s="584"/>
      <c r="EE75" s="584"/>
      <c r="EF75" s="584"/>
      <c r="EG75" s="584"/>
      <c r="EH75" s="584"/>
      <c r="EI75" s="584"/>
      <c r="EJ75" s="584"/>
      <c r="EK75" s="584"/>
      <c r="EL75" s="584"/>
      <c r="EM75" s="584"/>
      <c r="EN75" s="584"/>
      <c r="EO75" s="584"/>
      <c r="EP75" s="584"/>
      <c r="EQ75" s="584"/>
      <c r="ER75" s="584">
        <f>SUM(ES75:ET75)</f>
        <v>0</v>
      </c>
      <c r="ES75" s="584">
        <f>SUM(EU75:EV75)+EW75+SUM(EY75:FA75)+FJ75+FR75</f>
        <v>0</v>
      </c>
      <c r="ET75" s="584">
        <f>EX75+SUM(FB75:FI75)+SUM(FK75:FQ75)+SUM(FS75:FU75)</f>
        <v>0</v>
      </c>
      <c r="EU75" s="584"/>
      <c r="EV75" s="584"/>
      <c r="EW75" s="584"/>
      <c r="EX75" s="584"/>
      <c r="EY75" s="584"/>
      <c r="EZ75" s="584"/>
      <c r="FA75" s="584"/>
      <c r="FB75" s="584"/>
      <c r="FC75" s="584"/>
      <c r="FD75" s="584"/>
      <c r="FE75" s="584"/>
      <c r="FF75" s="584"/>
      <c r="FG75" s="584"/>
      <c r="FH75" s="584"/>
      <c r="FI75" s="584"/>
      <c r="FJ75" s="584"/>
      <c r="FK75" s="584"/>
      <c r="FL75" s="584"/>
      <c r="FM75" s="584"/>
      <c r="FN75" s="584"/>
      <c r="FO75" s="584"/>
      <c r="FP75" s="584"/>
      <c r="FQ75" s="584"/>
      <c r="FR75" s="584"/>
      <c r="FS75" s="584"/>
      <c r="FT75" s="584"/>
      <c r="FU75" s="584"/>
      <c r="FV75" s="584">
        <f>SUM(FW75:FX75)</f>
        <v>0</v>
      </c>
      <c r="FW75" s="584">
        <f>SUM(FY75:FY75)</f>
        <v>0</v>
      </c>
      <c r="FX75" s="584">
        <f>SUM(FZ75:GA75)</f>
        <v>0</v>
      </c>
      <c r="FY75" s="584"/>
      <c r="FZ75" s="584"/>
      <c r="GA75" s="584"/>
      <c r="GB75" s="584"/>
      <c r="GC75" s="586"/>
      <c r="GD75" s="586"/>
      <c r="GE75" s="586"/>
      <c r="GF75" s="586"/>
      <c r="GG75" s="586"/>
    </row>
    <row r="76" spans="1:189" s="92" customFormat="1" ht="17.25" hidden="1" customHeight="1">
      <c r="A76" s="582"/>
      <c r="B76" s="583" t="s">
        <v>184</v>
      </c>
      <c r="C76" s="584">
        <f>D76+BE76+CI76</f>
        <v>99785109432</v>
      </c>
      <c r="D76" s="584">
        <f>E76+J76</f>
        <v>8404109432</v>
      </c>
      <c r="E76" s="584">
        <f>SUM(F76:I76)</f>
        <v>0</v>
      </c>
      <c r="F76" s="584"/>
      <c r="G76" s="584"/>
      <c r="H76" s="584"/>
      <c r="I76" s="584"/>
      <c r="J76" s="584">
        <f>SUM(K76:BD76)</f>
        <v>8404109432</v>
      </c>
      <c r="K76" s="584"/>
      <c r="L76" s="584"/>
      <c r="M76" s="584"/>
      <c r="N76" s="584"/>
      <c r="O76" s="584"/>
      <c r="P76" s="584"/>
      <c r="Q76" s="584"/>
      <c r="R76" s="584"/>
      <c r="S76" s="584"/>
      <c r="T76" s="584"/>
      <c r="U76" s="584"/>
      <c r="V76" s="584"/>
      <c r="W76" s="584"/>
      <c r="X76" s="584"/>
      <c r="Y76" s="584"/>
      <c r="Z76" s="584"/>
      <c r="AA76" s="584"/>
      <c r="AB76" s="584"/>
      <c r="AC76" s="584"/>
      <c r="AD76" s="584"/>
      <c r="AE76" s="584"/>
      <c r="AF76" s="584"/>
      <c r="AG76" s="584"/>
      <c r="AH76" s="584"/>
      <c r="AI76" s="584"/>
      <c r="AJ76" s="584">
        <v>3758526000</v>
      </c>
      <c r="AK76" s="584"/>
      <c r="AL76" s="584">
        <v>1388629280</v>
      </c>
      <c r="AM76" s="584"/>
      <c r="AN76" s="584"/>
      <c r="AO76" s="584"/>
      <c r="AP76" s="584"/>
      <c r="AQ76" s="584"/>
      <c r="AR76" s="584"/>
      <c r="AS76" s="584"/>
      <c r="AT76" s="584">
        <v>2237954152</v>
      </c>
      <c r="AU76" s="584"/>
      <c r="AV76" s="584">
        <v>1019000000</v>
      </c>
      <c r="AW76" s="584"/>
      <c r="AX76" s="584"/>
      <c r="AY76" s="584"/>
      <c r="AZ76" s="584"/>
      <c r="BA76" s="584"/>
      <c r="BB76" s="584"/>
      <c r="BC76" s="584"/>
      <c r="BD76" s="584"/>
      <c r="BE76" s="584">
        <f>SUM(BF76:BG76)</f>
        <v>91381000000</v>
      </c>
      <c r="BF76" s="584">
        <f>SUM(BH76:BI76)+BJ76+SUM(BL76:BN76)+BW76+CE76</f>
        <v>0</v>
      </c>
      <c r="BG76" s="584">
        <f>BK76+SUM(BO76:BV76)+SUM(BX76:CD76)+SUM(CF76:CH76)</f>
        <v>91381000000</v>
      </c>
      <c r="BH76" s="584"/>
      <c r="BI76" s="584"/>
      <c r="BJ76" s="584"/>
      <c r="BK76" s="584"/>
      <c r="BL76" s="584"/>
      <c r="BM76" s="584"/>
      <c r="BN76" s="584"/>
      <c r="BO76" s="584"/>
      <c r="BP76" s="584">
        <v>69162000000</v>
      </c>
      <c r="BQ76" s="584"/>
      <c r="BR76" s="584"/>
      <c r="BS76" s="584"/>
      <c r="BT76" s="584"/>
      <c r="BU76" s="584"/>
      <c r="BV76" s="584"/>
      <c r="BW76" s="584"/>
      <c r="BX76" s="584"/>
      <c r="BY76" s="584">
        <v>15539000000</v>
      </c>
      <c r="BZ76" s="584">
        <v>6680000000</v>
      </c>
      <c r="CA76" s="584"/>
      <c r="CB76" s="584"/>
      <c r="CC76" s="584"/>
      <c r="CD76" s="584"/>
      <c r="CE76" s="584"/>
      <c r="CF76" s="584"/>
      <c r="CG76" s="584"/>
      <c r="CH76" s="584"/>
      <c r="CI76" s="584">
        <f>SUM(CJ76:CK76)</f>
        <v>0</v>
      </c>
      <c r="CJ76" s="584">
        <f>SUM(CL76:CL76)</f>
        <v>0</v>
      </c>
      <c r="CK76" s="584">
        <f>SUM(CM76:CN76)</f>
        <v>0</v>
      </c>
      <c r="CL76" s="584"/>
      <c r="CM76" s="584"/>
      <c r="CN76" s="584"/>
      <c r="CO76" s="583" t="s">
        <v>184</v>
      </c>
      <c r="CP76" s="584">
        <f>CQ76+ER76+FV76+GB76</f>
        <v>99785109432</v>
      </c>
      <c r="CQ76" s="584">
        <f>CR76+CW76</f>
        <v>7385109432</v>
      </c>
      <c r="CR76" s="584">
        <f>SUM(CS76:CV76)</f>
        <v>0</v>
      </c>
      <c r="CS76" s="584"/>
      <c r="CT76" s="584"/>
      <c r="CU76" s="584"/>
      <c r="CV76" s="584"/>
      <c r="CW76" s="584">
        <f>SUM(CX76:EQ76)</f>
        <v>7385109432</v>
      </c>
      <c r="CX76" s="584"/>
      <c r="CY76" s="584"/>
      <c r="CZ76" s="584"/>
      <c r="DA76" s="584"/>
      <c r="DB76" s="584"/>
      <c r="DC76" s="584"/>
      <c r="DD76" s="584"/>
      <c r="DE76" s="584"/>
      <c r="DF76" s="584"/>
      <c r="DG76" s="584"/>
      <c r="DH76" s="584"/>
      <c r="DI76" s="584"/>
      <c r="DJ76" s="584"/>
      <c r="DK76" s="584"/>
      <c r="DL76" s="584"/>
      <c r="DM76" s="584"/>
      <c r="DN76" s="584"/>
      <c r="DO76" s="584"/>
      <c r="DP76" s="584"/>
      <c r="DQ76" s="584"/>
      <c r="DR76" s="584"/>
      <c r="DS76" s="584"/>
      <c r="DT76" s="584"/>
      <c r="DU76" s="584"/>
      <c r="DV76" s="584"/>
      <c r="DW76" s="584">
        <v>3758526000</v>
      </c>
      <c r="DX76" s="584"/>
      <c r="DY76" s="584">
        <v>1388629280</v>
      </c>
      <c r="DZ76" s="584"/>
      <c r="EA76" s="584"/>
      <c r="EB76" s="584"/>
      <c r="EC76" s="584"/>
      <c r="ED76" s="584"/>
      <c r="EE76" s="584"/>
      <c r="EF76" s="584"/>
      <c r="EG76" s="584">
        <v>2237954152</v>
      </c>
      <c r="EH76" s="584"/>
      <c r="EI76" s="584"/>
      <c r="EJ76" s="584"/>
      <c r="EK76" s="584"/>
      <c r="EL76" s="584"/>
      <c r="EM76" s="584"/>
      <c r="EN76" s="584"/>
      <c r="EO76" s="584"/>
      <c r="EP76" s="584"/>
      <c r="EQ76" s="584"/>
      <c r="ER76" s="584">
        <f>SUM(ES76:ET76)</f>
        <v>34884499547</v>
      </c>
      <c r="ES76" s="584">
        <f>SUM(EU76:EV76)+EW76+SUM(EY76:FA76)+FJ76+FR76</f>
        <v>0</v>
      </c>
      <c r="ET76" s="584">
        <f>EX76+SUM(FB76:FI76)+SUM(FK76:FQ76)+SUM(FS76:FU76)</f>
        <v>34884499547</v>
      </c>
      <c r="EU76" s="584"/>
      <c r="EV76" s="584"/>
      <c r="EW76" s="584"/>
      <c r="EX76" s="584"/>
      <c r="EY76" s="584"/>
      <c r="EZ76" s="584"/>
      <c r="FA76" s="584"/>
      <c r="FB76" s="584"/>
      <c r="FC76" s="584">
        <v>34884499547</v>
      </c>
      <c r="FD76" s="584"/>
      <c r="FE76" s="584"/>
      <c r="FF76" s="584"/>
      <c r="FG76" s="584"/>
      <c r="FH76" s="584"/>
      <c r="FI76" s="584"/>
      <c r="FJ76" s="584"/>
      <c r="FK76" s="584"/>
      <c r="FL76" s="584"/>
      <c r="FM76" s="584"/>
      <c r="FN76" s="584"/>
      <c r="FO76" s="584"/>
      <c r="FP76" s="584"/>
      <c r="FQ76" s="584"/>
      <c r="FR76" s="584"/>
      <c r="FS76" s="584"/>
      <c r="FT76" s="584"/>
      <c r="FU76" s="584"/>
      <c r="FV76" s="584">
        <f>SUM(FW76:FX76)</f>
        <v>0</v>
      </c>
      <c r="FW76" s="584">
        <f>SUM(FY76:FY76)</f>
        <v>0</v>
      </c>
      <c r="FX76" s="584">
        <f>SUM(FZ76:GA76)</f>
        <v>0</v>
      </c>
      <c r="FY76" s="584"/>
      <c r="FZ76" s="584"/>
      <c r="GA76" s="584"/>
      <c r="GB76" s="584">
        <v>57515500453</v>
      </c>
      <c r="GC76" s="586">
        <f>CP76/C76</f>
        <v>1</v>
      </c>
      <c r="GD76" s="586"/>
      <c r="GE76" s="586">
        <f>CW76/J76</f>
        <v>0.87874979398530995</v>
      </c>
      <c r="GF76" s="586">
        <f>ER76/BE76</f>
        <v>0.3817478419693372</v>
      </c>
      <c r="GG76" s="586"/>
    </row>
    <row r="77" spans="1:189" s="92" customFormat="1" ht="17.25" customHeight="1">
      <c r="A77" s="582">
        <v>22</v>
      </c>
      <c r="B77" s="583" t="s">
        <v>401</v>
      </c>
      <c r="C77" s="584">
        <f t="shared" ref="C77:AU77" si="92">C78+C79</f>
        <v>193345038000</v>
      </c>
      <c r="D77" s="584">
        <f t="shared" si="92"/>
        <v>79853264000</v>
      </c>
      <c r="E77" s="584">
        <f t="shared" si="92"/>
        <v>47142401000</v>
      </c>
      <c r="F77" s="584">
        <f t="shared" si="92"/>
        <v>32166221000</v>
      </c>
      <c r="G77" s="584">
        <f t="shared" si="92"/>
        <v>14220195000</v>
      </c>
      <c r="H77" s="584">
        <f t="shared" si="92"/>
        <v>755985000</v>
      </c>
      <c r="I77" s="584">
        <f t="shared" si="92"/>
        <v>0</v>
      </c>
      <c r="J77" s="584">
        <f t="shared" si="92"/>
        <v>32710863000</v>
      </c>
      <c r="K77" s="584">
        <f t="shared" si="92"/>
        <v>0</v>
      </c>
      <c r="L77" s="584">
        <f t="shared" si="92"/>
        <v>0</v>
      </c>
      <c r="M77" s="584">
        <f t="shared" si="92"/>
        <v>0</v>
      </c>
      <c r="N77" s="584">
        <f t="shared" si="92"/>
        <v>0</v>
      </c>
      <c r="O77" s="584">
        <f t="shared" si="92"/>
        <v>0</v>
      </c>
      <c r="P77" s="584">
        <f t="shared" si="92"/>
        <v>0</v>
      </c>
      <c r="Q77" s="584">
        <f t="shared" si="92"/>
        <v>0</v>
      </c>
      <c r="R77" s="584">
        <f t="shared" si="92"/>
        <v>0</v>
      </c>
      <c r="S77" s="584">
        <f t="shared" si="92"/>
        <v>0</v>
      </c>
      <c r="T77" s="584">
        <f t="shared" si="92"/>
        <v>0</v>
      </c>
      <c r="U77" s="584">
        <f t="shared" si="92"/>
        <v>0</v>
      </c>
      <c r="V77" s="584">
        <f t="shared" si="92"/>
        <v>0</v>
      </c>
      <c r="W77" s="584">
        <f t="shared" si="92"/>
        <v>0</v>
      </c>
      <c r="X77" s="584">
        <f t="shared" si="92"/>
        <v>0</v>
      </c>
      <c r="Y77" s="584">
        <f t="shared" si="92"/>
        <v>0</v>
      </c>
      <c r="Z77" s="584">
        <f t="shared" si="92"/>
        <v>0</v>
      </c>
      <c r="AA77" s="584">
        <f t="shared" si="92"/>
        <v>0</v>
      </c>
      <c r="AB77" s="584">
        <f t="shared" si="92"/>
        <v>0</v>
      </c>
      <c r="AC77" s="584">
        <f t="shared" si="92"/>
        <v>0</v>
      </c>
      <c r="AD77" s="584">
        <f t="shared" si="92"/>
        <v>0</v>
      </c>
      <c r="AE77" s="584">
        <f t="shared" si="92"/>
        <v>0</v>
      </c>
      <c r="AF77" s="584">
        <f t="shared" si="92"/>
        <v>0</v>
      </c>
      <c r="AG77" s="584">
        <f t="shared" si="92"/>
        <v>0</v>
      </c>
      <c r="AH77" s="584">
        <f t="shared" si="92"/>
        <v>0</v>
      </c>
      <c r="AI77" s="584">
        <f t="shared" si="92"/>
        <v>0</v>
      </c>
      <c r="AJ77" s="584">
        <f t="shared" si="92"/>
        <v>0</v>
      </c>
      <c r="AK77" s="584">
        <f t="shared" si="92"/>
        <v>2537000000</v>
      </c>
      <c r="AL77" s="584">
        <f t="shared" si="92"/>
        <v>0</v>
      </c>
      <c r="AM77" s="584">
        <f t="shared" si="92"/>
        <v>0</v>
      </c>
      <c r="AN77" s="584">
        <f t="shared" si="92"/>
        <v>5488076000</v>
      </c>
      <c r="AO77" s="584">
        <f t="shared" si="92"/>
        <v>16139830000</v>
      </c>
      <c r="AP77" s="584">
        <f t="shared" si="92"/>
        <v>0</v>
      </c>
      <c r="AQ77" s="584">
        <f t="shared" si="92"/>
        <v>0</v>
      </c>
      <c r="AR77" s="584">
        <f t="shared" si="92"/>
        <v>0</v>
      </c>
      <c r="AS77" s="584">
        <f t="shared" si="92"/>
        <v>0</v>
      </c>
      <c r="AT77" s="584">
        <f t="shared" si="92"/>
        <v>0</v>
      </c>
      <c r="AU77" s="584">
        <f t="shared" si="92"/>
        <v>1141088000</v>
      </c>
      <c r="AV77" s="584">
        <f>AV78+AV79</f>
        <v>5600000000</v>
      </c>
      <c r="AW77" s="584">
        <f>AW78+AW79</f>
        <v>0</v>
      </c>
      <c r="AX77" s="584">
        <f t="shared" ref="AX77:CN77" si="93">AX78+AX79</f>
        <v>0</v>
      </c>
      <c r="AY77" s="584">
        <f t="shared" si="93"/>
        <v>0</v>
      </c>
      <c r="AZ77" s="584">
        <f t="shared" si="93"/>
        <v>0</v>
      </c>
      <c r="BA77" s="584">
        <f t="shared" si="93"/>
        <v>1804869000</v>
      </c>
      <c r="BB77" s="584">
        <f t="shared" si="93"/>
        <v>0</v>
      </c>
      <c r="BC77" s="584">
        <f t="shared" si="93"/>
        <v>0</v>
      </c>
      <c r="BD77" s="584">
        <f t="shared" si="93"/>
        <v>0</v>
      </c>
      <c r="BE77" s="584">
        <f t="shared" si="93"/>
        <v>113491774000</v>
      </c>
      <c r="BF77" s="584">
        <f t="shared" si="93"/>
        <v>107081774000</v>
      </c>
      <c r="BG77" s="584">
        <f t="shared" si="93"/>
        <v>6410000000</v>
      </c>
      <c r="BH77" s="584">
        <f t="shared" si="93"/>
        <v>139952000</v>
      </c>
      <c r="BI77" s="584">
        <f t="shared" si="93"/>
        <v>0</v>
      </c>
      <c r="BJ77" s="584">
        <f t="shared" si="93"/>
        <v>0</v>
      </c>
      <c r="BK77" s="584">
        <f t="shared" si="93"/>
        <v>0</v>
      </c>
      <c r="BL77" s="584">
        <f>BL78+BL79</f>
        <v>3500000000</v>
      </c>
      <c r="BM77" s="584">
        <f>BM78+BM79</f>
        <v>53000000000</v>
      </c>
      <c r="BN77" s="584">
        <f t="shared" si="93"/>
        <v>40500000000</v>
      </c>
      <c r="BO77" s="584">
        <f t="shared" si="93"/>
        <v>0</v>
      </c>
      <c r="BP77" s="584">
        <f t="shared" si="93"/>
        <v>0</v>
      </c>
      <c r="BQ77" s="584">
        <f t="shared" si="93"/>
        <v>0</v>
      </c>
      <c r="BR77" s="584">
        <f t="shared" si="93"/>
        <v>0</v>
      </c>
      <c r="BS77" s="584">
        <f t="shared" si="93"/>
        <v>0</v>
      </c>
      <c r="BT77" s="584">
        <f t="shared" si="93"/>
        <v>0</v>
      </c>
      <c r="BU77" s="584">
        <f t="shared" si="93"/>
        <v>0</v>
      </c>
      <c r="BV77" s="584">
        <f t="shared" si="93"/>
        <v>0</v>
      </c>
      <c r="BW77" s="584">
        <f t="shared" si="93"/>
        <v>0</v>
      </c>
      <c r="BX77" s="584">
        <f t="shared" si="93"/>
        <v>6410000000</v>
      </c>
      <c r="BY77" s="584">
        <f t="shared" si="93"/>
        <v>0</v>
      </c>
      <c r="BZ77" s="584">
        <f t="shared" si="93"/>
        <v>0</v>
      </c>
      <c r="CA77" s="584">
        <f t="shared" si="93"/>
        <v>0</v>
      </c>
      <c r="CB77" s="584">
        <f t="shared" si="93"/>
        <v>0</v>
      </c>
      <c r="CC77" s="584">
        <f t="shared" si="93"/>
        <v>0</v>
      </c>
      <c r="CD77" s="584">
        <f t="shared" si="93"/>
        <v>0</v>
      </c>
      <c r="CE77" s="584">
        <f t="shared" si="93"/>
        <v>9941822000</v>
      </c>
      <c r="CF77" s="584">
        <f t="shared" si="93"/>
        <v>0</v>
      </c>
      <c r="CG77" s="584">
        <f t="shared" si="93"/>
        <v>0</v>
      </c>
      <c r="CH77" s="584">
        <f t="shared" si="93"/>
        <v>0</v>
      </c>
      <c r="CI77" s="584">
        <f t="shared" si="93"/>
        <v>0</v>
      </c>
      <c r="CJ77" s="584">
        <f t="shared" si="93"/>
        <v>0</v>
      </c>
      <c r="CK77" s="584">
        <f t="shared" si="93"/>
        <v>0</v>
      </c>
      <c r="CL77" s="584">
        <f t="shared" si="93"/>
        <v>0</v>
      </c>
      <c r="CM77" s="584">
        <f t="shared" si="93"/>
        <v>0</v>
      </c>
      <c r="CN77" s="584">
        <f t="shared" si="93"/>
        <v>0</v>
      </c>
      <c r="CO77" s="583" t="s">
        <v>401</v>
      </c>
      <c r="CP77" s="584">
        <f t="shared" ref="CP77:FA77" si="94">CP78+CP79</f>
        <v>193345038000</v>
      </c>
      <c r="CQ77" s="584">
        <f t="shared" si="94"/>
        <v>75079356000</v>
      </c>
      <c r="CR77" s="584">
        <f t="shared" si="94"/>
        <v>43694101000</v>
      </c>
      <c r="CS77" s="584">
        <f t="shared" si="94"/>
        <v>30634139000</v>
      </c>
      <c r="CT77" s="584">
        <f t="shared" si="94"/>
        <v>12303977000</v>
      </c>
      <c r="CU77" s="584">
        <f t="shared" si="94"/>
        <v>755985000</v>
      </c>
      <c r="CV77" s="584">
        <f t="shared" si="94"/>
        <v>0</v>
      </c>
      <c r="CW77" s="584">
        <f t="shared" si="94"/>
        <v>31385255000</v>
      </c>
      <c r="CX77" s="584">
        <f t="shared" si="94"/>
        <v>0</v>
      </c>
      <c r="CY77" s="584">
        <f t="shared" si="94"/>
        <v>0</v>
      </c>
      <c r="CZ77" s="584">
        <f t="shared" si="94"/>
        <v>0</v>
      </c>
      <c r="DA77" s="584">
        <f t="shared" si="94"/>
        <v>0</v>
      </c>
      <c r="DB77" s="584">
        <f t="shared" si="94"/>
        <v>0</v>
      </c>
      <c r="DC77" s="584">
        <f t="shared" si="94"/>
        <v>0</v>
      </c>
      <c r="DD77" s="584">
        <f t="shared" si="94"/>
        <v>0</v>
      </c>
      <c r="DE77" s="584">
        <f t="shared" si="94"/>
        <v>0</v>
      </c>
      <c r="DF77" s="584">
        <f t="shared" si="94"/>
        <v>0</v>
      </c>
      <c r="DG77" s="584">
        <f t="shared" si="94"/>
        <v>0</v>
      </c>
      <c r="DH77" s="584">
        <f t="shared" si="94"/>
        <v>0</v>
      </c>
      <c r="DI77" s="584">
        <f t="shared" si="94"/>
        <v>0</v>
      </c>
      <c r="DJ77" s="584">
        <f t="shared" si="94"/>
        <v>0</v>
      </c>
      <c r="DK77" s="584">
        <f t="shared" si="94"/>
        <v>0</v>
      </c>
      <c r="DL77" s="584">
        <f t="shared" si="94"/>
        <v>0</v>
      </c>
      <c r="DM77" s="584">
        <f>DM78+DM79</f>
        <v>0</v>
      </c>
      <c r="DN77" s="584">
        <f t="shared" si="94"/>
        <v>0</v>
      </c>
      <c r="DO77" s="584">
        <f t="shared" si="94"/>
        <v>0</v>
      </c>
      <c r="DP77" s="584">
        <f t="shared" si="94"/>
        <v>0</v>
      </c>
      <c r="DQ77" s="584">
        <f t="shared" si="94"/>
        <v>0</v>
      </c>
      <c r="DR77" s="584">
        <f t="shared" si="94"/>
        <v>0</v>
      </c>
      <c r="DS77" s="584">
        <f t="shared" si="94"/>
        <v>0</v>
      </c>
      <c r="DT77" s="584">
        <f t="shared" si="94"/>
        <v>0</v>
      </c>
      <c r="DU77" s="584">
        <f t="shared" si="94"/>
        <v>0</v>
      </c>
      <c r="DV77" s="584">
        <f t="shared" si="94"/>
        <v>0</v>
      </c>
      <c r="DW77" s="584">
        <f t="shared" si="94"/>
        <v>0</v>
      </c>
      <c r="DX77" s="584">
        <f t="shared" si="94"/>
        <v>2537000000</v>
      </c>
      <c r="DY77" s="584">
        <f t="shared" si="94"/>
        <v>0</v>
      </c>
      <c r="DZ77" s="584">
        <f t="shared" si="94"/>
        <v>0</v>
      </c>
      <c r="EA77" s="584">
        <f t="shared" si="94"/>
        <v>5488076000</v>
      </c>
      <c r="EB77" s="584">
        <f t="shared" si="94"/>
        <v>14814222000</v>
      </c>
      <c r="EC77" s="584">
        <f t="shared" si="94"/>
        <v>0</v>
      </c>
      <c r="ED77" s="584">
        <f t="shared" si="94"/>
        <v>0</v>
      </c>
      <c r="EE77" s="584">
        <f t="shared" si="94"/>
        <v>0</v>
      </c>
      <c r="EF77" s="584">
        <f t="shared" si="94"/>
        <v>0</v>
      </c>
      <c r="EG77" s="584">
        <f t="shared" si="94"/>
        <v>0</v>
      </c>
      <c r="EH77" s="584">
        <f t="shared" si="94"/>
        <v>1141088000</v>
      </c>
      <c r="EI77" s="584">
        <f>EI78+EI79</f>
        <v>5600000000</v>
      </c>
      <c r="EJ77" s="584">
        <f>EJ78+EJ79</f>
        <v>0</v>
      </c>
      <c r="EK77" s="584">
        <f t="shared" si="94"/>
        <v>0</v>
      </c>
      <c r="EL77" s="584">
        <f t="shared" si="94"/>
        <v>0</v>
      </c>
      <c r="EM77" s="584">
        <f t="shared" si="94"/>
        <v>0</v>
      </c>
      <c r="EN77" s="584">
        <f t="shared" si="94"/>
        <v>1804869000</v>
      </c>
      <c r="EO77" s="584">
        <f t="shared" si="94"/>
        <v>0</v>
      </c>
      <c r="EP77" s="584">
        <f t="shared" si="94"/>
        <v>0</v>
      </c>
      <c r="EQ77" s="584">
        <f t="shared" si="94"/>
        <v>0</v>
      </c>
      <c r="ER77" s="584">
        <f t="shared" si="94"/>
        <v>88830412000</v>
      </c>
      <c r="ES77" s="584">
        <f t="shared" si="94"/>
        <v>82420412000</v>
      </c>
      <c r="ET77" s="584">
        <f t="shared" si="94"/>
        <v>6410000000</v>
      </c>
      <c r="EU77" s="584">
        <f t="shared" si="94"/>
        <v>0</v>
      </c>
      <c r="EV77" s="584">
        <f t="shared" si="94"/>
        <v>0</v>
      </c>
      <c r="EW77" s="584">
        <f t="shared" si="94"/>
        <v>0</v>
      </c>
      <c r="EX77" s="584">
        <f t="shared" si="94"/>
        <v>0</v>
      </c>
      <c r="EY77" s="584">
        <f>EY78+EY79</f>
        <v>2687805000</v>
      </c>
      <c r="EZ77" s="584">
        <f>EZ78+EZ79</f>
        <v>39996025000</v>
      </c>
      <c r="FA77" s="584">
        <f t="shared" si="94"/>
        <v>31769484000</v>
      </c>
      <c r="FB77" s="584">
        <f t="shared" ref="FB77:GB77" si="95">FB78+FB79</f>
        <v>0</v>
      </c>
      <c r="FC77" s="584">
        <f t="shared" si="95"/>
        <v>0</v>
      </c>
      <c r="FD77" s="584">
        <f t="shared" si="95"/>
        <v>0</v>
      </c>
      <c r="FE77" s="584">
        <f t="shared" si="95"/>
        <v>0</v>
      </c>
      <c r="FF77" s="584">
        <f t="shared" si="95"/>
        <v>0</v>
      </c>
      <c r="FG77" s="584">
        <f t="shared" si="95"/>
        <v>0</v>
      </c>
      <c r="FH77" s="584">
        <f t="shared" si="95"/>
        <v>0</v>
      </c>
      <c r="FI77" s="584">
        <f t="shared" si="95"/>
        <v>0</v>
      </c>
      <c r="FJ77" s="584">
        <f t="shared" si="95"/>
        <v>0</v>
      </c>
      <c r="FK77" s="584">
        <f t="shared" si="95"/>
        <v>6410000000</v>
      </c>
      <c r="FL77" s="584">
        <f t="shared" si="95"/>
        <v>0</v>
      </c>
      <c r="FM77" s="584">
        <f t="shared" si="95"/>
        <v>0</v>
      </c>
      <c r="FN77" s="584">
        <f t="shared" si="95"/>
        <v>0</v>
      </c>
      <c r="FO77" s="584">
        <f t="shared" si="95"/>
        <v>0</v>
      </c>
      <c r="FP77" s="584">
        <f t="shared" si="95"/>
        <v>0</v>
      </c>
      <c r="FQ77" s="584">
        <f t="shared" si="95"/>
        <v>0</v>
      </c>
      <c r="FR77" s="584">
        <f t="shared" si="95"/>
        <v>7967098000</v>
      </c>
      <c r="FS77" s="584">
        <f t="shared" si="95"/>
        <v>0</v>
      </c>
      <c r="FT77" s="584">
        <f t="shared" si="95"/>
        <v>0</v>
      </c>
      <c r="FU77" s="584">
        <f t="shared" si="95"/>
        <v>0</v>
      </c>
      <c r="FV77" s="584">
        <f t="shared" si="95"/>
        <v>0</v>
      </c>
      <c r="FW77" s="584">
        <f t="shared" si="95"/>
        <v>0</v>
      </c>
      <c r="FX77" s="584">
        <f t="shared" si="95"/>
        <v>0</v>
      </c>
      <c r="FY77" s="584">
        <f t="shared" si="95"/>
        <v>0</v>
      </c>
      <c r="FZ77" s="584">
        <f t="shared" si="95"/>
        <v>0</v>
      </c>
      <c r="GA77" s="584">
        <f t="shared" si="95"/>
        <v>0</v>
      </c>
      <c r="GB77" s="584">
        <f t="shared" si="95"/>
        <v>29435270000</v>
      </c>
      <c r="GC77" s="586">
        <f>CP77/C77</f>
        <v>1</v>
      </c>
      <c r="GD77" s="586">
        <f>CR77/E77</f>
        <v>0.92685353467677645</v>
      </c>
      <c r="GE77" s="586">
        <f>CW77/J77</f>
        <v>0.95947499153415794</v>
      </c>
      <c r="GF77" s="586">
        <f>ER77/BE77</f>
        <v>0.78270352880377037</v>
      </c>
      <c r="GG77" s="586"/>
    </row>
    <row r="78" spans="1:189" s="92" customFormat="1" ht="17.25" hidden="1" customHeight="1">
      <c r="A78" s="582"/>
      <c r="B78" s="583" t="s">
        <v>183</v>
      </c>
      <c r="C78" s="584">
        <f>D78+BE78+CI78</f>
        <v>154224175000</v>
      </c>
      <c r="D78" s="584">
        <f>E78+J78</f>
        <v>47142401000</v>
      </c>
      <c r="E78" s="584">
        <f>SUM(F78:I78)</f>
        <v>47142401000</v>
      </c>
      <c r="F78" s="584">
        <v>32166221000</v>
      </c>
      <c r="G78" s="584">
        <v>14220195000</v>
      </c>
      <c r="H78" s="584">
        <v>755985000</v>
      </c>
      <c r="I78" s="584"/>
      <c r="J78" s="584">
        <f>SUM(K78:BD78)</f>
        <v>0</v>
      </c>
      <c r="K78" s="584"/>
      <c r="L78" s="584"/>
      <c r="M78" s="584"/>
      <c r="N78" s="584"/>
      <c r="O78" s="584"/>
      <c r="P78" s="584"/>
      <c r="Q78" s="584"/>
      <c r="R78" s="584"/>
      <c r="S78" s="584"/>
      <c r="T78" s="584"/>
      <c r="U78" s="584"/>
      <c r="V78" s="584"/>
      <c r="W78" s="584"/>
      <c r="X78" s="584"/>
      <c r="Y78" s="584"/>
      <c r="Z78" s="584"/>
      <c r="AA78" s="584"/>
      <c r="AB78" s="584"/>
      <c r="AC78" s="584"/>
      <c r="AD78" s="584"/>
      <c r="AE78" s="584"/>
      <c r="AF78" s="584"/>
      <c r="AG78" s="584"/>
      <c r="AH78" s="584"/>
      <c r="AI78" s="584"/>
      <c r="AJ78" s="584"/>
      <c r="AK78" s="584"/>
      <c r="AL78" s="584"/>
      <c r="AM78" s="584"/>
      <c r="AN78" s="584"/>
      <c r="AO78" s="584"/>
      <c r="AP78" s="584"/>
      <c r="AQ78" s="584"/>
      <c r="AR78" s="584"/>
      <c r="AS78" s="584"/>
      <c r="AT78" s="584"/>
      <c r="AU78" s="584"/>
      <c r="AV78" s="584"/>
      <c r="AW78" s="584"/>
      <c r="AX78" s="584"/>
      <c r="AY78" s="584"/>
      <c r="AZ78" s="584"/>
      <c r="BA78" s="584"/>
      <c r="BB78" s="584"/>
      <c r="BC78" s="584"/>
      <c r="BD78" s="584"/>
      <c r="BE78" s="584">
        <f>SUM(BF78:BG78)</f>
        <v>107081774000</v>
      </c>
      <c r="BF78" s="584">
        <f>SUM(BH78:BI78)+BJ78+SUM(BL78:BN78)+BW78+CE78</f>
        <v>107081774000</v>
      </c>
      <c r="BG78" s="584">
        <f>BK78+SUM(BO78:BV78)+SUM(BX78:CD78)+SUM(CF78:CH78)</f>
        <v>0</v>
      </c>
      <c r="BH78" s="584">
        <v>139952000</v>
      </c>
      <c r="BI78" s="584"/>
      <c r="BJ78" s="584"/>
      <c r="BK78" s="584"/>
      <c r="BL78" s="584">
        <v>3500000000</v>
      </c>
      <c r="BM78" s="584">
        <v>53000000000</v>
      </c>
      <c r="BN78" s="584">
        <v>40500000000</v>
      </c>
      <c r="BO78" s="584"/>
      <c r="BP78" s="584"/>
      <c r="BQ78" s="584"/>
      <c r="BR78" s="584"/>
      <c r="BS78" s="584"/>
      <c r="BT78" s="584"/>
      <c r="BU78" s="584"/>
      <c r="BV78" s="584"/>
      <c r="BW78" s="584"/>
      <c r="BX78" s="584"/>
      <c r="BY78" s="584"/>
      <c r="BZ78" s="584"/>
      <c r="CA78" s="584"/>
      <c r="CB78" s="584"/>
      <c r="CC78" s="584"/>
      <c r="CD78" s="584"/>
      <c r="CE78" s="584">
        <v>9941822000</v>
      </c>
      <c r="CF78" s="584"/>
      <c r="CG78" s="584"/>
      <c r="CH78" s="584"/>
      <c r="CI78" s="584">
        <f>SUM(CJ78:CK78)</f>
        <v>0</v>
      </c>
      <c r="CJ78" s="584">
        <f>SUM(CL78:CL78)</f>
        <v>0</v>
      </c>
      <c r="CK78" s="584">
        <f>SUM(CM78:CN78)</f>
        <v>0</v>
      </c>
      <c r="CL78" s="584"/>
      <c r="CM78" s="584"/>
      <c r="CN78" s="584"/>
      <c r="CO78" s="583" t="s">
        <v>183</v>
      </c>
      <c r="CP78" s="584">
        <f>CQ78+ER78+FV78+GB78</f>
        <v>154224175000</v>
      </c>
      <c r="CQ78" s="584">
        <f>CR78+CW78</f>
        <v>43694101000</v>
      </c>
      <c r="CR78" s="584">
        <f>SUM(CS78:CV78)</f>
        <v>43694101000</v>
      </c>
      <c r="CS78" s="584">
        <v>30634139000</v>
      </c>
      <c r="CT78" s="584">
        <v>12303977000</v>
      </c>
      <c r="CU78" s="584">
        <v>755985000</v>
      </c>
      <c r="CV78" s="584"/>
      <c r="CW78" s="584">
        <f>SUM(CX78:EQ78)</f>
        <v>0</v>
      </c>
      <c r="CX78" s="584"/>
      <c r="CY78" s="584"/>
      <c r="CZ78" s="584"/>
      <c r="DA78" s="584"/>
      <c r="DB78" s="584"/>
      <c r="DC78" s="584"/>
      <c r="DD78" s="584"/>
      <c r="DE78" s="584"/>
      <c r="DF78" s="584"/>
      <c r="DG78" s="584"/>
      <c r="DH78" s="584"/>
      <c r="DI78" s="584"/>
      <c r="DJ78" s="584"/>
      <c r="DK78" s="584"/>
      <c r="DL78" s="584"/>
      <c r="DM78" s="584"/>
      <c r="DN78" s="584"/>
      <c r="DO78" s="584"/>
      <c r="DP78" s="584"/>
      <c r="DQ78" s="584"/>
      <c r="DR78" s="584"/>
      <c r="DS78" s="584"/>
      <c r="DT78" s="584"/>
      <c r="DU78" s="584"/>
      <c r="DV78" s="584"/>
      <c r="DW78" s="584"/>
      <c r="DX78" s="584"/>
      <c r="DY78" s="584"/>
      <c r="DZ78" s="584"/>
      <c r="EA78" s="584"/>
      <c r="EB78" s="584"/>
      <c r="EC78" s="584"/>
      <c r="ED78" s="584"/>
      <c r="EE78" s="584"/>
      <c r="EF78" s="584"/>
      <c r="EG78" s="584"/>
      <c r="EH78" s="584"/>
      <c r="EI78" s="584"/>
      <c r="EJ78" s="584"/>
      <c r="EK78" s="584"/>
      <c r="EL78" s="584"/>
      <c r="EM78" s="584"/>
      <c r="EN78" s="584"/>
      <c r="EO78" s="584"/>
      <c r="EP78" s="584"/>
      <c r="EQ78" s="584"/>
      <c r="ER78" s="584">
        <f>SUM(ES78:ET78)</f>
        <v>82420412000</v>
      </c>
      <c r="ES78" s="584">
        <f>SUM(EU78:EV78)+EW78+SUM(EY78:FA78)+FJ78+FR78</f>
        <v>82420412000</v>
      </c>
      <c r="ET78" s="584">
        <f>EX78+SUM(FB78:FI78)+SUM(FK78:FQ78)+SUM(FS78:FU78)</f>
        <v>0</v>
      </c>
      <c r="EU78" s="584"/>
      <c r="EV78" s="584"/>
      <c r="EW78" s="584"/>
      <c r="EX78" s="584"/>
      <c r="EY78" s="584">
        <v>2687805000</v>
      </c>
      <c r="EZ78" s="584">
        <v>39996025000</v>
      </c>
      <c r="FA78" s="584">
        <v>31769484000</v>
      </c>
      <c r="FB78" s="584"/>
      <c r="FC78" s="584"/>
      <c r="FD78" s="584"/>
      <c r="FE78" s="584"/>
      <c r="FF78" s="584"/>
      <c r="FG78" s="584"/>
      <c r="FH78" s="584"/>
      <c r="FI78" s="584"/>
      <c r="FJ78" s="584"/>
      <c r="FK78" s="584"/>
      <c r="FL78" s="584"/>
      <c r="FM78" s="584"/>
      <c r="FN78" s="584"/>
      <c r="FO78" s="584"/>
      <c r="FP78" s="584"/>
      <c r="FQ78" s="584"/>
      <c r="FR78" s="584">
        <v>7967098000</v>
      </c>
      <c r="FS78" s="584"/>
      <c r="FT78" s="584"/>
      <c r="FU78" s="584"/>
      <c r="FV78" s="584">
        <f>SUM(FW78:FX78)</f>
        <v>0</v>
      </c>
      <c r="FW78" s="584">
        <f>SUM(FY78:FY78)</f>
        <v>0</v>
      </c>
      <c r="FX78" s="584">
        <f>SUM(FZ78:GA78)</f>
        <v>0</v>
      </c>
      <c r="FY78" s="584"/>
      <c r="FZ78" s="584"/>
      <c r="GA78" s="584"/>
      <c r="GB78" s="584">
        <v>28109662000</v>
      </c>
      <c r="GC78" s="586">
        <f>CP78/C78</f>
        <v>1</v>
      </c>
      <c r="GD78" s="586">
        <f>CR78/E78</f>
        <v>0.92685353467677645</v>
      </c>
      <c r="GE78" s="586"/>
      <c r="GF78" s="586">
        <f>ER78/BE78</f>
        <v>0.76969598953412932</v>
      </c>
      <c r="GG78" s="586"/>
    </row>
    <row r="79" spans="1:189" s="92" customFormat="1" ht="17.25" hidden="1" customHeight="1">
      <c r="A79" s="582"/>
      <c r="B79" s="583" t="s">
        <v>184</v>
      </c>
      <c r="C79" s="584">
        <f>D79+BE79+CI79</f>
        <v>39120863000</v>
      </c>
      <c r="D79" s="584">
        <f>E79+J79</f>
        <v>32710863000</v>
      </c>
      <c r="E79" s="584">
        <f>SUM(F79:I79)</f>
        <v>0</v>
      </c>
      <c r="F79" s="584"/>
      <c r="G79" s="584"/>
      <c r="H79" s="584"/>
      <c r="I79" s="584"/>
      <c r="J79" s="584">
        <f>SUM(K79:BD79)</f>
        <v>32710863000</v>
      </c>
      <c r="K79" s="584"/>
      <c r="L79" s="584"/>
      <c r="M79" s="584"/>
      <c r="N79" s="584"/>
      <c r="O79" s="584"/>
      <c r="P79" s="584"/>
      <c r="Q79" s="584"/>
      <c r="R79" s="584"/>
      <c r="S79" s="584"/>
      <c r="T79" s="584"/>
      <c r="U79" s="584"/>
      <c r="V79" s="584"/>
      <c r="W79" s="584"/>
      <c r="X79" s="584"/>
      <c r="Y79" s="584"/>
      <c r="Z79" s="584"/>
      <c r="AA79" s="584"/>
      <c r="AB79" s="584"/>
      <c r="AC79" s="584"/>
      <c r="AD79" s="584"/>
      <c r="AE79" s="584"/>
      <c r="AF79" s="584"/>
      <c r="AG79" s="584"/>
      <c r="AH79" s="584"/>
      <c r="AI79" s="584"/>
      <c r="AJ79" s="584"/>
      <c r="AK79" s="584">
        <v>2537000000</v>
      </c>
      <c r="AL79" s="584"/>
      <c r="AM79" s="584"/>
      <c r="AN79" s="584">
        <v>5488076000</v>
      </c>
      <c r="AO79" s="584">
        <f>21739830000-5600000000</f>
        <v>16139830000</v>
      </c>
      <c r="AP79" s="584"/>
      <c r="AQ79" s="584"/>
      <c r="AR79" s="584"/>
      <c r="AS79" s="584"/>
      <c r="AT79" s="584"/>
      <c r="AU79" s="584">
        <f>1162715000-21627000</f>
        <v>1141088000</v>
      </c>
      <c r="AV79" s="584">
        <v>5600000000</v>
      </c>
      <c r="AW79" s="584"/>
      <c r="AX79" s="584"/>
      <c r="AY79" s="584"/>
      <c r="AZ79" s="584"/>
      <c r="BA79" s="584">
        <f>1783242000+21627000</f>
        <v>1804869000</v>
      </c>
      <c r="BB79" s="584"/>
      <c r="BC79" s="584"/>
      <c r="BD79" s="584"/>
      <c r="BE79" s="584">
        <f>SUM(BF79:BG79)</f>
        <v>6410000000</v>
      </c>
      <c r="BF79" s="584">
        <f>SUM(BH79:BI79)+BJ79+SUM(BL79:BN79)+BW79+CE79</f>
        <v>0</v>
      </c>
      <c r="BG79" s="584">
        <f>BK79+SUM(BO79:BV79)+SUM(BX79:CD79)+SUM(CF79:CH79)</f>
        <v>6410000000</v>
      </c>
      <c r="BH79" s="584"/>
      <c r="BI79" s="584"/>
      <c r="BJ79" s="584"/>
      <c r="BK79" s="584"/>
      <c r="BL79" s="584"/>
      <c r="BM79" s="584"/>
      <c r="BN79" s="584"/>
      <c r="BO79" s="584"/>
      <c r="BP79" s="584"/>
      <c r="BQ79" s="584"/>
      <c r="BR79" s="584"/>
      <c r="BS79" s="584"/>
      <c r="BT79" s="584"/>
      <c r="BU79" s="584"/>
      <c r="BV79" s="584"/>
      <c r="BW79" s="584"/>
      <c r="BX79" s="584">
        <v>6410000000</v>
      </c>
      <c r="BY79" s="584"/>
      <c r="BZ79" s="584"/>
      <c r="CA79" s="584"/>
      <c r="CB79" s="584"/>
      <c r="CC79" s="584"/>
      <c r="CD79" s="584"/>
      <c r="CE79" s="584"/>
      <c r="CF79" s="584"/>
      <c r="CG79" s="584"/>
      <c r="CH79" s="584"/>
      <c r="CI79" s="584">
        <f>SUM(CJ79:CK79)</f>
        <v>0</v>
      </c>
      <c r="CJ79" s="584">
        <f>SUM(CL79:CL79)</f>
        <v>0</v>
      </c>
      <c r="CK79" s="584">
        <f>SUM(CM79:CN79)</f>
        <v>0</v>
      </c>
      <c r="CL79" s="584"/>
      <c r="CM79" s="584"/>
      <c r="CN79" s="584"/>
      <c r="CO79" s="583" t="s">
        <v>184</v>
      </c>
      <c r="CP79" s="584">
        <f>CQ79+ER79+FV79+GB79</f>
        <v>39120863000</v>
      </c>
      <c r="CQ79" s="584">
        <f>CR79+CW79</f>
        <v>31385255000</v>
      </c>
      <c r="CR79" s="584">
        <f>SUM(CS79:CV79)</f>
        <v>0</v>
      </c>
      <c r="CS79" s="584"/>
      <c r="CT79" s="584"/>
      <c r="CU79" s="584"/>
      <c r="CV79" s="584"/>
      <c r="CW79" s="584">
        <f>SUM(CX79:EQ79)</f>
        <v>31385255000</v>
      </c>
      <c r="CX79" s="584"/>
      <c r="CY79" s="584"/>
      <c r="CZ79" s="584"/>
      <c r="DA79" s="584"/>
      <c r="DB79" s="584"/>
      <c r="DC79" s="584"/>
      <c r="DD79" s="584"/>
      <c r="DE79" s="584"/>
      <c r="DF79" s="584"/>
      <c r="DG79" s="584"/>
      <c r="DH79" s="584"/>
      <c r="DI79" s="584"/>
      <c r="DJ79" s="584"/>
      <c r="DK79" s="584"/>
      <c r="DL79" s="584"/>
      <c r="DM79" s="584"/>
      <c r="DN79" s="584"/>
      <c r="DO79" s="584"/>
      <c r="DP79" s="584"/>
      <c r="DQ79" s="584"/>
      <c r="DR79" s="584"/>
      <c r="DS79" s="584"/>
      <c r="DT79" s="584"/>
      <c r="DU79" s="584"/>
      <c r="DV79" s="584"/>
      <c r="DW79" s="584"/>
      <c r="DX79" s="584">
        <v>2537000000</v>
      </c>
      <c r="DY79" s="584"/>
      <c r="DZ79" s="584"/>
      <c r="EA79" s="584">
        <v>5488076000</v>
      </c>
      <c r="EB79" s="584">
        <f>20414222000-5600000000</f>
        <v>14814222000</v>
      </c>
      <c r="EC79" s="584"/>
      <c r="ED79" s="584"/>
      <c r="EE79" s="584"/>
      <c r="EF79" s="584"/>
      <c r="EG79" s="584"/>
      <c r="EH79" s="584">
        <f>1162715000-21627000</f>
        <v>1141088000</v>
      </c>
      <c r="EI79" s="584">
        <v>5600000000</v>
      </c>
      <c r="EJ79" s="584"/>
      <c r="EK79" s="584"/>
      <c r="EL79" s="584"/>
      <c r="EM79" s="584"/>
      <c r="EN79" s="584">
        <f>1783242000+21627000</f>
        <v>1804869000</v>
      </c>
      <c r="EO79" s="584"/>
      <c r="EP79" s="584"/>
      <c r="EQ79" s="584"/>
      <c r="ER79" s="584">
        <f>SUM(ES79:ET79)</f>
        <v>6410000000</v>
      </c>
      <c r="ES79" s="584">
        <f>SUM(EU79:EV79)+EW79+SUM(EY79:FA79)+FJ79+FR79</f>
        <v>0</v>
      </c>
      <c r="ET79" s="584">
        <f>EX79+SUM(FB79:FI79)+SUM(FK79:FQ79)+SUM(FS79:FU79)</f>
        <v>6410000000</v>
      </c>
      <c r="EU79" s="584"/>
      <c r="EV79" s="584"/>
      <c r="EW79" s="584"/>
      <c r="EX79" s="584"/>
      <c r="EY79" s="584"/>
      <c r="EZ79" s="584"/>
      <c r="FA79" s="584"/>
      <c r="FB79" s="584"/>
      <c r="FC79" s="584"/>
      <c r="FD79" s="584"/>
      <c r="FE79" s="584"/>
      <c r="FF79" s="584"/>
      <c r="FG79" s="584"/>
      <c r="FH79" s="584"/>
      <c r="FI79" s="584"/>
      <c r="FJ79" s="584"/>
      <c r="FK79" s="584">
        <v>6410000000</v>
      </c>
      <c r="FL79" s="584"/>
      <c r="FM79" s="584"/>
      <c r="FN79" s="584"/>
      <c r="FO79" s="584"/>
      <c r="FP79" s="584"/>
      <c r="FQ79" s="584"/>
      <c r="FR79" s="584"/>
      <c r="FS79" s="584"/>
      <c r="FT79" s="584"/>
      <c r="FU79" s="584"/>
      <c r="FV79" s="584">
        <f>SUM(FW79:FX79)</f>
        <v>0</v>
      </c>
      <c r="FW79" s="584">
        <f>SUM(FY79:FY79)</f>
        <v>0</v>
      </c>
      <c r="FX79" s="584">
        <f>SUM(FZ79:GA79)</f>
        <v>0</v>
      </c>
      <c r="FY79" s="584"/>
      <c r="FZ79" s="584"/>
      <c r="GA79" s="584"/>
      <c r="GB79" s="584">
        <v>1325608000</v>
      </c>
      <c r="GC79" s="586">
        <f>CP79/C79</f>
        <v>1</v>
      </c>
      <c r="GD79" s="586"/>
      <c r="GE79" s="586">
        <f>CW79/J79</f>
        <v>0.95947499153415794</v>
      </c>
      <c r="GF79" s="586">
        <f>ER79/BE79</f>
        <v>1</v>
      </c>
      <c r="GG79" s="586"/>
    </row>
    <row r="80" spans="1:189" s="92" customFormat="1" ht="17.25" customHeight="1">
      <c r="A80" s="582">
        <v>23</v>
      </c>
      <c r="B80" s="583" t="s">
        <v>197</v>
      </c>
      <c r="C80" s="584">
        <f t="shared" ref="C80:AU80" si="96">C81+C82</f>
        <v>3249020000</v>
      </c>
      <c r="D80" s="584">
        <f t="shared" si="96"/>
        <v>3249020000</v>
      </c>
      <c r="E80" s="584">
        <f t="shared" si="96"/>
        <v>0</v>
      </c>
      <c r="F80" s="584">
        <f t="shared" si="96"/>
        <v>0</v>
      </c>
      <c r="G80" s="584">
        <f t="shared" si="96"/>
        <v>0</v>
      </c>
      <c r="H80" s="584">
        <f t="shared" si="96"/>
        <v>0</v>
      </c>
      <c r="I80" s="584">
        <f t="shared" si="96"/>
        <v>0</v>
      </c>
      <c r="J80" s="584">
        <f t="shared" si="96"/>
        <v>3249020000</v>
      </c>
      <c r="K80" s="584">
        <f t="shared" si="96"/>
        <v>0</v>
      </c>
      <c r="L80" s="584">
        <f t="shared" si="96"/>
        <v>3249020000</v>
      </c>
      <c r="M80" s="584">
        <f t="shared" si="96"/>
        <v>0</v>
      </c>
      <c r="N80" s="584">
        <f t="shared" si="96"/>
        <v>0</v>
      </c>
      <c r="O80" s="584">
        <f t="shared" si="96"/>
        <v>0</v>
      </c>
      <c r="P80" s="584">
        <f t="shared" si="96"/>
        <v>0</v>
      </c>
      <c r="Q80" s="584">
        <f t="shared" si="96"/>
        <v>0</v>
      </c>
      <c r="R80" s="584">
        <f t="shared" si="96"/>
        <v>0</v>
      </c>
      <c r="S80" s="584">
        <f t="shared" si="96"/>
        <v>0</v>
      </c>
      <c r="T80" s="584">
        <f t="shared" si="96"/>
        <v>0</v>
      </c>
      <c r="U80" s="584">
        <f t="shared" si="96"/>
        <v>0</v>
      </c>
      <c r="V80" s="584">
        <f t="shared" si="96"/>
        <v>0</v>
      </c>
      <c r="W80" s="584">
        <f t="shared" si="96"/>
        <v>0</v>
      </c>
      <c r="X80" s="584">
        <f t="shared" si="96"/>
        <v>0</v>
      </c>
      <c r="Y80" s="584">
        <f t="shared" si="96"/>
        <v>0</v>
      </c>
      <c r="Z80" s="584">
        <f t="shared" si="96"/>
        <v>0</v>
      </c>
      <c r="AA80" s="584">
        <f t="shared" si="96"/>
        <v>0</v>
      </c>
      <c r="AB80" s="584">
        <f t="shared" si="96"/>
        <v>0</v>
      </c>
      <c r="AC80" s="584">
        <f t="shared" si="96"/>
        <v>0</v>
      </c>
      <c r="AD80" s="584">
        <f t="shared" si="96"/>
        <v>0</v>
      </c>
      <c r="AE80" s="584">
        <f t="shared" si="96"/>
        <v>0</v>
      </c>
      <c r="AF80" s="584">
        <f t="shared" si="96"/>
        <v>0</v>
      </c>
      <c r="AG80" s="584">
        <f t="shared" si="96"/>
        <v>0</v>
      </c>
      <c r="AH80" s="584">
        <f t="shared" si="96"/>
        <v>0</v>
      </c>
      <c r="AI80" s="584">
        <f t="shared" si="96"/>
        <v>0</v>
      </c>
      <c r="AJ80" s="584">
        <f t="shared" si="96"/>
        <v>0</v>
      </c>
      <c r="AK80" s="584">
        <f t="shared" si="96"/>
        <v>0</v>
      </c>
      <c r="AL80" s="584">
        <f t="shared" si="96"/>
        <v>0</v>
      </c>
      <c r="AM80" s="584">
        <f t="shared" si="96"/>
        <v>0</v>
      </c>
      <c r="AN80" s="584">
        <f t="shared" si="96"/>
        <v>0</v>
      </c>
      <c r="AO80" s="584">
        <f t="shared" si="96"/>
        <v>0</v>
      </c>
      <c r="AP80" s="584">
        <f t="shared" si="96"/>
        <v>0</v>
      </c>
      <c r="AQ80" s="584">
        <f t="shared" si="96"/>
        <v>0</v>
      </c>
      <c r="AR80" s="584">
        <f t="shared" si="96"/>
        <v>0</v>
      </c>
      <c r="AS80" s="584">
        <f t="shared" si="96"/>
        <v>0</v>
      </c>
      <c r="AT80" s="584">
        <f t="shared" si="96"/>
        <v>0</v>
      </c>
      <c r="AU80" s="584">
        <f t="shared" si="96"/>
        <v>0</v>
      </c>
      <c r="AV80" s="584">
        <f>AV81+AV82</f>
        <v>0</v>
      </c>
      <c r="AW80" s="584">
        <f>AW81+AW82</f>
        <v>0</v>
      </c>
      <c r="AX80" s="584">
        <f t="shared" ref="AX80:CN80" si="97">AX81+AX82</f>
        <v>0</v>
      </c>
      <c r="AY80" s="584">
        <f t="shared" si="97"/>
        <v>0</v>
      </c>
      <c r="AZ80" s="584">
        <f t="shared" si="97"/>
        <v>0</v>
      </c>
      <c r="BA80" s="584">
        <f t="shared" si="97"/>
        <v>0</v>
      </c>
      <c r="BB80" s="584">
        <f t="shared" si="97"/>
        <v>0</v>
      </c>
      <c r="BC80" s="584">
        <f t="shared" si="97"/>
        <v>0</v>
      </c>
      <c r="BD80" s="584">
        <f t="shared" si="97"/>
        <v>0</v>
      </c>
      <c r="BE80" s="584">
        <f t="shared" si="97"/>
        <v>0</v>
      </c>
      <c r="BF80" s="584">
        <f t="shared" si="97"/>
        <v>0</v>
      </c>
      <c r="BG80" s="584">
        <f t="shared" si="97"/>
        <v>0</v>
      </c>
      <c r="BH80" s="584">
        <f t="shared" si="97"/>
        <v>0</v>
      </c>
      <c r="BI80" s="584">
        <f t="shared" si="97"/>
        <v>0</v>
      </c>
      <c r="BJ80" s="584">
        <f t="shared" si="97"/>
        <v>0</v>
      </c>
      <c r="BK80" s="584">
        <f t="shared" si="97"/>
        <v>0</v>
      </c>
      <c r="BL80" s="584">
        <f>BL81+BL82</f>
        <v>0</v>
      </c>
      <c r="BM80" s="584">
        <f>BM81+BM82</f>
        <v>0</v>
      </c>
      <c r="BN80" s="584">
        <f t="shared" si="97"/>
        <v>0</v>
      </c>
      <c r="BO80" s="584">
        <f t="shared" si="97"/>
        <v>0</v>
      </c>
      <c r="BP80" s="584">
        <f t="shared" si="97"/>
        <v>0</v>
      </c>
      <c r="BQ80" s="584">
        <f t="shared" si="97"/>
        <v>0</v>
      </c>
      <c r="BR80" s="584">
        <f t="shared" si="97"/>
        <v>0</v>
      </c>
      <c r="BS80" s="584">
        <f t="shared" si="97"/>
        <v>0</v>
      </c>
      <c r="BT80" s="584">
        <f t="shared" si="97"/>
        <v>0</v>
      </c>
      <c r="BU80" s="584">
        <f t="shared" si="97"/>
        <v>0</v>
      </c>
      <c r="BV80" s="584">
        <f t="shared" si="97"/>
        <v>0</v>
      </c>
      <c r="BW80" s="584">
        <f t="shared" si="97"/>
        <v>0</v>
      </c>
      <c r="BX80" s="584">
        <f t="shared" si="97"/>
        <v>0</v>
      </c>
      <c r="BY80" s="584">
        <f t="shared" si="97"/>
        <v>0</v>
      </c>
      <c r="BZ80" s="584">
        <f t="shared" si="97"/>
        <v>0</v>
      </c>
      <c r="CA80" s="584">
        <f t="shared" si="97"/>
        <v>0</v>
      </c>
      <c r="CB80" s="584">
        <f t="shared" si="97"/>
        <v>0</v>
      </c>
      <c r="CC80" s="584">
        <f t="shared" si="97"/>
        <v>0</v>
      </c>
      <c r="CD80" s="584">
        <f t="shared" si="97"/>
        <v>0</v>
      </c>
      <c r="CE80" s="584">
        <f t="shared" si="97"/>
        <v>0</v>
      </c>
      <c r="CF80" s="584">
        <f t="shared" si="97"/>
        <v>0</v>
      </c>
      <c r="CG80" s="584">
        <f t="shared" si="97"/>
        <v>0</v>
      </c>
      <c r="CH80" s="584">
        <f t="shared" si="97"/>
        <v>0</v>
      </c>
      <c r="CI80" s="584">
        <f t="shared" si="97"/>
        <v>0</v>
      </c>
      <c r="CJ80" s="584">
        <f t="shared" si="97"/>
        <v>0</v>
      </c>
      <c r="CK80" s="584">
        <f t="shared" si="97"/>
        <v>0</v>
      </c>
      <c r="CL80" s="584">
        <f t="shared" si="97"/>
        <v>0</v>
      </c>
      <c r="CM80" s="584">
        <f t="shared" si="97"/>
        <v>0</v>
      </c>
      <c r="CN80" s="584">
        <f t="shared" si="97"/>
        <v>0</v>
      </c>
      <c r="CO80" s="583" t="s">
        <v>197</v>
      </c>
      <c r="CP80" s="584">
        <f t="shared" ref="CP80:FA80" si="98">CP81+CP82</f>
        <v>3249020000</v>
      </c>
      <c r="CQ80" s="584">
        <f t="shared" si="98"/>
        <v>3249020000</v>
      </c>
      <c r="CR80" s="584">
        <f t="shared" si="98"/>
        <v>0</v>
      </c>
      <c r="CS80" s="584">
        <f t="shared" si="98"/>
        <v>0</v>
      </c>
      <c r="CT80" s="584">
        <f t="shared" si="98"/>
        <v>0</v>
      </c>
      <c r="CU80" s="584">
        <f t="shared" si="98"/>
        <v>0</v>
      </c>
      <c r="CV80" s="584">
        <f t="shared" si="98"/>
        <v>0</v>
      </c>
      <c r="CW80" s="584">
        <f t="shared" si="98"/>
        <v>3249020000</v>
      </c>
      <c r="CX80" s="584">
        <f t="shared" si="98"/>
        <v>0</v>
      </c>
      <c r="CY80" s="584">
        <f t="shared" si="98"/>
        <v>3249020000</v>
      </c>
      <c r="CZ80" s="584">
        <f t="shared" si="98"/>
        <v>0</v>
      </c>
      <c r="DA80" s="584">
        <f t="shared" si="98"/>
        <v>0</v>
      </c>
      <c r="DB80" s="584">
        <f t="shared" si="98"/>
        <v>0</v>
      </c>
      <c r="DC80" s="584">
        <f t="shared" si="98"/>
        <v>0</v>
      </c>
      <c r="DD80" s="584">
        <f t="shared" si="98"/>
        <v>0</v>
      </c>
      <c r="DE80" s="584">
        <f t="shared" si="98"/>
        <v>0</v>
      </c>
      <c r="DF80" s="584">
        <f t="shared" si="98"/>
        <v>0</v>
      </c>
      <c r="DG80" s="584">
        <f t="shared" si="98"/>
        <v>0</v>
      </c>
      <c r="DH80" s="584">
        <f t="shared" si="98"/>
        <v>0</v>
      </c>
      <c r="DI80" s="584">
        <f t="shared" si="98"/>
        <v>0</v>
      </c>
      <c r="DJ80" s="584">
        <f t="shared" si="98"/>
        <v>0</v>
      </c>
      <c r="DK80" s="584">
        <f t="shared" si="98"/>
        <v>0</v>
      </c>
      <c r="DL80" s="584">
        <f t="shared" si="98"/>
        <v>0</v>
      </c>
      <c r="DM80" s="584">
        <f>DM81+DM82</f>
        <v>0</v>
      </c>
      <c r="DN80" s="584">
        <f t="shared" si="98"/>
        <v>0</v>
      </c>
      <c r="DO80" s="584">
        <f t="shared" si="98"/>
        <v>0</v>
      </c>
      <c r="DP80" s="584">
        <f t="shared" si="98"/>
        <v>0</v>
      </c>
      <c r="DQ80" s="584">
        <f t="shared" si="98"/>
        <v>0</v>
      </c>
      <c r="DR80" s="584">
        <f t="shared" si="98"/>
        <v>0</v>
      </c>
      <c r="DS80" s="584">
        <f t="shared" si="98"/>
        <v>0</v>
      </c>
      <c r="DT80" s="584">
        <f t="shared" si="98"/>
        <v>0</v>
      </c>
      <c r="DU80" s="584">
        <f t="shared" si="98"/>
        <v>0</v>
      </c>
      <c r="DV80" s="584">
        <f t="shared" si="98"/>
        <v>0</v>
      </c>
      <c r="DW80" s="584">
        <f t="shared" si="98"/>
        <v>0</v>
      </c>
      <c r="DX80" s="584">
        <f t="shared" si="98"/>
        <v>0</v>
      </c>
      <c r="DY80" s="584">
        <f t="shared" si="98"/>
        <v>0</v>
      </c>
      <c r="DZ80" s="584">
        <f t="shared" si="98"/>
        <v>0</v>
      </c>
      <c r="EA80" s="584">
        <f t="shared" si="98"/>
        <v>0</v>
      </c>
      <c r="EB80" s="584">
        <f t="shared" si="98"/>
        <v>0</v>
      </c>
      <c r="EC80" s="584">
        <f t="shared" si="98"/>
        <v>0</v>
      </c>
      <c r="ED80" s="584">
        <f t="shared" si="98"/>
        <v>0</v>
      </c>
      <c r="EE80" s="584">
        <f t="shared" si="98"/>
        <v>0</v>
      </c>
      <c r="EF80" s="584">
        <f t="shared" si="98"/>
        <v>0</v>
      </c>
      <c r="EG80" s="584">
        <f t="shared" si="98"/>
        <v>0</v>
      </c>
      <c r="EH80" s="584">
        <f t="shared" si="98"/>
        <v>0</v>
      </c>
      <c r="EI80" s="584">
        <f>EI81+EI82</f>
        <v>0</v>
      </c>
      <c r="EJ80" s="584">
        <f>EJ81+EJ82</f>
        <v>0</v>
      </c>
      <c r="EK80" s="584">
        <f t="shared" si="98"/>
        <v>0</v>
      </c>
      <c r="EL80" s="584">
        <f t="shared" si="98"/>
        <v>0</v>
      </c>
      <c r="EM80" s="584">
        <f t="shared" si="98"/>
        <v>0</v>
      </c>
      <c r="EN80" s="584">
        <f t="shared" si="98"/>
        <v>0</v>
      </c>
      <c r="EO80" s="584">
        <f t="shared" si="98"/>
        <v>0</v>
      </c>
      <c r="EP80" s="584">
        <f t="shared" si="98"/>
        <v>0</v>
      </c>
      <c r="EQ80" s="584">
        <f t="shared" si="98"/>
        <v>0</v>
      </c>
      <c r="ER80" s="584">
        <f t="shared" si="98"/>
        <v>0</v>
      </c>
      <c r="ES80" s="584">
        <f t="shared" si="98"/>
        <v>0</v>
      </c>
      <c r="ET80" s="584">
        <f t="shared" si="98"/>
        <v>0</v>
      </c>
      <c r="EU80" s="584">
        <f t="shared" si="98"/>
        <v>0</v>
      </c>
      <c r="EV80" s="584">
        <f t="shared" si="98"/>
        <v>0</v>
      </c>
      <c r="EW80" s="584">
        <f t="shared" si="98"/>
        <v>0</v>
      </c>
      <c r="EX80" s="584">
        <f t="shared" si="98"/>
        <v>0</v>
      </c>
      <c r="EY80" s="584">
        <f>EY81+EY82</f>
        <v>0</v>
      </c>
      <c r="EZ80" s="584">
        <f>EZ81+EZ82</f>
        <v>0</v>
      </c>
      <c r="FA80" s="584">
        <f t="shared" si="98"/>
        <v>0</v>
      </c>
      <c r="FB80" s="584">
        <f t="shared" ref="FB80:GB80" si="99">FB81+FB82</f>
        <v>0</v>
      </c>
      <c r="FC80" s="584">
        <f t="shared" si="99"/>
        <v>0</v>
      </c>
      <c r="FD80" s="584">
        <f t="shared" si="99"/>
        <v>0</v>
      </c>
      <c r="FE80" s="584">
        <f t="shared" si="99"/>
        <v>0</v>
      </c>
      <c r="FF80" s="584">
        <f t="shared" si="99"/>
        <v>0</v>
      </c>
      <c r="FG80" s="584">
        <f t="shared" si="99"/>
        <v>0</v>
      </c>
      <c r="FH80" s="584">
        <f t="shared" si="99"/>
        <v>0</v>
      </c>
      <c r="FI80" s="584">
        <f t="shared" si="99"/>
        <v>0</v>
      </c>
      <c r="FJ80" s="584">
        <f t="shared" si="99"/>
        <v>0</v>
      </c>
      <c r="FK80" s="584">
        <f t="shared" si="99"/>
        <v>0</v>
      </c>
      <c r="FL80" s="584">
        <f t="shared" si="99"/>
        <v>0</v>
      </c>
      <c r="FM80" s="584">
        <f t="shared" si="99"/>
        <v>0</v>
      </c>
      <c r="FN80" s="584">
        <f t="shared" si="99"/>
        <v>0</v>
      </c>
      <c r="FO80" s="584">
        <f t="shared" si="99"/>
        <v>0</v>
      </c>
      <c r="FP80" s="584">
        <f t="shared" si="99"/>
        <v>0</v>
      </c>
      <c r="FQ80" s="584">
        <f t="shared" si="99"/>
        <v>0</v>
      </c>
      <c r="FR80" s="584">
        <f t="shared" si="99"/>
        <v>0</v>
      </c>
      <c r="FS80" s="584">
        <f t="shared" si="99"/>
        <v>0</v>
      </c>
      <c r="FT80" s="584">
        <f t="shared" si="99"/>
        <v>0</v>
      </c>
      <c r="FU80" s="584">
        <f t="shared" si="99"/>
        <v>0</v>
      </c>
      <c r="FV80" s="584">
        <f t="shared" si="99"/>
        <v>0</v>
      </c>
      <c r="FW80" s="584">
        <f t="shared" si="99"/>
        <v>0</v>
      </c>
      <c r="FX80" s="584">
        <f t="shared" si="99"/>
        <v>0</v>
      </c>
      <c r="FY80" s="584">
        <f t="shared" si="99"/>
        <v>0</v>
      </c>
      <c r="FZ80" s="584">
        <f t="shared" si="99"/>
        <v>0</v>
      </c>
      <c r="GA80" s="584">
        <f t="shared" si="99"/>
        <v>0</v>
      </c>
      <c r="GB80" s="584">
        <f t="shared" si="99"/>
        <v>0</v>
      </c>
      <c r="GC80" s="586">
        <f>CP80/C80</f>
        <v>1</v>
      </c>
      <c r="GD80" s="586"/>
      <c r="GE80" s="586">
        <f>CW80/J80</f>
        <v>1</v>
      </c>
      <c r="GF80" s="586"/>
      <c r="GG80" s="586"/>
    </row>
    <row r="81" spans="1:189" s="92" customFormat="1" ht="17.25" hidden="1" customHeight="1">
      <c r="A81" s="582"/>
      <c r="B81" s="583" t="s">
        <v>183</v>
      </c>
      <c r="C81" s="584">
        <f>D81+BE81+CI81</f>
        <v>0</v>
      </c>
      <c r="D81" s="584">
        <f>E81+J81</f>
        <v>0</v>
      </c>
      <c r="E81" s="584">
        <f>SUM(F81:I81)</f>
        <v>0</v>
      </c>
      <c r="F81" s="584"/>
      <c r="G81" s="584"/>
      <c r="H81" s="584"/>
      <c r="I81" s="584"/>
      <c r="J81" s="584">
        <f>SUM(K81:BD81)</f>
        <v>0</v>
      </c>
      <c r="K81" s="584"/>
      <c r="L81" s="584"/>
      <c r="M81" s="584"/>
      <c r="N81" s="584"/>
      <c r="O81" s="584"/>
      <c r="P81" s="584"/>
      <c r="Q81" s="584"/>
      <c r="R81" s="584"/>
      <c r="S81" s="584"/>
      <c r="T81" s="584"/>
      <c r="U81" s="584"/>
      <c r="V81" s="584"/>
      <c r="W81" s="584"/>
      <c r="X81" s="584"/>
      <c r="Y81" s="584"/>
      <c r="Z81" s="584"/>
      <c r="AA81" s="584"/>
      <c r="AB81" s="584"/>
      <c r="AC81" s="584"/>
      <c r="AD81" s="584"/>
      <c r="AE81" s="584"/>
      <c r="AF81" s="584"/>
      <c r="AG81" s="584"/>
      <c r="AH81" s="584"/>
      <c r="AI81" s="584"/>
      <c r="AJ81" s="584"/>
      <c r="AK81" s="584"/>
      <c r="AL81" s="584"/>
      <c r="AM81" s="584"/>
      <c r="AN81" s="584"/>
      <c r="AO81" s="584"/>
      <c r="AP81" s="584"/>
      <c r="AQ81" s="584"/>
      <c r="AR81" s="584"/>
      <c r="AS81" s="584"/>
      <c r="AT81" s="584"/>
      <c r="AU81" s="584"/>
      <c r="AV81" s="584"/>
      <c r="AW81" s="584"/>
      <c r="AX81" s="584"/>
      <c r="AY81" s="584"/>
      <c r="AZ81" s="584"/>
      <c r="BA81" s="584"/>
      <c r="BB81" s="584"/>
      <c r="BC81" s="584"/>
      <c r="BD81" s="584"/>
      <c r="BE81" s="584">
        <f>SUM(BF81:BG81)</f>
        <v>0</v>
      </c>
      <c r="BF81" s="584">
        <f>SUM(BH81:BI81)+BJ81+SUM(BL81:BN81)+BW81+CE81</f>
        <v>0</v>
      </c>
      <c r="BG81" s="584">
        <f>BK81+SUM(BO81:BV81)+SUM(BX81:CD81)+SUM(CF81:CH81)</f>
        <v>0</v>
      </c>
      <c r="BH81" s="584"/>
      <c r="BI81" s="584"/>
      <c r="BJ81" s="584"/>
      <c r="BK81" s="584"/>
      <c r="BL81" s="584"/>
      <c r="BM81" s="584"/>
      <c r="BN81" s="584"/>
      <c r="BO81" s="584"/>
      <c r="BP81" s="584"/>
      <c r="BQ81" s="584"/>
      <c r="BR81" s="584"/>
      <c r="BS81" s="584"/>
      <c r="BT81" s="584"/>
      <c r="BU81" s="584"/>
      <c r="BV81" s="584"/>
      <c r="BW81" s="584"/>
      <c r="BX81" s="584"/>
      <c r="BY81" s="584"/>
      <c r="BZ81" s="584"/>
      <c r="CA81" s="584"/>
      <c r="CB81" s="584"/>
      <c r="CC81" s="584"/>
      <c r="CD81" s="584"/>
      <c r="CE81" s="584"/>
      <c r="CF81" s="584"/>
      <c r="CG81" s="584"/>
      <c r="CH81" s="584"/>
      <c r="CI81" s="584">
        <f>SUM(CJ81:CK81)</f>
        <v>0</v>
      </c>
      <c r="CJ81" s="584">
        <f>SUM(CL81:CL81)</f>
        <v>0</v>
      </c>
      <c r="CK81" s="584">
        <f>SUM(CM81:CN81)</f>
        <v>0</v>
      </c>
      <c r="CL81" s="584"/>
      <c r="CM81" s="584"/>
      <c r="CN81" s="584"/>
      <c r="CO81" s="583" t="s">
        <v>183</v>
      </c>
      <c r="CP81" s="584">
        <f>CQ81+ER81+FV81+GB81</f>
        <v>0</v>
      </c>
      <c r="CQ81" s="584">
        <f>CR81+CW81</f>
        <v>0</v>
      </c>
      <c r="CR81" s="584">
        <f>SUM(CS81:CV81)</f>
        <v>0</v>
      </c>
      <c r="CS81" s="584"/>
      <c r="CT81" s="584"/>
      <c r="CU81" s="584"/>
      <c r="CV81" s="584"/>
      <c r="CW81" s="584">
        <f>SUM(CX81:EQ81)</f>
        <v>0</v>
      </c>
      <c r="CX81" s="584"/>
      <c r="CY81" s="584"/>
      <c r="CZ81" s="584"/>
      <c r="DA81" s="584"/>
      <c r="DB81" s="584"/>
      <c r="DC81" s="584"/>
      <c r="DD81" s="584"/>
      <c r="DE81" s="584"/>
      <c r="DF81" s="584"/>
      <c r="DG81" s="584"/>
      <c r="DH81" s="584"/>
      <c r="DI81" s="584"/>
      <c r="DJ81" s="584"/>
      <c r="DK81" s="584"/>
      <c r="DL81" s="584"/>
      <c r="DM81" s="584"/>
      <c r="DN81" s="584"/>
      <c r="DO81" s="584"/>
      <c r="DP81" s="584"/>
      <c r="DQ81" s="584"/>
      <c r="DR81" s="584"/>
      <c r="DS81" s="584"/>
      <c r="DT81" s="584"/>
      <c r="DU81" s="584"/>
      <c r="DV81" s="584"/>
      <c r="DW81" s="584"/>
      <c r="DX81" s="584"/>
      <c r="DY81" s="584"/>
      <c r="DZ81" s="584"/>
      <c r="EA81" s="584"/>
      <c r="EB81" s="584"/>
      <c r="EC81" s="584"/>
      <c r="ED81" s="584"/>
      <c r="EE81" s="584"/>
      <c r="EF81" s="584"/>
      <c r="EG81" s="584"/>
      <c r="EH81" s="584"/>
      <c r="EI81" s="584"/>
      <c r="EJ81" s="584"/>
      <c r="EK81" s="584"/>
      <c r="EL81" s="584"/>
      <c r="EM81" s="584"/>
      <c r="EN81" s="584"/>
      <c r="EO81" s="584"/>
      <c r="EP81" s="584"/>
      <c r="EQ81" s="584"/>
      <c r="ER81" s="584">
        <f>SUM(ES81:ET81)</f>
        <v>0</v>
      </c>
      <c r="ES81" s="584">
        <f>SUM(EU81:EV81)+EW81+SUM(EY81:FA81)+FJ81+FR81</f>
        <v>0</v>
      </c>
      <c r="ET81" s="584">
        <f>EX81+SUM(FB81:FI81)+SUM(FK81:FQ81)+SUM(FS81:FU81)</f>
        <v>0</v>
      </c>
      <c r="EU81" s="584"/>
      <c r="EV81" s="584"/>
      <c r="EW81" s="584"/>
      <c r="EX81" s="584"/>
      <c r="EY81" s="584"/>
      <c r="EZ81" s="584"/>
      <c r="FA81" s="584"/>
      <c r="FB81" s="584"/>
      <c r="FC81" s="584"/>
      <c r="FD81" s="584"/>
      <c r="FE81" s="584"/>
      <c r="FF81" s="584"/>
      <c r="FG81" s="584"/>
      <c r="FH81" s="584"/>
      <c r="FI81" s="584"/>
      <c r="FJ81" s="584"/>
      <c r="FK81" s="584"/>
      <c r="FL81" s="584"/>
      <c r="FM81" s="584"/>
      <c r="FN81" s="584"/>
      <c r="FO81" s="584"/>
      <c r="FP81" s="584"/>
      <c r="FQ81" s="584"/>
      <c r="FR81" s="584"/>
      <c r="FS81" s="584"/>
      <c r="FT81" s="584"/>
      <c r="FU81" s="584"/>
      <c r="FV81" s="584">
        <f>SUM(FW81:FX81)</f>
        <v>0</v>
      </c>
      <c r="FW81" s="584">
        <f>SUM(FY81:FY81)</f>
        <v>0</v>
      </c>
      <c r="FX81" s="584">
        <f>SUM(FZ81:GA81)</f>
        <v>0</v>
      </c>
      <c r="FY81" s="584"/>
      <c r="FZ81" s="584"/>
      <c r="GA81" s="584"/>
      <c r="GB81" s="584"/>
      <c r="GC81" s="586"/>
      <c r="GD81" s="586"/>
      <c r="GE81" s="586"/>
      <c r="GF81" s="586"/>
      <c r="GG81" s="586"/>
    </row>
    <row r="82" spans="1:189" s="92" customFormat="1" ht="17.25" hidden="1" customHeight="1">
      <c r="A82" s="582"/>
      <c r="B82" s="583" t="s">
        <v>184</v>
      </c>
      <c r="C82" s="584">
        <f>D82+BE82+CI82</f>
        <v>3249020000</v>
      </c>
      <c r="D82" s="584">
        <f>E82+J82</f>
        <v>3249020000</v>
      </c>
      <c r="E82" s="584">
        <f>SUM(F82:I82)</f>
        <v>0</v>
      </c>
      <c r="F82" s="584"/>
      <c r="G82" s="584"/>
      <c r="H82" s="584"/>
      <c r="I82" s="584"/>
      <c r="J82" s="584">
        <f>SUM(K82:BD82)</f>
        <v>3249020000</v>
      </c>
      <c r="K82" s="584"/>
      <c r="L82" s="584">
        <v>3249020000</v>
      </c>
      <c r="M82" s="584"/>
      <c r="N82" s="584"/>
      <c r="O82" s="584"/>
      <c r="P82" s="584"/>
      <c r="Q82" s="584"/>
      <c r="R82" s="584"/>
      <c r="S82" s="584"/>
      <c r="T82" s="584"/>
      <c r="U82" s="584"/>
      <c r="V82" s="584"/>
      <c r="W82" s="584"/>
      <c r="X82" s="584"/>
      <c r="Y82" s="584"/>
      <c r="Z82" s="584"/>
      <c r="AA82" s="584"/>
      <c r="AB82" s="584"/>
      <c r="AC82" s="584"/>
      <c r="AD82" s="584"/>
      <c r="AE82" s="584"/>
      <c r="AF82" s="584"/>
      <c r="AG82" s="584"/>
      <c r="AH82" s="584"/>
      <c r="AI82" s="584"/>
      <c r="AJ82" s="584"/>
      <c r="AK82" s="584"/>
      <c r="AL82" s="584"/>
      <c r="AM82" s="584"/>
      <c r="AN82" s="584"/>
      <c r="AO82" s="584"/>
      <c r="AP82" s="584"/>
      <c r="AQ82" s="584"/>
      <c r="AR82" s="584"/>
      <c r="AS82" s="584"/>
      <c r="AT82" s="584"/>
      <c r="AU82" s="584"/>
      <c r="AV82" s="584"/>
      <c r="AW82" s="584"/>
      <c r="AX82" s="584"/>
      <c r="AY82" s="584"/>
      <c r="AZ82" s="584"/>
      <c r="BA82" s="584"/>
      <c r="BB82" s="584"/>
      <c r="BC82" s="584"/>
      <c r="BD82" s="584"/>
      <c r="BE82" s="584">
        <f>SUM(BF82:BG82)</f>
        <v>0</v>
      </c>
      <c r="BF82" s="584">
        <f>SUM(BH82:BI82)+BJ82+SUM(BL82:BN82)+BW82+CE82</f>
        <v>0</v>
      </c>
      <c r="BG82" s="584">
        <f>BK82+SUM(BO82:BV82)+SUM(BX82:CD82)+SUM(CF82:CH82)</f>
        <v>0</v>
      </c>
      <c r="BH82" s="584"/>
      <c r="BI82" s="584"/>
      <c r="BJ82" s="584"/>
      <c r="BK82" s="584"/>
      <c r="BL82" s="584"/>
      <c r="BM82" s="584"/>
      <c r="BN82" s="584"/>
      <c r="BO82" s="584"/>
      <c r="BP82" s="584"/>
      <c r="BQ82" s="584"/>
      <c r="BR82" s="584"/>
      <c r="BS82" s="584"/>
      <c r="BT82" s="584"/>
      <c r="BU82" s="584"/>
      <c r="BV82" s="584"/>
      <c r="BW82" s="584"/>
      <c r="BX82" s="584"/>
      <c r="BY82" s="584"/>
      <c r="BZ82" s="584"/>
      <c r="CA82" s="584"/>
      <c r="CB82" s="584"/>
      <c r="CC82" s="584"/>
      <c r="CD82" s="584"/>
      <c r="CE82" s="584"/>
      <c r="CF82" s="584"/>
      <c r="CG82" s="584"/>
      <c r="CH82" s="584"/>
      <c r="CI82" s="584">
        <f>SUM(CJ82:CK82)</f>
        <v>0</v>
      </c>
      <c r="CJ82" s="584">
        <f>SUM(CL82:CL82)</f>
        <v>0</v>
      </c>
      <c r="CK82" s="584">
        <f>SUM(CM82:CN82)</f>
        <v>0</v>
      </c>
      <c r="CL82" s="584"/>
      <c r="CM82" s="584"/>
      <c r="CN82" s="584"/>
      <c r="CO82" s="583" t="s">
        <v>184</v>
      </c>
      <c r="CP82" s="584">
        <f>CQ82+ER82+FV82+GB82</f>
        <v>3249020000</v>
      </c>
      <c r="CQ82" s="584">
        <f>CR82+CW82</f>
        <v>3249020000</v>
      </c>
      <c r="CR82" s="584">
        <f>SUM(CS82:CV82)</f>
        <v>0</v>
      </c>
      <c r="CS82" s="584"/>
      <c r="CT82" s="584"/>
      <c r="CU82" s="584"/>
      <c r="CV82" s="584"/>
      <c r="CW82" s="584">
        <f>SUM(CX82:EQ82)</f>
        <v>3249020000</v>
      </c>
      <c r="CX82" s="584"/>
      <c r="CY82" s="584">
        <v>3249020000</v>
      </c>
      <c r="CZ82" s="584"/>
      <c r="DA82" s="584"/>
      <c r="DB82" s="584"/>
      <c r="DC82" s="584"/>
      <c r="DD82" s="584"/>
      <c r="DE82" s="584"/>
      <c r="DF82" s="584"/>
      <c r="DG82" s="584"/>
      <c r="DH82" s="584"/>
      <c r="DI82" s="584"/>
      <c r="DJ82" s="584"/>
      <c r="DK82" s="584"/>
      <c r="DL82" s="584"/>
      <c r="DM82" s="584"/>
      <c r="DN82" s="584"/>
      <c r="DO82" s="584"/>
      <c r="DP82" s="584"/>
      <c r="DQ82" s="584"/>
      <c r="DR82" s="584"/>
      <c r="DS82" s="584"/>
      <c r="DT82" s="584"/>
      <c r="DU82" s="584"/>
      <c r="DV82" s="584"/>
      <c r="DW82" s="584"/>
      <c r="DX82" s="584"/>
      <c r="DY82" s="584"/>
      <c r="DZ82" s="584"/>
      <c r="EA82" s="584"/>
      <c r="EB82" s="584"/>
      <c r="EC82" s="584"/>
      <c r="ED82" s="584"/>
      <c r="EE82" s="584"/>
      <c r="EF82" s="584"/>
      <c r="EG82" s="584"/>
      <c r="EH82" s="584"/>
      <c r="EI82" s="584"/>
      <c r="EJ82" s="584"/>
      <c r="EK82" s="584"/>
      <c r="EL82" s="584"/>
      <c r="EM82" s="584"/>
      <c r="EN82" s="584"/>
      <c r="EO82" s="584"/>
      <c r="EP82" s="584"/>
      <c r="EQ82" s="584"/>
      <c r="ER82" s="584">
        <f>SUM(ES82:ET82)</f>
        <v>0</v>
      </c>
      <c r="ES82" s="584">
        <f>SUM(EU82:EV82)+EW82+SUM(EY82:FA82)+FJ82+FR82</f>
        <v>0</v>
      </c>
      <c r="ET82" s="584">
        <f>EX82+SUM(FB82:FI82)+SUM(FK82:FQ82)+SUM(FS82:FU82)</f>
        <v>0</v>
      </c>
      <c r="EU82" s="584"/>
      <c r="EV82" s="584"/>
      <c r="EW82" s="584"/>
      <c r="EX82" s="584"/>
      <c r="EY82" s="584"/>
      <c r="EZ82" s="584"/>
      <c r="FA82" s="584"/>
      <c r="FB82" s="584"/>
      <c r="FC82" s="584"/>
      <c r="FD82" s="584"/>
      <c r="FE82" s="584"/>
      <c r="FF82" s="584"/>
      <c r="FG82" s="584"/>
      <c r="FH82" s="584"/>
      <c r="FI82" s="584"/>
      <c r="FJ82" s="584"/>
      <c r="FK82" s="584"/>
      <c r="FL82" s="584"/>
      <c r="FM82" s="584"/>
      <c r="FN82" s="584"/>
      <c r="FO82" s="584"/>
      <c r="FP82" s="584"/>
      <c r="FQ82" s="584"/>
      <c r="FR82" s="584"/>
      <c r="FS82" s="584"/>
      <c r="FT82" s="584"/>
      <c r="FU82" s="584"/>
      <c r="FV82" s="584">
        <f>SUM(FW82:FX82)</f>
        <v>0</v>
      </c>
      <c r="FW82" s="584">
        <f>SUM(FY82:FY82)</f>
        <v>0</v>
      </c>
      <c r="FX82" s="584">
        <f>SUM(FZ82:GA82)</f>
        <v>0</v>
      </c>
      <c r="FY82" s="584"/>
      <c r="FZ82" s="584"/>
      <c r="GA82" s="584"/>
      <c r="GB82" s="584"/>
      <c r="GC82" s="586">
        <f>CP82/C82</f>
        <v>1</v>
      </c>
      <c r="GD82" s="586"/>
      <c r="GE82" s="586">
        <f>CW82/J82</f>
        <v>1</v>
      </c>
      <c r="GF82" s="586"/>
      <c r="GG82" s="586"/>
    </row>
    <row r="83" spans="1:189" s="92" customFormat="1" ht="17.25" customHeight="1">
      <c r="A83" s="582">
        <v>24</v>
      </c>
      <c r="B83" s="583" t="s">
        <v>328</v>
      </c>
      <c r="C83" s="584">
        <f t="shared" ref="C83:AU83" si="100">C84+C85</f>
        <v>6991600000</v>
      </c>
      <c r="D83" s="584">
        <f t="shared" si="100"/>
        <v>6991600000</v>
      </c>
      <c r="E83" s="584">
        <f t="shared" si="100"/>
        <v>0</v>
      </c>
      <c r="F83" s="584">
        <f t="shared" si="100"/>
        <v>0</v>
      </c>
      <c r="G83" s="584">
        <f t="shared" si="100"/>
        <v>0</v>
      </c>
      <c r="H83" s="584">
        <f t="shared" si="100"/>
        <v>0</v>
      </c>
      <c r="I83" s="584">
        <f t="shared" si="100"/>
        <v>0</v>
      </c>
      <c r="J83" s="584">
        <f t="shared" si="100"/>
        <v>6991600000</v>
      </c>
      <c r="K83" s="584">
        <f t="shared" si="100"/>
        <v>6991600000</v>
      </c>
      <c r="L83" s="584">
        <f t="shared" si="100"/>
        <v>0</v>
      </c>
      <c r="M83" s="584">
        <f t="shared" si="100"/>
        <v>0</v>
      </c>
      <c r="N83" s="584">
        <f t="shared" si="100"/>
        <v>0</v>
      </c>
      <c r="O83" s="584">
        <f t="shared" si="100"/>
        <v>0</v>
      </c>
      <c r="P83" s="584">
        <f t="shared" si="100"/>
        <v>0</v>
      </c>
      <c r="Q83" s="584">
        <f t="shared" si="100"/>
        <v>0</v>
      </c>
      <c r="R83" s="584">
        <f t="shared" si="100"/>
        <v>0</v>
      </c>
      <c r="S83" s="584">
        <f t="shared" si="100"/>
        <v>0</v>
      </c>
      <c r="T83" s="584">
        <f t="shared" si="100"/>
        <v>0</v>
      </c>
      <c r="U83" s="584">
        <f t="shared" si="100"/>
        <v>0</v>
      </c>
      <c r="V83" s="584">
        <f t="shared" si="100"/>
        <v>0</v>
      </c>
      <c r="W83" s="584">
        <f t="shared" si="100"/>
        <v>0</v>
      </c>
      <c r="X83" s="584">
        <f t="shared" si="100"/>
        <v>0</v>
      </c>
      <c r="Y83" s="584">
        <f t="shared" si="100"/>
        <v>0</v>
      </c>
      <c r="Z83" s="584">
        <f t="shared" si="100"/>
        <v>0</v>
      </c>
      <c r="AA83" s="584">
        <f t="shared" si="100"/>
        <v>0</v>
      </c>
      <c r="AB83" s="584">
        <f t="shared" si="100"/>
        <v>0</v>
      </c>
      <c r="AC83" s="584">
        <f t="shared" si="100"/>
        <v>0</v>
      </c>
      <c r="AD83" s="584">
        <f t="shared" si="100"/>
        <v>0</v>
      </c>
      <c r="AE83" s="584">
        <f t="shared" si="100"/>
        <v>0</v>
      </c>
      <c r="AF83" s="584">
        <f t="shared" si="100"/>
        <v>0</v>
      </c>
      <c r="AG83" s="584">
        <f t="shared" si="100"/>
        <v>0</v>
      </c>
      <c r="AH83" s="584">
        <f t="shared" si="100"/>
        <v>0</v>
      </c>
      <c r="AI83" s="584">
        <f t="shared" si="100"/>
        <v>0</v>
      </c>
      <c r="AJ83" s="584">
        <f t="shared" si="100"/>
        <v>0</v>
      </c>
      <c r="AK83" s="584">
        <f t="shared" si="100"/>
        <v>0</v>
      </c>
      <c r="AL83" s="584">
        <f t="shared" si="100"/>
        <v>0</v>
      </c>
      <c r="AM83" s="584">
        <f t="shared" si="100"/>
        <v>0</v>
      </c>
      <c r="AN83" s="584">
        <f t="shared" si="100"/>
        <v>0</v>
      </c>
      <c r="AO83" s="584">
        <f t="shared" si="100"/>
        <v>0</v>
      </c>
      <c r="AP83" s="584">
        <f t="shared" si="100"/>
        <v>0</v>
      </c>
      <c r="AQ83" s="584">
        <f t="shared" si="100"/>
        <v>0</v>
      </c>
      <c r="AR83" s="584">
        <f t="shared" si="100"/>
        <v>0</v>
      </c>
      <c r="AS83" s="584">
        <f t="shared" si="100"/>
        <v>0</v>
      </c>
      <c r="AT83" s="584">
        <f t="shared" si="100"/>
        <v>0</v>
      </c>
      <c r="AU83" s="584">
        <f t="shared" si="100"/>
        <v>0</v>
      </c>
      <c r="AV83" s="584">
        <f>AV84+AV85</f>
        <v>0</v>
      </c>
      <c r="AW83" s="584">
        <f>AW84+AW85</f>
        <v>0</v>
      </c>
      <c r="AX83" s="584">
        <f t="shared" ref="AX83:CN83" si="101">AX84+AX85</f>
        <v>0</v>
      </c>
      <c r="AY83" s="584">
        <f t="shared" si="101"/>
        <v>0</v>
      </c>
      <c r="AZ83" s="584">
        <f t="shared" si="101"/>
        <v>0</v>
      </c>
      <c r="BA83" s="584">
        <f t="shared" si="101"/>
        <v>0</v>
      </c>
      <c r="BB83" s="584">
        <f t="shared" si="101"/>
        <v>0</v>
      </c>
      <c r="BC83" s="584">
        <f t="shared" si="101"/>
        <v>0</v>
      </c>
      <c r="BD83" s="584">
        <f t="shared" si="101"/>
        <v>0</v>
      </c>
      <c r="BE83" s="584">
        <f t="shared" si="101"/>
        <v>0</v>
      </c>
      <c r="BF83" s="584">
        <f t="shared" si="101"/>
        <v>0</v>
      </c>
      <c r="BG83" s="584">
        <f t="shared" si="101"/>
        <v>0</v>
      </c>
      <c r="BH83" s="584">
        <f t="shared" si="101"/>
        <v>0</v>
      </c>
      <c r="BI83" s="584">
        <f t="shared" si="101"/>
        <v>0</v>
      </c>
      <c r="BJ83" s="584">
        <f t="shared" si="101"/>
        <v>0</v>
      </c>
      <c r="BK83" s="584">
        <f t="shared" si="101"/>
        <v>0</v>
      </c>
      <c r="BL83" s="584">
        <f>BL84+BL85</f>
        <v>0</v>
      </c>
      <c r="BM83" s="584">
        <f>BM84+BM85</f>
        <v>0</v>
      </c>
      <c r="BN83" s="584">
        <f t="shared" si="101"/>
        <v>0</v>
      </c>
      <c r="BO83" s="584">
        <f t="shared" si="101"/>
        <v>0</v>
      </c>
      <c r="BP83" s="584">
        <f t="shared" si="101"/>
        <v>0</v>
      </c>
      <c r="BQ83" s="584">
        <f t="shared" si="101"/>
        <v>0</v>
      </c>
      <c r="BR83" s="584">
        <f t="shared" si="101"/>
        <v>0</v>
      </c>
      <c r="BS83" s="584">
        <f t="shared" si="101"/>
        <v>0</v>
      </c>
      <c r="BT83" s="584">
        <f t="shared" si="101"/>
        <v>0</v>
      </c>
      <c r="BU83" s="584">
        <f t="shared" si="101"/>
        <v>0</v>
      </c>
      <c r="BV83" s="584">
        <f t="shared" si="101"/>
        <v>0</v>
      </c>
      <c r="BW83" s="584">
        <f t="shared" si="101"/>
        <v>0</v>
      </c>
      <c r="BX83" s="584">
        <f t="shared" si="101"/>
        <v>0</v>
      </c>
      <c r="BY83" s="584">
        <f t="shared" si="101"/>
        <v>0</v>
      </c>
      <c r="BZ83" s="584">
        <f t="shared" si="101"/>
        <v>0</v>
      </c>
      <c r="CA83" s="584">
        <f t="shared" si="101"/>
        <v>0</v>
      </c>
      <c r="CB83" s="584">
        <f t="shared" si="101"/>
        <v>0</v>
      </c>
      <c r="CC83" s="584">
        <f t="shared" si="101"/>
        <v>0</v>
      </c>
      <c r="CD83" s="584">
        <f t="shared" si="101"/>
        <v>0</v>
      </c>
      <c r="CE83" s="584">
        <f t="shared" si="101"/>
        <v>0</v>
      </c>
      <c r="CF83" s="584">
        <f t="shared" si="101"/>
        <v>0</v>
      </c>
      <c r="CG83" s="584">
        <f t="shared" si="101"/>
        <v>0</v>
      </c>
      <c r="CH83" s="584">
        <f t="shared" si="101"/>
        <v>0</v>
      </c>
      <c r="CI83" s="584">
        <f t="shared" si="101"/>
        <v>0</v>
      </c>
      <c r="CJ83" s="584">
        <f t="shared" si="101"/>
        <v>0</v>
      </c>
      <c r="CK83" s="584">
        <f t="shared" si="101"/>
        <v>0</v>
      </c>
      <c r="CL83" s="584">
        <f t="shared" si="101"/>
        <v>0</v>
      </c>
      <c r="CM83" s="584">
        <f t="shared" si="101"/>
        <v>0</v>
      </c>
      <c r="CN83" s="584">
        <f t="shared" si="101"/>
        <v>0</v>
      </c>
      <c r="CO83" s="583" t="s">
        <v>328</v>
      </c>
      <c r="CP83" s="584">
        <f t="shared" ref="CP83:FA83" si="102">CP84+CP85</f>
        <v>6991600000</v>
      </c>
      <c r="CQ83" s="584">
        <f t="shared" si="102"/>
        <v>6991600000</v>
      </c>
      <c r="CR83" s="584">
        <f t="shared" si="102"/>
        <v>0</v>
      </c>
      <c r="CS83" s="584">
        <f t="shared" si="102"/>
        <v>0</v>
      </c>
      <c r="CT83" s="584">
        <f t="shared" si="102"/>
        <v>0</v>
      </c>
      <c r="CU83" s="584">
        <f t="shared" si="102"/>
        <v>0</v>
      </c>
      <c r="CV83" s="584">
        <f t="shared" si="102"/>
        <v>0</v>
      </c>
      <c r="CW83" s="584">
        <f t="shared" si="102"/>
        <v>6991600000</v>
      </c>
      <c r="CX83" s="584">
        <f t="shared" si="102"/>
        <v>6991600000</v>
      </c>
      <c r="CY83" s="584">
        <f t="shared" si="102"/>
        <v>0</v>
      </c>
      <c r="CZ83" s="584">
        <f t="shared" si="102"/>
        <v>0</v>
      </c>
      <c r="DA83" s="584">
        <f t="shared" si="102"/>
        <v>0</v>
      </c>
      <c r="DB83" s="584">
        <f t="shared" si="102"/>
        <v>0</v>
      </c>
      <c r="DC83" s="584">
        <f t="shared" si="102"/>
        <v>0</v>
      </c>
      <c r="DD83" s="584">
        <f t="shared" si="102"/>
        <v>0</v>
      </c>
      <c r="DE83" s="584">
        <f t="shared" si="102"/>
        <v>0</v>
      </c>
      <c r="DF83" s="584">
        <f t="shared" si="102"/>
        <v>0</v>
      </c>
      <c r="DG83" s="584">
        <f t="shared" si="102"/>
        <v>0</v>
      </c>
      <c r="DH83" s="584">
        <f t="shared" si="102"/>
        <v>0</v>
      </c>
      <c r="DI83" s="584">
        <f t="shared" si="102"/>
        <v>0</v>
      </c>
      <c r="DJ83" s="584">
        <f t="shared" si="102"/>
        <v>0</v>
      </c>
      <c r="DK83" s="584">
        <f t="shared" si="102"/>
        <v>0</v>
      </c>
      <c r="DL83" s="584">
        <f t="shared" si="102"/>
        <v>0</v>
      </c>
      <c r="DM83" s="584">
        <f>DM84+DM85</f>
        <v>0</v>
      </c>
      <c r="DN83" s="584">
        <f t="shared" si="102"/>
        <v>0</v>
      </c>
      <c r="DO83" s="584">
        <f t="shared" si="102"/>
        <v>0</v>
      </c>
      <c r="DP83" s="584">
        <f t="shared" si="102"/>
        <v>0</v>
      </c>
      <c r="DQ83" s="584">
        <f t="shared" si="102"/>
        <v>0</v>
      </c>
      <c r="DR83" s="584">
        <f t="shared" si="102"/>
        <v>0</v>
      </c>
      <c r="DS83" s="584">
        <f t="shared" si="102"/>
        <v>0</v>
      </c>
      <c r="DT83" s="584">
        <f t="shared" si="102"/>
        <v>0</v>
      </c>
      <c r="DU83" s="584">
        <f t="shared" si="102"/>
        <v>0</v>
      </c>
      <c r="DV83" s="584">
        <f t="shared" si="102"/>
        <v>0</v>
      </c>
      <c r="DW83" s="584">
        <f t="shared" si="102"/>
        <v>0</v>
      </c>
      <c r="DX83" s="584">
        <f t="shared" si="102"/>
        <v>0</v>
      </c>
      <c r="DY83" s="584">
        <f t="shared" si="102"/>
        <v>0</v>
      </c>
      <c r="DZ83" s="584">
        <f t="shared" si="102"/>
        <v>0</v>
      </c>
      <c r="EA83" s="584">
        <f t="shared" si="102"/>
        <v>0</v>
      </c>
      <c r="EB83" s="584">
        <f t="shared" si="102"/>
        <v>0</v>
      </c>
      <c r="EC83" s="584">
        <f t="shared" si="102"/>
        <v>0</v>
      </c>
      <c r="ED83" s="584">
        <f t="shared" si="102"/>
        <v>0</v>
      </c>
      <c r="EE83" s="584">
        <f t="shared" si="102"/>
        <v>0</v>
      </c>
      <c r="EF83" s="584">
        <f t="shared" si="102"/>
        <v>0</v>
      </c>
      <c r="EG83" s="584">
        <f t="shared" si="102"/>
        <v>0</v>
      </c>
      <c r="EH83" s="584">
        <f t="shared" si="102"/>
        <v>0</v>
      </c>
      <c r="EI83" s="584">
        <f>EI84+EI85</f>
        <v>0</v>
      </c>
      <c r="EJ83" s="584">
        <f>EJ84+EJ85</f>
        <v>0</v>
      </c>
      <c r="EK83" s="584">
        <f t="shared" si="102"/>
        <v>0</v>
      </c>
      <c r="EL83" s="584">
        <f t="shared" si="102"/>
        <v>0</v>
      </c>
      <c r="EM83" s="584">
        <f t="shared" si="102"/>
        <v>0</v>
      </c>
      <c r="EN83" s="584">
        <f t="shared" si="102"/>
        <v>0</v>
      </c>
      <c r="EO83" s="584">
        <f t="shared" si="102"/>
        <v>0</v>
      </c>
      <c r="EP83" s="584">
        <f t="shared" si="102"/>
        <v>0</v>
      </c>
      <c r="EQ83" s="584">
        <f t="shared" si="102"/>
        <v>0</v>
      </c>
      <c r="ER83" s="584">
        <f t="shared" si="102"/>
        <v>0</v>
      </c>
      <c r="ES83" s="584">
        <f t="shared" si="102"/>
        <v>0</v>
      </c>
      <c r="ET83" s="584">
        <f t="shared" si="102"/>
        <v>0</v>
      </c>
      <c r="EU83" s="584">
        <f t="shared" si="102"/>
        <v>0</v>
      </c>
      <c r="EV83" s="584">
        <f t="shared" si="102"/>
        <v>0</v>
      </c>
      <c r="EW83" s="584">
        <f t="shared" si="102"/>
        <v>0</v>
      </c>
      <c r="EX83" s="584">
        <f t="shared" si="102"/>
        <v>0</v>
      </c>
      <c r="EY83" s="584">
        <f>EY84+EY85</f>
        <v>0</v>
      </c>
      <c r="EZ83" s="584">
        <f>EZ84+EZ85</f>
        <v>0</v>
      </c>
      <c r="FA83" s="584">
        <f t="shared" si="102"/>
        <v>0</v>
      </c>
      <c r="FB83" s="584">
        <f t="shared" ref="FB83:GB83" si="103">FB84+FB85</f>
        <v>0</v>
      </c>
      <c r="FC83" s="584">
        <f t="shared" si="103"/>
        <v>0</v>
      </c>
      <c r="FD83" s="584">
        <f t="shared" si="103"/>
        <v>0</v>
      </c>
      <c r="FE83" s="584">
        <f t="shared" si="103"/>
        <v>0</v>
      </c>
      <c r="FF83" s="584">
        <f t="shared" si="103"/>
        <v>0</v>
      </c>
      <c r="FG83" s="584">
        <f t="shared" si="103"/>
        <v>0</v>
      </c>
      <c r="FH83" s="584">
        <f t="shared" si="103"/>
        <v>0</v>
      </c>
      <c r="FI83" s="584">
        <f t="shared" si="103"/>
        <v>0</v>
      </c>
      <c r="FJ83" s="584">
        <f t="shared" si="103"/>
        <v>0</v>
      </c>
      <c r="FK83" s="584">
        <f t="shared" si="103"/>
        <v>0</v>
      </c>
      <c r="FL83" s="584">
        <f t="shared" si="103"/>
        <v>0</v>
      </c>
      <c r="FM83" s="584">
        <f t="shared" si="103"/>
        <v>0</v>
      </c>
      <c r="FN83" s="584">
        <f t="shared" si="103"/>
        <v>0</v>
      </c>
      <c r="FO83" s="584">
        <f t="shared" si="103"/>
        <v>0</v>
      </c>
      <c r="FP83" s="584">
        <f t="shared" si="103"/>
        <v>0</v>
      </c>
      <c r="FQ83" s="584">
        <f t="shared" si="103"/>
        <v>0</v>
      </c>
      <c r="FR83" s="584">
        <f t="shared" si="103"/>
        <v>0</v>
      </c>
      <c r="FS83" s="584">
        <f t="shared" si="103"/>
        <v>0</v>
      </c>
      <c r="FT83" s="584">
        <f t="shared" si="103"/>
        <v>0</v>
      </c>
      <c r="FU83" s="584">
        <f t="shared" si="103"/>
        <v>0</v>
      </c>
      <c r="FV83" s="584">
        <f t="shared" si="103"/>
        <v>0</v>
      </c>
      <c r="FW83" s="584">
        <f t="shared" si="103"/>
        <v>0</v>
      </c>
      <c r="FX83" s="584">
        <f t="shared" si="103"/>
        <v>0</v>
      </c>
      <c r="FY83" s="584">
        <f t="shared" si="103"/>
        <v>0</v>
      </c>
      <c r="FZ83" s="584">
        <f t="shared" si="103"/>
        <v>0</v>
      </c>
      <c r="GA83" s="584">
        <f t="shared" si="103"/>
        <v>0</v>
      </c>
      <c r="GB83" s="584">
        <f t="shared" si="103"/>
        <v>0</v>
      </c>
      <c r="GC83" s="586">
        <f>CP83/C83</f>
        <v>1</v>
      </c>
      <c r="GD83" s="586"/>
      <c r="GE83" s="586">
        <f>CW83/J83</f>
        <v>1</v>
      </c>
      <c r="GF83" s="586"/>
      <c r="GG83" s="586"/>
    </row>
    <row r="84" spans="1:189" s="92" customFormat="1" ht="17.25" hidden="1" customHeight="1">
      <c r="A84" s="582"/>
      <c r="B84" s="583" t="s">
        <v>183</v>
      </c>
      <c r="C84" s="584">
        <f>D84+BE84+CI84</f>
        <v>0</v>
      </c>
      <c r="D84" s="584">
        <f>E84+J84</f>
        <v>0</v>
      </c>
      <c r="E84" s="584">
        <f>SUM(F84:I84)</f>
        <v>0</v>
      </c>
      <c r="F84" s="584"/>
      <c r="G84" s="584"/>
      <c r="H84" s="584"/>
      <c r="I84" s="584"/>
      <c r="J84" s="584">
        <f>SUM(K84:BD84)</f>
        <v>0</v>
      </c>
      <c r="K84" s="584"/>
      <c r="L84" s="584"/>
      <c r="M84" s="584"/>
      <c r="N84" s="584"/>
      <c r="O84" s="584"/>
      <c r="P84" s="584"/>
      <c r="Q84" s="584"/>
      <c r="R84" s="584"/>
      <c r="S84" s="584"/>
      <c r="T84" s="584"/>
      <c r="U84" s="584"/>
      <c r="V84" s="584"/>
      <c r="W84" s="584"/>
      <c r="X84" s="584"/>
      <c r="Y84" s="584"/>
      <c r="Z84" s="584"/>
      <c r="AA84" s="584"/>
      <c r="AB84" s="584"/>
      <c r="AC84" s="584"/>
      <c r="AD84" s="584"/>
      <c r="AE84" s="584"/>
      <c r="AF84" s="584"/>
      <c r="AG84" s="584"/>
      <c r="AH84" s="584"/>
      <c r="AI84" s="584"/>
      <c r="AJ84" s="584"/>
      <c r="AK84" s="584"/>
      <c r="AL84" s="584"/>
      <c r="AM84" s="584"/>
      <c r="AN84" s="584"/>
      <c r="AO84" s="584"/>
      <c r="AP84" s="584"/>
      <c r="AQ84" s="584"/>
      <c r="AR84" s="584"/>
      <c r="AS84" s="584"/>
      <c r="AT84" s="584"/>
      <c r="AU84" s="584"/>
      <c r="AV84" s="584"/>
      <c r="AW84" s="584"/>
      <c r="AX84" s="584"/>
      <c r="AY84" s="584"/>
      <c r="AZ84" s="584"/>
      <c r="BA84" s="584"/>
      <c r="BB84" s="584"/>
      <c r="BC84" s="584"/>
      <c r="BD84" s="584"/>
      <c r="BE84" s="584">
        <f>SUM(BF84:BG84)</f>
        <v>0</v>
      </c>
      <c r="BF84" s="584">
        <f>SUM(BH84:BI84)+BJ84+SUM(BL84:BN84)+BW84+CE84</f>
        <v>0</v>
      </c>
      <c r="BG84" s="584">
        <f>BK84+SUM(BO84:BV84)+SUM(BX84:CD84)+SUM(CF84:CH84)</f>
        <v>0</v>
      </c>
      <c r="BH84" s="584"/>
      <c r="BI84" s="584"/>
      <c r="BJ84" s="584"/>
      <c r="BK84" s="584"/>
      <c r="BL84" s="584"/>
      <c r="BM84" s="584"/>
      <c r="BN84" s="584"/>
      <c r="BO84" s="584"/>
      <c r="BP84" s="584"/>
      <c r="BQ84" s="584"/>
      <c r="BR84" s="584"/>
      <c r="BS84" s="584"/>
      <c r="BT84" s="584"/>
      <c r="BU84" s="584"/>
      <c r="BV84" s="584"/>
      <c r="BW84" s="584"/>
      <c r="BX84" s="584"/>
      <c r="BY84" s="584"/>
      <c r="BZ84" s="584"/>
      <c r="CA84" s="584"/>
      <c r="CB84" s="584"/>
      <c r="CC84" s="584"/>
      <c r="CD84" s="584"/>
      <c r="CE84" s="584"/>
      <c r="CF84" s="584"/>
      <c r="CG84" s="584"/>
      <c r="CH84" s="584"/>
      <c r="CI84" s="584">
        <f>SUM(CJ84:CK84)</f>
        <v>0</v>
      </c>
      <c r="CJ84" s="584">
        <f>SUM(CL84:CL84)</f>
        <v>0</v>
      </c>
      <c r="CK84" s="584">
        <f>SUM(CM84:CN84)</f>
        <v>0</v>
      </c>
      <c r="CL84" s="584"/>
      <c r="CM84" s="584"/>
      <c r="CN84" s="584"/>
      <c r="CO84" s="583" t="s">
        <v>183</v>
      </c>
      <c r="CP84" s="584">
        <f>CQ84+ER84+FV84+GB84</f>
        <v>0</v>
      </c>
      <c r="CQ84" s="584">
        <f>CR84+CW84</f>
        <v>0</v>
      </c>
      <c r="CR84" s="584">
        <f>SUM(CS84:CV84)</f>
        <v>0</v>
      </c>
      <c r="CS84" s="584"/>
      <c r="CT84" s="584"/>
      <c r="CU84" s="584"/>
      <c r="CV84" s="584"/>
      <c r="CW84" s="584">
        <f>SUM(CX84:EQ84)</f>
        <v>0</v>
      </c>
      <c r="CX84" s="584"/>
      <c r="CY84" s="584"/>
      <c r="CZ84" s="584"/>
      <c r="DA84" s="584"/>
      <c r="DB84" s="584"/>
      <c r="DC84" s="584"/>
      <c r="DD84" s="584"/>
      <c r="DE84" s="584"/>
      <c r="DF84" s="584"/>
      <c r="DG84" s="584"/>
      <c r="DH84" s="584"/>
      <c r="DI84" s="584"/>
      <c r="DJ84" s="584"/>
      <c r="DK84" s="584"/>
      <c r="DL84" s="584"/>
      <c r="DM84" s="584"/>
      <c r="DN84" s="584"/>
      <c r="DO84" s="584"/>
      <c r="DP84" s="584"/>
      <c r="DQ84" s="584"/>
      <c r="DR84" s="584"/>
      <c r="DS84" s="584"/>
      <c r="DT84" s="584"/>
      <c r="DU84" s="584"/>
      <c r="DV84" s="584"/>
      <c r="DW84" s="584"/>
      <c r="DX84" s="584"/>
      <c r="DY84" s="584"/>
      <c r="DZ84" s="584"/>
      <c r="EA84" s="584"/>
      <c r="EB84" s="584"/>
      <c r="EC84" s="584"/>
      <c r="ED84" s="584"/>
      <c r="EE84" s="584"/>
      <c r="EF84" s="584"/>
      <c r="EG84" s="584"/>
      <c r="EH84" s="584"/>
      <c r="EI84" s="584"/>
      <c r="EJ84" s="584"/>
      <c r="EK84" s="584"/>
      <c r="EL84" s="584"/>
      <c r="EM84" s="584"/>
      <c r="EN84" s="584"/>
      <c r="EO84" s="584"/>
      <c r="EP84" s="584"/>
      <c r="EQ84" s="584"/>
      <c r="ER84" s="584">
        <f>SUM(ES84:ET84)</f>
        <v>0</v>
      </c>
      <c r="ES84" s="584">
        <f>SUM(EU84:EV84)+EW84+SUM(EY84:FA84)+FJ84+FR84</f>
        <v>0</v>
      </c>
      <c r="ET84" s="584">
        <f>EX84+SUM(FB84:FI84)+SUM(FK84:FQ84)+SUM(FS84:FU84)</f>
        <v>0</v>
      </c>
      <c r="EU84" s="584"/>
      <c r="EV84" s="584"/>
      <c r="EW84" s="584"/>
      <c r="EX84" s="584"/>
      <c r="EY84" s="584"/>
      <c r="EZ84" s="584"/>
      <c r="FA84" s="584"/>
      <c r="FB84" s="584"/>
      <c r="FC84" s="584"/>
      <c r="FD84" s="584"/>
      <c r="FE84" s="584"/>
      <c r="FF84" s="584"/>
      <c r="FG84" s="584"/>
      <c r="FH84" s="584"/>
      <c r="FI84" s="584"/>
      <c r="FJ84" s="584"/>
      <c r="FK84" s="584"/>
      <c r="FL84" s="584"/>
      <c r="FM84" s="584"/>
      <c r="FN84" s="584"/>
      <c r="FO84" s="584"/>
      <c r="FP84" s="584"/>
      <c r="FQ84" s="584"/>
      <c r="FR84" s="584"/>
      <c r="FS84" s="584"/>
      <c r="FT84" s="584"/>
      <c r="FU84" s="584"/>
      <c r="FV84" s="584">
        <f>SUM(FW84:FX84)</f>
        <v>0</v>
      </c>
      <c r="FW84" s="584">
        <f>SUM(FY84:FY84)</f>
        <v>0</v>
      </c>
      <c r="FX84" s="584">
        <f>SUM(FZ84:GA84)</f>
        <v>0</v>
      </c>
      <c r="FY84" s="584"/>
      <c r="FZ84" s="584"/>
      <c r="GA84" s="584"/>
      <c r="GB84" s="584"/>
      <c r="GC84" s="586"/>
      <c r="GD84" s="586"/>
      <c r="GE84" s="586"/>
      <c r="GF84" s="586"/>
      <c r="GG84" s="586"/>
    </row>
    <row r="85" spans="1:189" s="92" customFormat="1" ht="17.25" hidden="1" customHeight="1">
      <c r="A85" s="582"/>
      <c r="B85" s="583" t="s">
        <v>184</v>
      </c>
      <c r="C85" s="584">
        <f>D85+BE85+CI85</f>
        <v>6991600000</v>
      </c>
      <c r="D85" s="584">
        <f>E85+J85</f>
        <v>6991600000</v>
      </c>
      <c r="E85" s="584">
        <f>SUM(F85:I85)</f>
        <v>0</v>
      </c>
      <c r="F85" s="584"/>
      <c r="G85" s="584"/>
      <c r="H85" s="584"/>
      <c r="I85" s="584"/>
      <c r="J85" s="584">
        <f>SUM(K85:BD85)</f>
        <v>6991600000</v>
      </c>
      <c r="K85" s="584">
        <v>6991600000</v>
      </c>
      <c r="L85" s="584"/>
      <c r="M85" s="584"/>
      <c r="N85" s="584"/>
      <c r="O85" s="584"/>
      <c r="P85" s="584"/>
      <c r="Q85" s="584"/>
      <c r="R85" s="584"/>
      <c r="S85" s="584"/>
      <c r="T85" s="584"/>
      <c r="U85" s="584"/>
      <c r="V85" s="584"/>
      <c r="W85" s="584"/>
      <c r="X85" s="584"/>
      <c r="Y85" s="584"/>
      <c r="Z85" s="584"/>
      <c r="AA85" s="584"/>
      <c r="AB85" s="584"/>
      <c r="AC85" s="584"/>
      <c r="AD85" s="584"/>
      <c r="AE85" s="584"/>
      <c r="AF85" s="584"/>
      <c r="AG85" s="584"/>
      <c r="AH85" s="584"/>
      <c r="AI85" s="584"/>
      <c r="AJ85" s="584"/>
      <c r="AK85" s="584"/>
      <c r="AL85" s="584"/>
      <c r="AM85" s="584"/>
      <c r="AN85" s="584"/>
      <c r="AO85" s="584"/>
      <c r="AP85" s="584"/>
      <c r="AQ85" s="584"/>
      <c r="AR85" s="584"/>
      <c r="AS85" s="584"/>
      <c r="AT85" s="584"/>
      <c r="AU85" s="584"/>
      <c r="AV85" s="584"/>
      <c r="AW85" s="584"/>
      <c r="AX85" s="584"/>
      <c r="AY85" s="584"/>
      <c r="AZ85" s="584"/>
      <c r="BA85" s="584"/>
      <c r="BB85" s="584"/>
      <c r="BC85" s="584"/>
      <c r="BD85" s="584"/>
      <c r="BE85" s="584">
        <f>SUM(BF85:BG85)</f>
        <v>0</v>
      </c>
      <c r="BF85" s="584">
        <f>SUM(BH85:BI85)+BJ85+SUM(BL85:BN85)+BW85+CE85</f>
        <v>0</v>
      </c>
      <c r="BG85" s="584">
        <f>BK85+SUM(BO85:BV85)+SUM(BX85:CD85)+SUM(CF85:CH85)</f>
        <v>0</v>
      </c>
      <c r="BH85" s="584"/>
      <c r="BI85" s="584"/>
      <c r="BJ85" s="584"/>
      <c r="BK85" s="584"/>
      <c r="BL85" s="584"/>
      <c r="BM85" s="584"/>
      <c r="BN85" s="584"/>
      <c r="BO85" s="584"/>
      <c r="BP85" s="584"/>
      <c r="BQ85" s="584"/>
      <c r="BR85" s="584"/>
      <c r="BS85" s="584"/>
      <c r="BT85" s="584"/>
      <c r="BU85" s="584"/>
      <c r="BV85" s="584"/>
      <c r="BW85" s="584"/>
      <c r="BX85" s="584"/>
      <c r="BY85" s="584"/>
      <c r="BZ85" s="584"/>
      <c r="CA85" s="584"/>
      <c r="CB85" s="584"/>
      <c r="CC85" s="584"/>
      <c r="CD85" s="584"/>
      <c r="CE85" s="584"/>
      <c r="CF85" s="584"/>
      <c r="CG85" s="584"/>
      <c r="CH85" s="584"/>
      <c r="CI85" s="584">
        <f>SUM(CJ85:CK85)</f>
        <v>0</v>
      </c>
      <c r="CJ85" s="584">
        <f>SUM(CL85:CL85)</f>
        <v>0</v>
      </c>
      <c r="CK85" s="584">
        <f>SUM(CM85:CN85)</f>
        <v>0</v>
      </c>
      <c r="CL85" s="584"/>
      <c r="CM85" s="584"/>
      <c r="CN85" s="584"/>
      <c r="CO85" s="583" t="s">
        <v>184</v>
      </c>
      <c r="CP85" s="584">
        <f>CQ85+ER85+FV85+GB85</f>
        <v>6991600000</v>
      </c>
      <c r="CQ85" s="584">
        <f>CR85+CW85</f>
        <v>6991600000</v>
      </c>
      <c r="CR85" s="584">
        <f>SUM(CS85:CV85)</f>
        <v>0</v>
      </c>
      <c r="CS85" s="584"/>
      <c r="CT85" s="584"/>
      <c r="CU85" s="584"/>
      <c r="CV85" s="584"/>
      <c r="CW85" s="584">
        <f>SUM(CX85:EQ85)</f>
        <v>6991600000</v>
      </c>
      <c r="CX85" s="584">
        <v>6991600000</v>
      </c>
      <c r="CY85" s="584"/>
      <c r="CZ85" s="584"/>
      <c r="DA85" s="584"/>
      <c r="DB85" s="584"/>
      <c r="DC85" s="584"/>
      <c r="DD85" s="584"/>
      <c r="DE85" s="584"/>
      <c r="DF85" s="584"/>
      <c r="DG85" s="584"/>
      <c r="DH85" s="584"/>
      <c r="DI85" s="584"/>
      <c r="DJ85" s="584"/>
      <c r="DK85" s="584"/>
      <c r="DL85" s="584"/>
      <c r="DM85" s="584"/>
      <c r="DN85" s="584"/>
      <c r="DO85" s="584"/>
      <c r="DP85" s="584"/>
      <c r="DQ85" s="584"/>
      <c r="DR85" s="584"/>
      <c r="DS85" s="584"/>
      <c r="DT85" s="584"/>
      <c r="DU85" s="584"/>
      <c r="DV85" s="584"/>
      <c r="DW85" s="584"/>
      <c r="DX85" s="584"/>
      <c r="DY85" s="584"/>
      <c r="DZ85" s="584"/>
      <c r="EA85" s="584"/>
      <c r="EB85" s="584"/>
      <c r="EC85" s="584"/>
      <c r="ED85" s="584"/>
      <c r="EE85" s="584"/>
      <c r="EF85" s="584"/>
      <c r="EG85" s="584"/>
      <c r="EH85" s="584"/>
      <c r="EI85" s="584"/>
      <c r="EJ85" s="584"/>
      <c r="EK85" s="584"/>
      <c r="EL85" s="584"/>
      <c r="EM85" s="584"/>
      <c r="EN85" s="584"/>
      <c r="EO85" s="584"/>
      <c r="EP85" s="584"/>
      <c r="EQ85" s="584"/>
      <c r="ER85" s="584">
        <f>SUM(ES85:ET85)</f>
        <v>0</v>
      </c>
      <c r="ES85" s="584">
        <f>SUM(EU85:EV85)+EW85+SUM(EY85:FA85)+FJ85+FR85</f>
        <v>0</v>
      </c>
      <c r="ET85" s="584">
        <f>EX85+SUM(FB85:FI85)+SUM(FK85:FQ85)+SUM(FS85:FU85)</f>
        <v>0</v>
      </c>
      <c r="EU85" s="584"/>
      <c r="EV85" s="584"/>
      <c r="EW85" s="584"/>
      <c r="EX85" s="584"/>
      <c r="EY85" s="584"/>
      <c r="EZ85" s="584"/>
      <c r="FA85" s="584"/>
      <c r="FB85" s="584"/>
      <c r="FC85" s="584"/>
      <c r="FD85" s="584"/>
      <c r="FE85" s="584"/>
      <c r="FF85" s="584"/>
      <c r="FG85" s="584"/>
      <c r="FH85" s="584"/>
      <c r="FI85" s="584"/>
      <c r="FJ85" s="584"/>
      <c r="FK85" s="584"/>
      <c r="FL85" s="584"/>
      <c r="FM85" s="584"/>
      <c r="FN85" s="584"/>
      <c r="FO85" s="584"/>
      <c r="FP85" s="584"/>
      <c r="FQ85" s="584"/>
      <c r="FR85" s="584"/>
      <c r="FS85" s="584"/>
      <c r="FT85" s="584"/>
      <c r="FU85" s="584"/>
      <c r="FV85" s="584">
        <f>SUM(FW85:FX85)</f>
        <v>0</v>
      </c>
      <c r="FW85" s="584">
        <f>SUM(FY85:FY85)</f>
        <v>0</v>
      </c>
      <c r="FX85" s="584">
        <f>SUM(FZ85:GA85)</f>
        <v>0</v>
      </c>
      <c r="FY85" s="584"/>
      <c r="FZ85" s="584"/>
      <c r="GA85" s="584"/>
      <c r="GB85" s="584"/>
      <c r="GC85" s="586">
        <f>CP85/C85</f>
        <v>1</v>
      </c>
      <c r="GD85" s="586"/>
      <c r="GE85" s="586">
        <f>CW85/J85</f>
        <v>1</v>
      </c>
      <c r="GF85" s="586"/>
      <c r="GG85" s="586"/>
    </row>
    <row r="86" spans="1:189" s="92" customFormat="1" ht="17.25" customHeight="1">
      <c r="A86" s="582">
        <v>25</v>
      </c>
      <c r="B86" s="583" t="s">
        <v>158</v>
      </c>
      <c r="C86" s="584">
        <f t="shared" ref="C86:AU86" si="104">C87+C88</f>
        <v>170000000</v>
      </c>
      <c r="D86" s="584">
        <f t="shared" si="104"/>
        <v>170000000</v>
      </c>
      <c r="E86" s="584">
        <f t="shared" si="104"/>
        <v>0</v>
      </c>
      <c r="F86" s="584">
        <f t="shared" si="104"/>
        <v>0</v>
      </c>
      <c r="G86" s="584">
        <f t="shared" si="104"/>
        <v>0</v>
      </c>
      <c r="H86" s="584">
        <f t="shared" si="104"/>
        <v>0</v>
      </c>
      <c r="I86" s="584">
        <f t="shared" si="104"/>
        <v>0</v>
      </c>
      <c r="J86" s="584">
        <f t="shared" si="104"/>
        <v>170000000</v>
      </c>
      <c r="K86" s="584">
        <f t="shared" si="104"/>
        <v>0</v>
      </c>
      <c r="L86" s="584">
        <f t="shared" si="104"/>
        <v>0</v>
      </c>
      <c r="M86" s="584">
        <f t="shared" si="104"/>
        <v>0</v>
      </c>
      <c r="N86" s="584">
        <f t="shared" si="104"/>
        <v>0</v>
      </c>
      <c r="O86" s="584">
        <f t="shared" si="104"/>
        <v>0</v>
      </c>
      <c r="P86" s="584">
        <f t="shared" si="104"/>
        <v>0</v>
      </c>
      <c r="Q86" s="584">
        <f t="shared" si="104"/>
        <v>0</v>
      </c>
      <c r="R86" s="584">
        <f t="shared" si="104"/>
        <v>0</v>
      </c>
      <c r="S86" s="584">
        <f t="shared" si="104"/>
        <v>0</v>
      </c>
      <c r="T86" s="584">
        <f t="shared" si="104"/>
        <v>0</v>
      </c>
      <c r="U86" s="584">
        <f t="shared" si="104"/>
        <v>0</v>
      </c>
      <c r="V86" s="584">
        <f t="shared" si="104"/>
        <v>0</v>
      </c>
      <c r="W86" s="584">
        <f t="shared" si="104"/>
        <v>0</v>
      </c>
      <c r="X86" s="584">
        <f t="shared" si="104"/>
        <v>0</v>
      </c>
      <c r="Y86" s="584">
        <f t="shared" si="104"/>
        <v>0</v>
      </c>
      <c r="Z86" s="584">
        <f t="shared" si="104"/>
        <v>0</v>
      </c>
      <c r="AA86" s="584">
        <f t="shared" si="104"/>
        <v>0</v>
      </c>
      <c r="AB86" s="584">
        <f t="shared" si="104"/>
        <v>0</v>
      </c>
      <c r="AC86" s="584">
        <f t="shared" si="104"/>
        <v>0</v>
      </c>
      <c r="AD86" s="584">
        <f t="shared" si="104"/>
        <v>0</v>
      </c>
      <c r="AE86" s="584">
        <f t="shared" si="104"/>
        <v>0</v>
      </c>
      <c r="AF86" s="584">
        <f t="shared" si="104"/>
        <v>0</v>
      </c>
      <c r="AG86" s="584">
        <f t="shared" si="104"/>
        <v>0</v>
      </c>
      <c r="AH86" s="584">
        <f t="shared" si="104"/>
        <v>0</v>
      </c>
      <c r="AI86" s="584">
        <f t="shared" si="104"/>
        <v>0</v>
      </c>
      <c r="AJ86" s="584">
        <f t="shared" si="104"/>
        <v>0</v>
      </c>
      <c r="AK86" s="584">
        <f t="shared" si="104"/>
        <v>0</v>
      </c>
      <c r="AL86" s="584">
        <f t="shared" si="104"/>
        <v>0</v>
      </c>
      <c r="AM86" s="584">
        <f t="shared" si="104"/>
        <v>0</v>
      </c>
      <c r="AN86" s="584">
        <f t="shared" si="104"/>
        <v>0</v>
      </c>
      <c r="AO86" s="584">
        <f t="shared" si="104"/>
        <v>0</v>
      </c>
      <c r="AP86" s="584">
        <f t="shared" si="104"/>
        <v>0</v>
      </c>
      <c r="AQ86" s="584">
        <f t="shared" si="104"/>
        <v>0</v>
      </c>
      <c r="AR86" s="584">
        <f t="shared" si="104"/>
        <v>0</v>
      </c>
      <c r="AS86" s="584">
        <f t="shared" si="104"/>
        <v>0</v>
      </c>
      <c r="AT86" s="584">
        <f t="shared" si="104"/>
        <v>0</v>
      </c>
      <c r="AU86" s="584">
        <f t="shared" si="104"/>
        <v>0</v>
      </c>
      <c r="AV86" s="584">
        <f>AV87+AV88</f>
        <v>0</v>
      </c>
      <c r="AW86" s="584">
        <f>AW87+AW88</f>
        <v>0</v>
      </c>
      <c r="AX86" s="584">
        <f t="shared" ref="AX86:CN86" si="105">AX87+AX88</f>
        <v>0</v>
      </c>
      <c r="AY86" s="584">
        <f t="shared" si="105"/>
        <v>0</v>
      </c>
      <c r="AZ86" s="584">
        <f t="shared" si="105"/>
        <v>0</v>
      </c>
      <c r="BA86" s="584">
        <f t="shared" si="105"/>
        <v>0</v>
      </c>
      <c r="BB86" s="584">
        <f t="shared" si="105"/>
        <v>0</v>
      </c>
      <c r="BC86" s="584">
        <f t="shared" si="105"/>
        <v>170000000</v>
      </c>
      <c r="BD86" s="584">
        <f t="shared" si="105"/>
        <v>0</v>
      </c>
      <c r="BE86" s="584">
        <f t="shared" si="105"/>
        <v>0</v>
      </c>
      <c r="BF86" s="584">
        <f t="shared" si="105"/>
        <v>0</v>
      </c>
      <c r="BG86" s="584">
        <f t="shared" si="105"/>
        <v>0</v>
      </c>
      <c r="BH86" s="584">
        <f t="shared" si="105"/>
        <v>0</v>
      </c>
      <c r="BI86" s="584">
        <f t="shared" si="105"/>
        <v>0</v>
      </c>
      <c r="BJ86" s="584">
        <f t="shared" si="105"/>
        <v>0</v>
      </c>
      <c r="BK86" s="584">
        <f t="shared" si="105"/>
        <v>0</v>
      </c>
      <c r="BL86" s="584">
        <f>BL87+BL88</f>
        <v>0</v>
      </c>
      <c r="BM86" s="584">
        <f>BM87+BM88</f>
        <v>0</v>
      </c>
      <c r="BN86" s="584">
        <f t="shared" si="105"/>
        <v>0</v>
      </c>
      <c r="BO86" s="584">
        <f t="shared" si="105"/>
        <v>0</v>
      </c>
      <c r="BP86" s="584">
        <f t="shared" si="105"/>
        <v>0</v>
      </c>
      <c r="BQ86" s="584">
        <f t="shared" si="105"/>
        <v>0</v>
      </c>
      <c r="BR86" s="584">
        <f t="shared" si="105"/>
        <v>0</v>
      </c>
      <c r="BS86" s="584">
        <f t="shared" si="105"/>
        <v>0</v>
      </c>
      <c r="BT86" s="584">
        <f t="shared" si="105"/>
        <v>0</v>
      </c>
      <c r="BU86" s="584">
        <f t="shared" si="105"/>
        <v>0</v>
      </c>
      <c r="BV86" s="584">
        <f t="shared" si="105"/>
        <v>0</v>
      </c>
      <c r="BW86" s="584">
        <f t="shared" si="105"/>
        <v>0</v>
      </c>
      <c r="BX86" s="584">
        <f t="shared" si="105"/>
        <v>0</v>
      </c>
      <c r="BY86" s="584">
        <f t="shared" si="105"/>
        <v>0</v>
      </c>
      <c r="BZ86" s="584">
        <f t="shared" si="105"/>
        <v>0</v>
      </c>
      <c r="CA86" s="584">
        <f t="shared" si="105"/>
        <v>0</v>
      </c>
      <c r="CB86" s="584">
        <f t="shared" si="105"/>
        <v>0</v>
      </c>
      <c r="CC86" s="584">
        <f t="shared" si="105"/>
        <v>0</v>
      </c>
      <c r="CD86" s="584">
        <f t="shared" si="105"/>
        <v>0</v>
      </c>
      <c r="CE86" s="584">
        <f t="shared" si="105"/>
        <v>0</v>
      </c>
      <c r="CF86" s="584">
        <f t="shared" si="105"/>
        <v>0</v>
      </c>
      <c r="CG86" s="584">
        <f t="shared" si="105"/>
        <v>0</v>
      </c>
      <c r="CH86" s="584">
        <f t="shared" si="105"/>
        <v>0</v>
      </c>
      <c r="CI86" s="584">
        <f t="shared" si="105"/>
        <v>0</v>
      </c>
      <c r="CJ86" s="584">
        <f t="shared" si="105"/>
        <v>0</v>
      </c>
      <c r="CK86" s="584">
        <f t="shared" si="105"/>
        <v>0</v>
      </c>
      <c r="CL86" s="584">
        <f t="shared" si="105"/>
        <v>0</v>
      </c>
      <c r="CM86" s="584">
        <f t="shared" si="105"/>
        <v>0</v>
      </c>
      <c r="CN86" s="584">
        <f t="shared" si="105"/>
        <v>0</v>
      </c>
      <c r="CO86" s="584" t="s">
        <v>158</v>
      </c>
      <c r="CP86" s="584">
        <f t="shared" ref="CP86:EH86" si="106">CP87+CP88</f>
        <v>170000000</v>
      </c>
      <c r="CQ86" s="584">
        <f t="shared" si="106"/>
        <v>170000000</v>
      </c>
      <c r="CR86" s="584">
        <f t="shared" si="106"/>
        <v>0</v>
      </c>
      <c r="CS86" s="584">
        <f t="shared" si="106"/>
        <v>0</v>
      </c>
      <c r="CT86" s="584">
        <f t="shared" si="106"/>
        <v>0</v>
      </c>
      <c r="CU86" s="584">
        <f t="shared" si="106"/>
        <v>0</v>
      </c>
      <c r="CV86" s="584">
        <f t="shared" si="106"/>
        <v>0</v>
      </c>
      <c r="CW86" s="584">
        <f t="shared" si="106"/>
        <v>170000000</v>
      </c>
      <c r="CX86" s="584">
        <f t="shared" si="106"/>
        <v>0</v>
      </c>
      <c r="CY86" s="584">
        <f t="shared" si="106"/>
        <v>0</v>
      </c>
      <c r="CZ86" s="584">
        <f t="shared" si="106"/>
        <v>0</v>
      </c>
      <c r="DA86" s="584">
        <f t="shared" si="106"/>
        <v>0</v>
      </c>
      <c r="DB86" s="584">
        <f t="shared" si="106"/>
        <v>0</v>
      </c>
      <c r="DC86" s="584">
        <f t="shared" si="106"/>
        <v>0</v>
      </c>
      <c r="DD86" s="584">
        <f t="shared" si="106"/>
        <v>0</v>
      </c>
      <c r="DE86" s="584">
        <f t="shared" si="106"/>
        <v>0</v>
      </c>
      <c r="DF86" s="584">
        <f t="shared" si="106"/>
        <v>0</v>
      </c>
      <c r="DG86" s="584">
        <f t="shared" si="106"/>
        <v>0</v>
      </c>
      <c r="DH86" s="584">
        <f t="shared" si="106"/>
        <v>0</v>
      </c>
      <c r="DI86" s="584">
        <f t="shared" si="106"/>
        <v>0</v>
      </c>
      <c r="DJ86" s="584">
        <f t="shared" si="106"/>
        <v>0</v>
      </c>
      <c r="DK86" s="584">
        <f t="shared" si="106"/>
        <v>0</v>
      </c>
      <c r="DL86" s="584">
        <f t="shared" si="106"/>
        <v>0</v>
      </c>
      <c r="DM86" s="584">
        <f t="shared" si="106"/>
        <v>0</v>
      </c>
      <c r="DN86" s="584">
        <f t="shared" si="106"/>
        <v>0</v>
      </c>
      <c r="DO86" s="584">
        <f t="shared" si="106"/>
        <v>0</v>
      </c>
      <c r="DP86" s="584">
        <f t="shared" si="106"/>
        <v>0</v>
      </c>
      <c r="DQ86" s="584">
        <f t="shared" si="106"/>
        <v>0</v>
      </c>
      <c r="DR86" s="584">
        <f t="shared" si="106"/>
        <v>0</v>
      </c>
      <c r="DS86" s="584">
        <f t="shared" si="106"/>
        <v>0</v>
      </c>
      <c r="DT86" s="584">
        <f t="shared" si="106"/>
        <v>0</v>
      </c>
      <c r="DU86" s="584">
        <f t="shared" si="106"/>
        <v>0</v>
      </c>
      <c r="DV86" s="584">
        <f t="shared" si="106"/>
        <v>0</v>
      </c>
      <c r="DW86" s="584">
        <f t="shared" si="106"/>
        <v>0</v>
      </c>
      <c r="DX86" s="584">
        <f t="shared" si="106"/>
        <v>0</v>
      </c>
      <c r="DY86" s="584">
        <f t="shared" si="106"/>
        <v>0</v>
      </c>
      <c r="DZ86" s="584">
        <f t="shared" si="106"/>
        <v>0</v>
      </c>
      <c r="EA86" s="584">
        <f t="shared" si="106"/>
        <v>0</v>
      </c>
      <c r="EB86" s="584">
        <f t="shared" si="106"/>
        <v>0</v>
      </c>
      <c r="EC86" s="584">
        <f t="shared" si="106"/>
        <v>0</v>
      </c>
      <c r="ED86" s="584">
        <f t="shared" si="106"/>
        <v>0</v>
      </c>
      <c r="EE86" s="584">
        <f t="shared" si="106"/>
        <v>0</v>
      </c>
      <c r="EF86" s="584">
        <f t="shared" si="106"/>
        <v>0</v>
      </c>
      <c r="EG86" s="584">
        <f t="shared" si="106"/>
        <v>0</v>
      </c>
      <c r="EH86" s="584">
        <f t="shared" si="106"/>
        <v>0</v>
      </c>
      <c r="EI86" s="584">
        <f>EI87+EI88</f>
        <v>0</v>
      </c>
      <c r="EJ86" s="584">
        <f>EJ87+EJ88</f>
        <v>0</v>
      </c>
      <c r="EK86" s="584">
        <f t="shared" ref="EK86:GA86" si="107">EK87+EK88</f>
        <v>0</v>
      </c>
      <c r="EL86" s="584">
        <f t="shared" si="107"/>
        <v>0</v>
      </c>
      <c r="EM86" s="584">
        <f t="shared" si="107"/>
        <v>0</v>
      </c>
      <c r="EN86" s="584">
        <f t="shared" si="107"/>
        <v>0</v>
      </c>
      <c r="EO86" s="584">
        <f t="shared" si="107"/>
        <v>0</v>
      </c>
      <c r="EP86" s="584">
        <f t="shared" si="107"/>
        <v>170000000</v>
      </c>
      <c r="EQ86" s="584">
        <f t="shared" si="107"/>
        <v>0</v>
      </c>
      <c r="ER86" s="584">
        <f t="shared" si="107"/>
        <v>0</v>
      </c>
      <c r="ES86" s="584">
        <f t="shared" si="107"/>
        <v>0</v>
      </c>
      <c r="ET86" s="584">
        <f t="shared" si="107"/>
        <v>0</v>
      </c>
      <c r="EU86" s="584">
        <f t="shared" si="107"/>
        <v>0</v>
      </c>
      <c r="EV86" s="584">
        <f t="shared" si="107"/>
        <v>0</v>
      </c>
      <c r="EW86" s="584">
        <f t="shared" si="107"/>
        <v>0</v>
      </c>
      <c r="EX86" s="584">
        <f t="shared" si="107"/>
        <v>0</v>
      </c>
      <c r="EY86" s="584">
        <f t="shared" si="107"/>
        <v>0</v>
      </c>
      <c r="EZ86" s="584">
        <f t="shared" si="107"/>
        <v>0</v>
      </c>
      <c r="FA86" s="584">
        <f t="shared" si="107"/>
        <v>0</v>
      </c>
      <c r="FB86" s="584">
        <f t="shared" si="107"/>
        <v>0</v>
      </c>
      <c r="FC86" s="584">
        <f t="shared" si="107"/>
        <v>0</v>
      </c>
      <c r="FD86" s="584">
        <f t="shared" si="107"/>
        <v>0</v>
      </c>
      <c r="FE86" s="584">
        <f t="shared" si="107"/>
        <v>0</v>
      </c>
      <c r="FF86" s="584">
        <f t="shared" si="107"/>
        <v>0</v>
      </c>
      <c r="FG86" s="584">
        <f t="shared" si="107"/>
        <v>0</v>
      </c>
      <c r="FH86" s="584">
        <f t="shared" si="107"/>
        <v>0</v>
      </c>
      <c r="FI86" s="584">
        <f t="shared" si="107"/>
        <v>0</v>
      </c>
      <c r="FJ86" s="584">
        <f t="shared" si="107"/>
        <v>0</v>
      </c>
      <c r="FK86" s="584">
        <f t="shared" si="107"/>
        <v>0</v>
      </c>
      <c r="FL86" s="584">
        <f t="shared" si="107"/>
        <v>0</v>
      </c>
      <c r="FM86" s="584">
        <f t="shared" si="107"/>
        <v>0</v>
      </c>
      <c r="FN86" s="584">
        <f t="shared" si="107"/>
        <v>0</v>
      </c>
      <c r="FO86" s="584">
        <f t="shared" si="107"/>
        <v>0</v>
      </c>
      <c r="FP86" s="584">
        <f t="shared" si="107"/>
        <v>0</v>
      </c>
      <c r="FQ86" s="584">
        <f t="shared" si="107"/>
        <v>0</v>
      </c>
      <c r="FR86" s="584">
        <f t="shared" si="107"/>
        <v>0</v>
      </c>
      <c r="FS86" s="584">
        <f t="shared" si="107"/>
        <v>0</v>
      </c>
      <c r="FT86" s="584">
        <f t="shared" si="107"/>
        <v>0</v>
      </c>
      <c r="FU86" s="584">
        <f t="shared" si="107"/>
        <v>0</v>
      </c>
      <c r="FV86" s="584">
        <f t="shared" si="107"/>
        <v>0</v>
      </c>
      <c r="FW86" s="584">
        <f t="shared" si="107"/>
        <v>0</v>
      </c>
      <c r="FX86" s="584">
        <f t="shared" si="107"/>
        <v>0</v>
      </c>
      <c r="FY86" s="584">
        <f t="shared" si="107"/>
        <v>0</v>
      </c>
      <c r="FZ86" s="584">
        <f t="shared" si="107"/>
        <v>0</v>
      </c>
      <c r="GA86" s="584">
        <f t="shared" si="107"/>
        <v>0</v>
      </c>
      <c r="GB86" s="584">
        <f>GB87+GB88</f>
        <v>0</v>
      </c>
      <c r="GC86" s="586">
        <f>CP86/C86</f>
        <v>1</v>
      </c>
      <c r="GD86" s="586"/>
      <c r="GE86" s="586">
        <f>CW86/J86</f>
        <v>1</v>
      </c>
      <c r="GF86" s="586"/>
      <c r="GG86" s="586"/>
    </row>
    <row r="87" spans="1:189" s="92" customFormat="1" ht="17.25" hidden="1" customHeight="1">
      <c r="A87" s="582"/>
      <c r="B87" s="583" t="s">
        <v>183</v>
      </c>
      <c r="C87" s="584">
        <f>D87+BE87+CI87</f>
        <v>0</v>
      </c>
      <c r="D87" s="584">
        <f>E87+J87</f>
        <v>0</v>
      </c>
      <c r="E87" s="584">
        <f>SUM(F87:I87)</f>
        <v>0</v>
      </c>
      <c r="F87" s="584"/>
      <c r="G87" s="584"/>
      <c r="H87" s="584"/>
      <c r="I87" s="584"/>
      <c r="J87" s="584">
        <f>SUM(K87:BD87)</f>
        <v>0</v>
      </c>
      <c r="K87" s="584"/>
      <c r="L87" s="584"/>
      <c r="M87" s="584"/>
      <c r="N87" s="584"/>
      <c r="O87" s="584"/>
      <c r="P87" s="584"/>
      <c r="Q87" s="584"/>
      <c r="R87" s="584"/>
      <c r="S87" s="584"/>
      <c r="T87" s="584"/>
      <c r="U87" s="584"/>
      <c r="V87" s="584"/>
      <c r="W87" s="584"/>
      <c r="X87" s="584"/>
      <c r="Y87" s="584"/>
      <c r="Z87" s="584"/>
      <c r="AA87" s="584"/>
      <c r="AB87" s="584"/>
      <c r="AC87" s="584"/>
      <c r="AD87" s="584"/>
      <c r="AE87" s="584"/>
      <c r="AF87" s="584"/>
      <c r="AG87" s="584"/>
      <c r="AH87" s="584"/>
      <c r="AI87" s="584"/>
      <c r="AJ87" s="584"/>
      <c r="AK87" s="584"/>
      <c r="AL87" s="584"/>
      <c r="AM87" s="584"/>
      <c r="AN87" s="584"/>
      <c r="AO87" s="584"/>
      <c r="AP87" s="584"/>
      <c r="AQ87" s="584"/>
      <c r="AR87" s="584"/>
      <c r="AS87" s="584"/>
      <c r="AT87" s="584"/>
      <c r="AU87" s="584"/>
      <c r="AV87" s="584"/>
      <c r="AW87" s="584"/>
      <c r="AX87" s="584"/>
      <c r="AY87" s="584"/>
      <c r="AZ87" s="584"/>
      <c r="BA87" s="584"/>
      <c r="BB87" s="584"/>
      <c r="BC87" s="584"/>
      <c r="BD87" s="584"/>
      <c r="BE87" s="584">
        <f>SUM(BF87:BG87)</f>
        <v>0</v>
      </c>
      <c r="BF87" s="584">
        <f>SUM(BH87:BI87)+BJ87+SUM(BL87:BN87)+BW87+CE87</f>
        <v>0</v>
      </c>
      <c r="BG87" s="584">
        <f>BK87+SUM(BO87:BV87)+SUM(BX87:CD87)+SUM(CF87:CH87)</f>
        <v>0</v>
      </c>
      <c r="BH87" s="584"/>
      <c r="BI87" s="584"/>
      <c r="BJ87" s="584"/>
      <c r="BK87" s="584"/>
      <c r="BL87" s="584"/>
      <c r="BM87" s="584"/>
      <c r="BN87" s="584"/>
      <c r="BO87" s="584"/>
      <c r="BP87" s="584"/>
      <c r="BQ87" s="584"/>
      <c r="BR87" s="584"/>
      <c r="BS87" s="584"/>
      <c r="BT87" s="584"/>
      <c r="BU87" s="584"/>
      <c r="BV87" s="584"/>
      <c r="BW87" s="584"/>
      <c r="BX87" s="584"/>
      <c r="BY87" s="584"/>
      <c r="BZ87" s="584"/>
      <c r="CA87" s="584"/>
      <c r="CB87" s="584"/>
      <c r="CC87" s="584"/>
      <c r="CD87" s="584"/>
      <c r="CE87" s="584"/>
      <c r="CF87" s="584"/>
      <c r="CG87" s="584"/>
      <c r="CH87" s="584"/>
      <c r="CI87" s="584">
        <f>SUM(CJ87:CK87)</f>
        <v>0</v>
      </c>
      <c r="CJ87" s="584">
        <f>SUM(CL87:CL87)</f>
        <v>0</v>
      </c>
      <c r="CK87" s="584">
        <f>SUM(CM87:CN87)</f>
        <v>0</v>
      </c>
      <c r="CL87" s="584"/>
      <c r="CM87" s="584"/>
      <c r="CN87" s="584"/>
      <c r="CO87" s="583" t="s">
        <v>183</v>
      </c>
      <c r="CP87" s="584">
        <f>CQ87+ER87+FV87+GB87</f>
        <v>0</v>
      </c>
      <c r="CQ87" s="584">
        <f>CR87+CW87</f>
        <v>0</v>
      </c>
      <c r="CR87" s="584">
        <f>SUM(CS87:CV87)</f>
        <v>0</v>
      </c>
      <c r="CS87" s="584"/>
      <c r="CT87" s="584"/>
      <c r="CU87" s="584"/>
      <c r="CV87" s="584"/>
      <c r="CW87" s="584">
        <f>SUM(CX87:EQ87)</f>
        <v>0</v>
      </c>
      <c r="CX87" s="584"/>
      <c r="CY87" s="584"/>
      <c r="CZ87" s="584"/>
      <c r="DA87" s="584"/>
      <c r="DB87" s="584"/>
      <c r="DC87" s="584"/>
      <c r="DD87" s="584"/>
      <c r="DE87" s="584"/>
      <c r="DF87" s="584"/>
      <c r="DG87" s="584"/>
      <c r="DH87" s="584"/>
      <c r="DI87" s="584"/>
      <c r="DJ87" s="584"/>
      <c r="DK87" s="584"/>
      <c r="DL87" s="584"/>
      <c r="DM87" s="584"/>
      <c r="DN87" s="584"/>
      <c r="DO87" s="584"/>
      <c r="DP87" s="584"/>
      <c r="DQ87" s="584"/>
      <c r="DR87" s="584"/>
      <c r="DS87" s="584"/>
      <c r="DT87" s="584"/>
      <c r="DU87" s="584"/>
      <c r="DV87" s="584"/>
      <c r="DW87" s="584"/>
      <c r="DX87" s="584"/>
      <c r="DY87" s="584"/>
      <c r="DZ87" s="584"/>
      <c r="EA87" s="584"/>
      <c r="EB87" s="584"/>
      <c r="EC87" s="584"/>
      <c r="ED87" s="584"/>
      <c r="EE87" s="584"/>
      <c r="EF87" s="584"/>
      <c r="EG87" s="584"/>
      <c r="EH87" s="584"/>
      <c r="EI87" s="584"/>
      <c r="EJ87" s="584"/>
      <c r="EK87" s="584"/>
      <c r="EL87" s="584"/>
      <c r="EM87" s="584"/>
      <c r="EN87" s="584"/>
      <c r="EO87" s="584"/>
      <c r="EP87" s="584"/>
      <c r="EQ87" s="584"/>
      <c r="ER87" s="584">
        <f>SUM(ES87:ET87)</f>
        <v>0</v>
      </c>
      <c r="ES87" s="584">
        <f>SUM(EU87:EV87)+EW87+SUM(EY87:FA87)+FJ87+FR87</f>
        <v>0</v>
      </c>
      <c r="ET87" s="584">
        <f>EX87+SUM(FB87:FI87)+SUM(FK87:FQ87)+SUM(FS87:FU87)</f>
        <v>0</v>
      </c>
      <c r="EU87" s="584"/>
      <c r="EV87" s="584"/>
      <c r="EW87" s="584"/>
      <c r="EX87" s="584"/>
      <c r="EY87" s="584"/>
      <c r="EZ87" s="584"/>
      <c r="FA87" s="584"/>
      <c r="FB87" s="584"/>
      <c r="FC87" s="584"/>
      <c r="FD87" s="584"/>
      <c r="FE87" s="584"/>
      <c r="FF87" s="584"/>
      <c r="FG87" s="584"/>
      <c r="FH87" s="584"/>
      <c r="FI87" s="584"/>
      <c r="FJ87" s="584"/>
      <c r="FK87" s="584"/>
      <c r="FL87" s="584"/>
      <c r="FM87" s="584"/>
      <c r="FN87" s="584"/>
      <c r="FO87" s="584"/>
      <c r="FP87" s="584"/>
      <c r="FQ87" s="584"/>
      <c r="FR87" s="584"/>
      <c r="FS87" s="584"/>
      <c r="FT87" s="584"/>
      <c r="FU87" s="584"/>
      <c r="FV87" s="584">
        <f>SUM(FW87:FX87)</f>
        <v>0</v>
      </c>
      <c r="FW87" s="584">
        <f>SUM(FY87:FY87)</f>
        <v>0</v>
      </c>
      <c r="FX87" s="584">
        <f>SUM(FZ87:GA87)</f>
        <v>0</v>
      </c>
      <c r="FY87" s="584"/>
      <c r="FZ87" s="584"/>
      <c r="GA87" s="584"/>
      <c r="GB87" s="584"/>
      <c r="GC87" s="586"/>
      <c r="GD87" s="586"/>
      <c r="GE87" s="586"/>
      <c r="GF87" s="586"/>
      <c r="GG87" s="586"/>
    </row>
    <row r="88" spans="1:189" s="92" customFormat="1" ht="17.25" hidden="1" customHeight="1">
      <c r="A88" s="582"/>
      <c r="B88" s="583" t="s">
        <v>184</v>
      </c>
      <c r="C88" s="584">
        <f>D88+BE88+CI88</f>
        <v>170000000</v>
      </c>
      <c r="D88" s="584">
        <f>E88+J88</f>
        <v>170000000</v>
      </c>
      <c r="E88" s="584">
        <f>SUM(F88:I88)</f>
        <v>0</v>
      </c>
      <c r="F88" s="584"/>
      <c r="G88" s="584"/>
      <c r="H88" s="584"/>
      <c r="I88" s="584"/>
      <c r="J88" s="584">
        <f>SUM(K88:BD88)</f>
        <v>170000000</v>
      </c>
      <c r="K88" s="584"/>
      <c r="L88" s="584"/>
      <c r="M88" s="584"/>
      <c r="N88" s="584"/>
      <c r="O88" s="584"/>
      <c r="P88" s="584"/>
      <c r="Q88" s="584"/>
      <c r="R88" s="584"/>
      <c r="S88" s="584"/>
      <c r="T88" s="584"/>
      <c r="U88" s="584"/>
      <c r="V88" s="584"/>
      <c r="W88" s="584"/>
      <c r="X88" s="584"/>
      <c r="Y88" s="584"/>
      <c r="Z88" s="584"/>
      <c r="AA88" s="584"/>
      <c r="AB88" s="584"/>
      <c r="AC88" s="584"/>
      <c r="AD88" s="584"/>
      <c r="AE88" s="584"/>
      <c r="AF88" s="584"/>
      <c r="AG88" s="584"/>
      <c r="AH88" s="584"/>
      <c r="AI88" s="584"/>
      <c r="AJ88" s="584"/>
      <c r="AK88" s="584"/>
      <c r="AL88" s="584"/>
      <c r="AM88" s="584"/>
      <c r="AN88" s="584"/>
      <c r="AO88" s="584"/>
      <c r="AP88" s="584"/>
      <c r="AQ88" s="584"/>
      <c r="AR88" s="584"/>
      <c r="AS88" s="584"/>
      <c r="AT88" s="584"/>
      <c r="AU88" s="584"/>
      <c r="AV88" s="584"/>
      <c r="AW88" s="584"/>
      <c r="AX88" s="584"/>
      <c r="AY88" s="584"/>
      <c r="AZ88" s="584"/>
      <c r="BA88" s="584"/>
      <c r="BB88" s="584"/>
      <c r="BC88" s="584">
        <v>170000000</v>
      </c>
      <c r="BD88" s="584"/>
      <c r="BE88" s="584">
        <f>SUM(BF88:BG88)</f>
        <v>0</v>
      </c>
      <c r="BF88" s="584">
        <f>SUM(BH88:BI88)+BJ88+SUM(BL88:BN88)+BW88+CE88</f>
        <v>0</v>
      </c>
      <c r="BG88" s="584">
        <f>BK88+SUM(BO88:BV88)+SUM(BX88:CD88)+SUM(CF88:CH88)</f>
        <v>0</v>
      </c>
      <c r="BH88" s="584"/>
      <c r="BI88" s="584"/>
      <c r="BJ88" s="584"/>
      <c r="BK88" s="584"/>
      <c r="BL88" s="584"/>
      <c r="BM88" s="584"/>
      <c r="BN88" s="584"/>
      <c r="BO88" s="584"/>
      <c r="BP88" s="584"/>
      <c r="BQ88" s="584"/>
      <c r="BR88" s="584"/>
      <c r="BS88" s="584"/>
      <c r="BT88" s="584"/>
      <c r="BU88" s="584"/>
      <c r="BV88" s="584"/>
      <c r="BW88" s="584"/>
      <c r="BX88" s="584"/>
      <c r="BY88" s="584"/>
      <c r="BZ88" s="584"/>
      <c r="CA88" s="584"/>
      <c r="CB88" s="584"/>
      <c r="CC88" s="584"/>
      <c r="CD88" s="584"/>
      <c r="CE88" s="584"/>
      <c r="CF88" s="584"/>
      <c r="CG88" s="584"/>
      <c r="CH88" s="584"/>
      <c r="CI88" s="584">
        <f>SUM(CJ88:CK88)</f>
        <v>0</v>
      </c>
      <c r="CJ88" s="584">
        <f>SUM(CL88:CL88)</f>
        <v>0</v>
      </c>
      <c r="CK88" s="584">
        <f>SUM(CM88:CN88)</f>
        <v>0</v>
      </c>
      <c r="CL88" s="584"/>
      <c r="CM88" s="584"/>
      <c r="CN88" s="584"/>
      <c r="CO88" s="583" t="s">
        <v>184</v>
      </c>
      <c r="CP88" s="584">
        <f>CQ88+ER88+FV88+GB88</f>
        <v>170000000</v>
      </c>
      <c r="CQ88" s="584">
        <f>CR88+CW88</f>
        <v>170000000</v>
      </c>
      <c r="CR88" s="584">
        <f>SUM(CS88:CV88)</f>
        <v>0</v>
      </c>
      <c r="CS88" s="584"/>
      <c r="CT88" s="584"/>
      <c r="CU88" s="584"/>
      <c r="CV88" s="584"/>
      <c r="CW88" s="584">
        <f>SUM(CX88:EQ88)</f>
        <v>170000000</v>
      </c>
      <c r="CX88" s="584"/>
      <c r="CY88" s="584"/>
      <c r="CZ88" s="584"/>
      <c r="DA88" s="584"/>
      <c r="DB88" s="584"/>
      <c r="DC88" s="584"/>
      <c r="DD88" s="584"/>
      <c r="DE88" s="584"/>
      <c r="DF88" s="584"/>
      <c r="DG88" s="584"/>
      <c r="DH88" s="584"/>
      <c r="DI88" s="584"/>
      <c r="DJ88" s="584"/>
      <c r="DK88" s="584"/>
      <c r="DL88" s="584"/>
      <c r="DM88" s="584"/>
      <c r="DN88" s="584"/>
      <c r="DO88" s="584"/>
      <c r="DP88" s="584"/>
      <c r="DQ88" s="584"/>
      <c r="DR88" s="584"/>
      <c r="DS88" s="584"/>
      <c r="DT88" s="584"/>
      <c r="DU88" s="584"/>
      <c r="DV88" s="584"/>
      <c r="DW88" s="584"/>
      <c r="DX88" s="584"/>
      <c r="DY88" s="584"/>
      <c r="DZ88" s="584"/>
      <c r="EA88" s="584"/>
      <c r="EB88" s="584"/>
      <c r="EC88" s="584"/>
      <c r="ED88" s="584"/>
      <c r="EE88" s="584"/>
      <c r="EF88" s="584"/>
      <c r="EG88" s="584"/>
      <c r="EH88" s="584"/>
      <c r="EI88" s="584"/>
      <c r="EJ88" s="584"/>
      <c r="EK88" s="584"/>
      <c r="EL88" s="584"/>
      <c r="EM88" s="584"/>
      <c r="EN88" s="584"/>
      <c r="EO88" s="584"/>
      <c r="EP88" s="584">
        <v>170000000</v>
      </c>
      <c r="EQ88" s="584"/>
      <c r="ER88" s="584">
        <f>SUM(ES88:ET88)</f>
        <v>0</v>
      </c>
      <c r="ES88" s="584">
        <f>SUM(EU88:EV88)+EW88+SUM(EY88:FA88)+FJ88+FR88</f>
        <v>0</v>
      </c>
      <c r="ET88" s="584">
        <f>EX88+SUM(FB88:FI88)+SUM(FK88:FQ88)+SUM(FS88:FU88)</f>
        <v>0</v>
      </c>
      <c r="EU88" s="584"/>
      <c r="EV88" s="584"/>
      <c r="EW88" s="584"/>
      <c r="EX88" s="584"/>
      <c r="EY88" s="584"/>
      <c r="EZ88" s="584"/>
      <c r="FA88" s="584"/>
      <c r="FB88" s="584"/>
      <c r="FC88" s="584"/>
      <c r="FD88" s="584"/>
      <c r="FE88" s="584"/>
      <c r="FF88" s="584"/>
      <c r="FG88" s="584"/>
      <c r="FH88" s="584"/>
      <c r="FI88" s="584"/>
      <c r="FJ88" s="584"/>
      <c r="FK88" s="584"/>
      <c r="FL88" s="584"/>
      <c r="FM88" s="584"/>
      <c r="FN88" s="584"/>
      <c r="FO88" s="584"/>
      <c r="FP88" s="584"/>
      <c r="FQ88" s="584"/>
      <c r="FR88" s="584"/>
      <c r="FS88" s="584"/>
      <c r="FT88" s="584"/>
      <c r="FU88" s="584"/>
      <c r="FV88" s="584">
        <f>SUM(FW88:FX88)</f>
        <v>0</v>
      </c>
      <c r="FW88" s="584">
        <f>SUM(FY88:FY88)</f>
        <v>0</v>
      </c>
      <c r="FX88" s="584">
        <f>SUM(FZ88:GA88)</f>
        <v>0</v>
      </c>
      <c r="FY88" s="584"/>
      <c r="FZ88" s="584"/>
      <c r="GA88" s="584"/>
      <c r="GB88" s="584"/>
      <c r="GC88" s="586">
        <f t="shared" ref="GC88:GC94" si="108">CP88/C88</f>
        <v>1</v>
      </c>
      <c r="GD88" s="586"/>
      <c r="GE88" s="586">
        <f>CW88/J88</f>
        <v>1</v>
      </c>
      <c r="GF88" s="586"/>
      <c r="GG88" s="586"/>
    </row>
    <row r="89" spans="1:189" s="92" customFormat="1" ht="17.25" customHeight="1">
      <c r="A89" s="582">
        <v>26</v>
      </c>
      <c r="B89" s="583" t="s">
        <v>198</v>
      </c>
      <c r="C89" s="584">
        <f t="shared" ref="C89:AU89" si="109">C90+C91</f>
        <v>5082343409</v>
      </c>
      <c r="D89" s="584">
        <f t="shared" si="109"/>
        <v>5082343409</v>
      </c>
      <c r="E89" s="584">
        <f t="shared" si="109"/>
        <v>1164597409</v>
      </c>
      <c r="F89" s="584">
        <f t="shared" si="109"/>
        <v>0</v>
      </c>
      <c r="G89" s="584">
        <f t="shared" si="109"/>
        <v>0</v>
      </c>
      <c r="H89" s="584">
        <f t="shared" si="109"/>
        <v>0</v>
      </c>
      <c r="I89" s="584">
        <f t="shared" si="109"/>
        <v>1164597409</v>
      </c>
      <c r="J89" s="584">
        <f t="shared" si="109"/>
        <v>3917746000</v>
      </c>
      <c r="K89" s="584">
        <f t="shared" si="109"/>
        <v>0</v>
      </c>
      <c r="L89" s="584">
        <f t="shared" si="109"/>
        <v>0</v>
      </c>
      <c r="M89" s="584">
        <f t="shared" si="109"/>
        <v>0</v>
      </c>
      <c r="N89" s="584">
        <f t="shared" si="109"/>
        <v>0</v>
      </c>
      <c r="O89" s="584">
        <f t="shared" si="109"/>
        <v>0</v>
      </c>
      <c r="P89" s="584">
        <f t="shared" si="109"/>
        <v>0</v>
      </c>
      <c r="Q89" s="584">
        <f t="shared" si="109"/>
        <v>0</v>
      </c>
      <c r="R89" s="584">
        <f t="shared" si="109"/>
        <v>0</v>
      </c>
      <c r="S89" s="584">
        <f t="shared" si="109"/>
        <v>0</v>
      </c>
      <c r="T89" s="584">
        <f t="shared" si="109"/>
        <v>0</v>
      </c>
      <c r="U89" s="584">
        <f t="shared" si="109"/>
        <v>0</v>
      </c>
      <c r="V89" s="584">
        <f t="shared" si="109"/>
        <v>0</v>
      </c>
      <c r="W89" s="584">
        <f t="shared" si="109"/>
        <v>0</v>
      </c>
      <c r="X89" s="584">
        <f t="shared" si="109"/>
        <v>0</v>
      </c>
      <c r="Y89" s="584">
        <f t="shared" si="109"/>
        <v>0</v>
      </c>
      <c r="Z89" s="584">
        <f t="shared" si="109"/>
        <v>0</v>
      </c>
      <c r="AA89" s="584">
        <f t="shared" si="109"/>
        <v>0</v>
      </c>
      <c r="AB89" s="584">
        <f t="shared" si="109"/>
        <v>0</v>
      </c>
      <c r="AC89" s="584">
        <f t="shared" si="109"/>
        <v>0</v>
      </c>
      <c r="AD89" s="584">
        <f t="shared" si="109"/>
        <v>0</v>
      </c>
      <c r="AE89" s="584">
        <f t="shared" si="109"/>
        <v>0</v>
      </c>
      <c r="AF89" s="584">
        <f t="shared" si="109"/>
        <v>0</v>
      </c>
      <c r="AG89" s="584">
        <f t="shared" si="109"/>
        <v>0</v>
      </c>
      <c r="AH89" s="584">
        <f t="shared" si="109"/>
        <v>0</v>
      </c>
      <c r="AI89" s="584">
        <f t="shared" si="109"/>
        <v>0</v>
      </c>
      <c r="AJ89" s="584">
        <f t="shared" si="109"/>
        <v>0</v>
      </c>
      <c r="AK89" s="584">
        <f t="shared" si="109"/>
        <v>0</v>
      </c>
      <c r="AL89" s="584">
        <f t="shared" si="109"/>
        <v>0</v>
      </c>
      <c r="AM89" s="584">
        <f t="shared" si="109"/>
        <v>3217746000</v>
      </c>
      <c r="AN89" s="584">
        <f t="shared" si="109"/>
        <v>0</v>
      </c>
      <c r="AO89" s="584">
        <f t="shared" si="109"/>
        <v>0</v>
      </c>
      <c r="AP89" s="584">
        <f t="shared" si="109"/>
        <v>0</v>
      </c>
      <c r="AQ89" s="584">
        <f t="shared" si="109"/>
        <v>700000000</v>
      </c>
      <c r="AR89" s="584">
        <f t="shared" si="109"/>
        <v>0</v>
      </c>
      <c r="AS89" s="584">
        <f t="shared" si="109"/>
        <v>0</v>
      </c>
      <c r="AT89" s="584">
        <f t="shared" si="109"/>
        <v>0</v>
      </c>
      <c r="AU89" s="584">
        <f t="shared" si="109"/>
        <v>0</v>
      </c>
      <c r="AV89" s="584">
        <f>AV90+AV91</f>
        <v>0</v>
      </c>
      <c r="AW89" s="584">
        <f>AW90+AW91</f>
        <v>0</v>
      </c>
      <c r="AX89" s="584">
        <f t="shared" ref="AX89:CN89" si="110">AX90+AX91</f>
        <v>0</v>
      </c>
      <c r="AY89" s="584">
        <f t="shared" si="110"/>
        <v>0</v>
      </c>
      <c r="AZ89" s="584">
        <f t="shared" si="110"/>
        <v>0</v>
      </c>
      <c r="BA89" s="584">
        <f t="shared" si="110"/>
        <v>0</v>
      </c>
      <c r="BB89" s="584">
        <f t="shared" si="110"/>
        <v>0</v>
      </c>
      <c r="BC89" s="584">
        <f t="shared" si="110"/>
        <v>0</v>
      </c>
      <c r="BD89" s="584">
        <f t="shared" si="110"/>
        <v>0</v>
      </c>
      <c r="BE89" s="584">
        <f t="shared" si="110"/>
        <v>0</v>
      </c>
      <c r="BF89" s="584">
        <f t="shared" si="110"/>
        <v>0</v>
      </c>
      <c r="BG89" s="584">
        <f t="shared" si="110"/>
        <v>0</v>
      </c>
      <c r="BH89" s="584">
        <f t="shared" si="110"/>
        <v>0</v>
      </c>
      <c r="BI89" s="584">
        <f t="shared" si="110"/>
        <v>0</v>
      </c>
      <c r="BJ89" s="584">
        <f t="shared" si="110"/>
        <v>0</v>
      </c>
      <c r="BK89" s="584">
        <f t="shared" si="110"/>
        <v>0</v>
      </c>
      <c r="BL89" s="584">
        <f>BL90+BL91</f>
        <v>0</v>
      </c>
      <c r="BM89" s="584">
        <f>BM90+BM91</f>
        <v>0</v>
      </c>
      <c r="BN89" s="584">
        <f t="shared" si="110"/>
        <v>0</v>
      </c>
      <c r="BO89" s="584">
        <f t="shared" si="110"/>
        <v>0</v>
      </c>
      <c r="BP89" s="584">
        <f t="shared" si="110"/>
        <v>0</v>
      </c>
      <c r="BQ89" s="584">
        <f t="shared" si="110"/>
        <v>0</v>
      </c>
      <c r="BR89" s="584">
        <f t="shared" si="110"/>
        <v>0</v>
      </c>
      <c r="BS89" s="584">
        <f t="shared" si="110"/>
        <v>0</v>
      </c>
      <c r="BT89" s="584">
        <f t="shared" si="110"/>
        <v>0</v>
      </c>
      <c r="BU89" s="584">
        <f t="shared" si="110"/>
        <v>0</v>
      </c>
      <c r="BV89" s="584">
        <f t="shared" si="110"/>
        <v>0</v>
      </c>
      <c r="BW89" s="584">
        <f t="shared" si="110"/>
        <v>0</v>
      </c>
      <c r="BX89" s="584">
        <f t="shared" si="110"/>
        <v>0</v>
      </c>
      <c r="BY89" s="584">
        <f t="shared" si="110"/>
        <v>0</v>
      </c>
      <c r="BZ89" s="584">
        <f t="shared" si="110"/>
        <v>0</v>
      </c>
      <c r="CA89" s="584">
        <f t="shared" si="110"/>
        <v>0</v>
      </c>
      <c r="CB89" s="584">
        <f t="shared" si="110"/>
        <v>0</v>
      </c>
      <c r="CC89" s="584">
        <f t="shared" si="110"/>
        <v>0</v>
      </c>
      <c r="CD89" s="584">
        <f t="shared" si="110"/>
        <v>0</v>
      </c>
      <c r="CE89" s="584">
        <f t="shared" si="110"/>
        <v>0</v>
      </c>
      <c r="CF89" s="584">
        <f t="shared" si="110"/>
        <v>0</v>
      </c>
      <c r="CG89" s="584">
        <f t="shared" si="110"/>
        <v>0</v>
      </c>
      <c r="CH89" s="584">
        <f t="shared" si="110"/>
        <v>0</v>
      </c>
      <c r="CI89" s="584">
        <f t="shared" si="110"/>
        <v>0</v>
      </c>
      <c r="CJ89" s="584">
        <f t="shared" si="110"/>
        <v>0</v>
      </c>
      <c r="CK89" s="584">
        <f t="shared" si="110"/>
        <v>0</v>
      </c>
      <c r="CL89" s="584">
        <f t="shared" si="110"/>
        <v>0</v>
      </c>
      <c r="CM89" s="584">
        <f t="shared" si="110"/>
        <v>0</v>
      </c>
      <c r="CN89" s="584">
        <f t="shared" si="110"/>
        <v>0</v>
      </c>
      <c r="CO89" s="584" t="s">
        <v>198</v>
      </c>
      <c r="CP89" s="584">
        <f t="shared" ref="CP89:EH89" si="111">CP90+CP91</f>
        <v>5082343409</v>
      </c>
      <c r="CQ89" s="584">
        <f t="shared" si="111"/>
        <v>5082343409</v>
      </c>
      <c r="CR89" s="584">
        <f t="shared" si="111"/>
        <v>1164597409</v>
      </c>
      <c r="CS89" s="584">
        <f t="shared" si="111"/>
        <v>0</v>
      </c>
      <c r="CT89" s="584">
        <f t="shared" si="111"/>
        <v>0</v>
      </c>
      <c r="CU89" s="584">
        <f t="shared" si="111"/>
        <v>0</v>
      </c>
      <c r="CV89" s="584">
        <f t="shared" si="111"/>
        <v>1164597409</v>
      </c>
      <c r="CW89" s="584">
        <f t="shared" si="111"/>
        <v>3917746000</v>
      </c>
      <c r="CX89" s="584">
        <f t="shared" si="111"/>
        <v>0</v>
      </c>
      <c r="CY89" s="584">
        <f t="shared" si="111"/>
        <v>0</v>
      </c>
      <c r="CZ89" s="584">
        <f t="shared" si="111"/>
        <v>0</v>
      </c>
      <c r="DA89" s="584">
        <f t="shared" si="111"/>
        <v>0</v>
      </c>
      <c r="DB89" s="584">
        <f t="shared" si="111"/>
        <v>0</v>
      </c>
      <c r="DC89" s="584">
        <f t="shared" si="111"/>
        <v>0</v>
      </c>
      <c r="DD89" s="584">
        <f t="shared" si="111"/>
        <v>0</v>
      </c>
      <c r="DE89" s="584">
        <f t="shared" si="111"/>
        <v>0</v>
      </c>
      <c r="DF89" s="584">
        <f t="shared" si="111"/>
        <v>0</v>
      </c>
      <c r="DG89" s="584">
        <f t="shared" si="111"/>
        <v>0</v>
      </c>
      <c r="DH89" s="584">
        <f t="shared" si="111"/>
        <v>0</v>
      </c>
      <c r="DI89" s="584">
        <f t="shared" si="111"/>
        <v>0</v>
      </c>
      <c r="DJ89" s="584">
        <f t="shared" si="111"/>
        <v>0</v>
      </c>
      <c r="DK89" s="584">
        <f t="shared" si="111"/>
        <v>0</v>
      </c>
      <c r="DL89" s="584">
        <f t="shared" si="111"/>
        <v>0</v>
      </c>
      <c r="DM89" s="584">
        <f t="shared" si="111"/>
        <v>0</v>
      </c>
      <c r="DN89" s="584">
        <f t="shared" si="111"/>
        <v>0</v>
      </c>
      <c r="DO89" s="584">
        <f t="shared" si="111"/>
        <v>0</v>
      </c>
      <c r="DP89" s="584">
        <f t="shared" si="111"/>
        <v>0</v>
      </c>
      <c r="DQ89" s="584">
        <f t="shared" si="111"/>
        <v>0</v>
      </c>
      <c r="DR89" s="584">
        <f t="shared" si="111"/>
        <v>0</v>
      </c>
      <c r="DS89" s="584">
        <f t="shared" si="111"/>
        <v>0</v>
      </c>
      <c r="DT89" s="584">
        <f t="shared" si="111"/>
        <v>0</v>
      </c>
      <c r="DU89" s="584">
        <f t="shared" si="111"/>
        <v>0</v>
      </c>
      <c r="DV89" s="584">
        <f t="shared" si="111"/>
        <v>0</v>
      </c>
      <c r="DW89" s="584">
        <f t="shared" si="111"/>
        <v>0</v>
      </c>
      <c r="DX89" s="584">
        <f t="shared" si="111"/>
        <v>0</v>
      </c>
      <c r="DY89" s="584">
        <f t="shared" si="111"/>
        <v>0</v>
      </c>
      <c r="DZ89" s="584">
        <f t="shared" si="111"/>
        <v>3217746000</v>
      </c>
      <c r="EA89" s="584">
        <f t="shared" si="111"/>
        <v>0</v>
      </c>
      <c r="EB89" s="584">
        <f t="shared" si="111"/>
        <v>0</v>
      </c>
      <c r="EC89" s="584">
        <f t="shared" si="111"/>
        <v>0</v>
      </c>
      <c r="ED89" s="584">
        <f t="shared" si="111"/>
        <v>700000000</v>
      </c>
      <c r="EE89" s="584">
        <f t="shared" si="111"/>
        <v>0</v>
      </c>
      <c r="EF89" s="584">
        <f t="shared" si="111"/>
        <v>0</v>
      </c>
      <c r="EG89" s="584">
        <f t="shared" si="111"/>
        <v>0</v>
      </c>
      <c r="EH89" s="584">
        <f t="shared" si="111"/>
        <v>0</v>
      </c>
      <c r="EI89" s="584">
        <f>EI90+EI91</f>
        <v>0</v>
      </c>
      <c r="EJ89" s="584">
        <f>EJ90+EJ91</f>
        <v>0</v>
      </c>
      <c r="EK89" s="584">
        <f t="shared" ref="EK89:GA89" si="112">EK90+EK91</f>
        <v>0</v>
      </c>
      <c r="EL89" s="584">
        <f t="shared" si="112"/>
        <v>0</v>
      </c>
      <c r="EM89" s="584">
        <f t="shared" si="112"/>
        <v>0</v>
      </c>
      <c r="EN89" s="584">
        <f t="shared" si="112"/>
        <v>0</v>
      </c>
      <c r="EO89" s="584">
        <f t="shared" si="112"/>
        <v>0</v>
      </c>
      <c r="EP89" s="584">
        <f t="shared" si="112"/>
        <v>0</v>
      </c>
      <c r="EQ89" s="584">
        <f t="shared" si="112"/>
        <v>0</v>
      </c>
      <c r="ER89" s="584">
        <f t="shared" si="112"/>
        <v>0</v>
      </c>
      <c r="ES89" s="584">
        <f t="shared" si="112"/>
        <v>0</v>
      </c>
      <c r="ET89" s="584">
        <f t="shared" si="112"/>
        <v>0</v>
      </c>
      <c r="EU89" s="584">
        <f t="shared" si="112"/>
        <v>0</v>
      </c>
      <c r="EV89" s="584">
        <f t="shared" si="112"/>
        <v>0</v>
      </c>
      <c r="EW89" s="584">
        <f t="shared" si="112"/>
        <v>0</v>
      </c>
      <c r="EX89" s="584">
        <f t="shared" si="112"/>
        <v>0</v>
      </c>
      <c r="EY89" s="584">
        <f t="shared" si="112"/>
        <v>0</v>
      </c>
      <c r="EZ89" s="584">
        <f t="shared" si="112"/>
        <v>0</v>
      </c>
      <c r="FA89" s="584">
        <f t="shared" si="112"/>
        <v>0</v>
      </c>
      <c r="FB89" s="584">
        <f t="shared" si="112"/>
        <v>0</v>
      </c>
      <c r="FC89" s="584">
        <f t="shared" si="112"/>
        <v>0</v>
      </c>
      <c r="FD89" s="584">
        <f t="shared" si="112"/>
        <v>0</v>
      </c>
      <c r="FE89" s="584">
        <f t="shared" si="112"/>
        <v>0</v>
      </c>
      <c r="FF89" s="584">
        <f t="shared" si="112"/>
        <v>0</v>
      </c>
      <c r="FG89" s="584">
        <f t="shared" si="112"/>
        <v>0</v>
      </c>
      <c r="FH89" s="584">
        <f t="shared" si="112"/>
        <v>0</v>
      </c>
      <c r="FI89" s="584">
        <f t="shared" si="112"/>
        <v>0</v>
      </c>
      <c r="FJ89" s="584">
        <f t="shared" si="112"/>
        <v>0</v>
      </c>
      <c r="FK89" s="584">
        <f t="shared" si="112"/>
        <v>0</v>
      </c>
      <c r="FL89" s="584">
        <f t="shared" si="112"/>
        <v>0</v>
      </c>
      <c r="FM89" s="584">
        <f t="shared" si="112"/>
        <v>0</v>
      </c>
      <c r="FN89" s="584">
        <f t="shared" si="112"/>
        <v>0</v>
      </c>
      <c r="FO89" s="584">
        <f t="shared" si="112"/>
        <v>0</v>
      </c>
      <c r="FP89" s="584">
        <f t="shared" si="112"/>
        <v>0</v>
      </c>
      <c r="FQ89" s="584">
        <f t="shared" si="112"/>
        <v>0</v>
      </c>
      <c r="FR89" s="584">
        <f t="shared" si="112"/>
        <v>0</v>
      </c>
      <c r="FS89" s="584">
        <f t="shared" si="112"/>
        <v>0</v>
      </c>
      <c r="FT89" s="584">
        <f t="shared" si="112"/>
        <v>0</v>
      </c>
      <c r="FU89" s="584">
        <f t="shared" si="112"/>
        <v>0</v>
      </c>
      <c r="FV89" s="584">
        <f t="shared" si="112"/>
        <v>0</v>
      </c>
      <c r="FW89" s="584">
        <f t="shared" si="112"/>
        <v>0</v>
      </c>
      <c r="FX89" s="584">
        <f t="shared" si="112"/>
        <v>0</v>
      </c>
      <c r="FY89" s="584">
        <f t="shared" si="112"/>
        <v>0</v>
      </c>
      <c r="FZ89" s="584">
        <f t="shared" si="112"/>
        <v>0</v>
      </c>
      <c r="GA89" s="584">
        <f t="shared" si="112"/>
        <v>0</v>
      </c>
      <c r="GB89" s="584">
        <f>GB90+GB91</f>
        <v>0</v>
      </c>
      <c r="GC89" s="586">
        <f t="shared" si="108"/>
        <v>1</v>
      </c>
      <c r="GD89" s="586"/>
      <c r="GE89" s="586">
        <f>CW89/J89</f>
        <v>1</v>
      </c>
      <c r="GF89" s="586"/>
      <c r="GG89" s="586"/>
    </row>
    <row r="90" spans="1:189" s="92" customFormat="1" ht="17.25" hidden="1" customHeight="1">
      <c r="A90" s="582"/>
      <c r="B90" s="583" t="s">
        <v>183</v>
      </c>
      <c r="C90" s="584">
        <f>D90+BE90+CI90</f>
        <v>1164597409</v>
      </c>
      <c r="D90" s="584">
        <f>E90+J90</f>
        <v>1164597409</v>
      </c>
      <c r="E90" s="584">
        <f>SUM(F90:I90)</f>
        <v>1164597409</v>
      </c>
      <c r="F90" s="584"/>
      <c r="G90" s="584"/>
      <c r="H90" s="584"/>
      <c r="I90" s="584">
        <v>1164597409</v>
      </c>
      <c r="J90" s="584">
        <f>SUM(K90:BD90)</f>
        <v>0</v>
      </c>
      <c r="K90" s="584"/>
      <c r="L90" s="584"/>
      <c r="M90" s="584"/>
      <c r="N90" s="584"/>
      <c r="O90" s="584"/>
      <c r="P90" s="584"/>
      <c r="Q90" s="584"/>
      <c r="R90" s="584"/>
      <c r="S90" s="584"/>
      <c r="T90" s="584"/>
      <c r="U90" s="584"/>
      <c r="V90" s="584"/>
      <c r="W90" s="584"/>
      <c r="X90" s="584"/>
      <c r="Y90" s="584"/>
      <c r="Z90" s="584"/>
      <c r="AA90" s="584"/>
      <c r="AB90" s="584"/>
      <c r="AC90" s="584"/>
      <c r="AD90" s="584"/>
      <c r="AE90" s="584"/>
      <c r="AF90" s="584"/>
      <c r="AG90" s="584"/>
      <c r="AH90" s="584"/>
      <c r="AI90" s="584"/>
      <c r="AJ90" s="584"/>
      <c r="AK90" s="584"/>
      <c r="AL90" s="584"/>
      <c r="AM90" s="584"/>
      <c r="AN90" s="584"/>
      <c r="AO90" s="584"/>
      <c r="AP90" s="584"/>
      <c r="AQ90" s="584"/>
      <c r="AR90" s="584"/>
      <c r="AS90" s="584"/>
      <c r="AT90" s="584"/>
      <c r="AU90" s="584"/>
      <c r="AV90" s="584"/>
      <c r="AW90" s="584"/>
      <c r="AX90" s="584"/>
      <c r="AY90" s="584"/>
      <c r="AZ90" s="584"/>
      <c r="BA90" s="584"/>
      <c r="BB90" s="584"/>
      <c r="BC90" s="584"/>
      <c r="BD90" s="584"/>
      <c r="BE90" s="584">
        <f>SUM(BF90:BG90)</f>
        <v>0</v>
      </c>
      <c r="BF90" s="584">
        <f>SUM(BH90:BI90)+BJ90+SUM(BL90:BN90)+BW90+CE90</f>
        <v>0</v>
      </c>
      <c r="BG90" s="584">
        <f>BK90+SUM(BO90:BV90)+SUM(BX90:CD90)+SUM(CF90:CH90)</f>
        <v>0</v>
      </c>
      <c r="BH90" s="584"/>
      <c r="BI90" s="584"/>
      <c r="BJ90" s="584"/>
      <c r="BK90" s="584"/>
      <c r="BL90" s="584"/>
      <c r="BM90" s="584"/>
      <c r="BN90" s="584"/>
      <c r="BO90" s="584"/>
      <c r="BP90" s="584"/>
      <c r="BQ90" s="584"/>
      <c r="BR90" s="584"/>
      <c r="BS90" s="584"/>
      <c r="BT90" s="584"/>
      <c r="BU90" s="584"/>
      <c r="BV90" s="584"/>
      <c r="BW90" s="584"/>
      <c r="BX90" s="584"/>
      <c r="BY90" s="584"/>
      <c r="BZ90" s="584"/>
      <c r="CA90" s="584"/>
      <c r="CB90" s="584"/>
      <c r="CC90" s="584"/>
      <c r="CD90" s="584"/>
      <c r="CE90" s="584"/>
      <c r="CF90" s="584"/>
      <c r="CG90" s="584"/>
      <c r="CH90" s="584"/>
      <c r="CI90" s="584">
        <f>SUM(CJ90:CK90)</f>
        <v>0</v>
      </c>
      <c r="CJ90" s="584">
        <f>SUM(CL90:CL90)</f>
        <v>0</v>
      </c>
      <c r="CK90" s="584">
        <f>SUM(CM90:CN90)</f>
        <v>0</v>
      </c>
      <c r="CL90" s="584"/>
      <c r="CM90" s="584"/>
      <c r="CN90" s="584"/>
      <c r="CO90" s="583" t="s">
        <v>183</v>
      </c>
      <c r="CP90" s="584">
        <f>CQ90+ER90+FV90+GB90</f>
        <v>1164597409</v>
      </c>
      <c r="CQ90" s="584">
        <f>CR90+CW90</f>
        <v>1164597409</v>
      </c>
      <c r="CR90" s="584">
        <f>SUM(CS90:CV90)</f>
        <v>1164597409</v>
      </c>
      <c r="CS90" s="584"/>
      <c r="CT90" s="584"/>
      <c r="CU90" s="584"/>
      <c r="CV90" s="584">
        <v>1164597409</v>
      </c>
      <c r="CW90" s="584">
        <f>SUM(CX90:EQ90)</f>
        <v>0</v>
      </c>
      <c r="CX90" s="584"/>
      <c r="CY90" s="584"/>
      <c r="CZ90" s="584"/>
      <c r="DA90" s="584"/>
      <c r="DB90" s="584"/>
      <c r="DC90" s="584"/>
      <c r="DD90" s="584"/>
      <c r="DE90" s="584"/>
      <c r="DF90" s="584"/>
      <c r="DG90" s="584"/>
      <c r="DH90" s="584"/>
      <c r="DI90" s="584"/>
      <c r="DJ90" s="584"/>
      <c r="DK90" s="584"/>
      <c r="DL90" s="584"/>
      <c r="DM90" s="584"/>
      <c r="DN90" s="584"/>
      <c r="DO90" s="584"/>
      <c r="DP90" s="584"/>
      <c r="DQ90" s="584"/>
      <c r="DR90" s="584"/>
      <c r="DS90" s="584"/>
      <c r="DT90" s="584"/>
      <c r="DU90" s="584"/>
      <c r="DV90" s="584"/>
      <c r="DW90" s="584"/>
      <c r="DX90" s="584"/>
      <c r="DY90" s="584"/>
      <c r="DZ90" s="584"/>
      <c r="EA90" s="584"/>
      <c r="EB90" s="584"/>
      <c r="EC90" s="584"/>
      <c r="ED90" s="584"/>
      <c r="EE90" s="584"/>
      <c r="EF90" s="584"/>
      <c r="EG90" s="584"/>
      <c r="EH90" s="584"/>
      <c r="EI90" s="584"/>
      <c r="EJ90" s="584"/>
      <c r="EK90" s="584"/>
      <c r="EL90" s="584"/>
      <c r="EM90" s="584"/>
      <c r="EN90" s="584"/>
      <c r="EO90" s="584"/>
      <c r="EP90" s="584"/>
      <c r="EQ90" s="584"/>
      <c r="ER90" s="584">
        <f>SUM(ES90:ET90)</f>
        <v>0</v>
      </c>
      <c r="ES90" s="584">
        <f>SUM(EU90:EV90)+EW90+SUM(EY90:FA90)+FJ90+FR90</f>
        <v>0</v>
      </c>
      <c r="ET90" s="584">
        <f>EX90+SUM(FB90:FI90)+SUM(FK90:FQ90)+SUM(FS90:FU90)</f>
        <v>0</v>
      </c>
      <c r="EU90" s="584"/>
      <c r="EV90" s="584"/>
      <c r="EW90" s="584"/>
      <c r="EX90" s="584"/>
      <c r="EY90" s="584"/>
      <c r="EZ90" s="584"/>
      <c r="FA90" s="584"/>
      <c r="FB90" s="584"/>
      <c r="FC90" s="584"/>
      <c r="FD90" s="584"/>
      <c r="FE90" s="584"/>
      <c r="FF90" s="584"/>
      <c r="FG90" s="584"/>
      <c r="FH90" s="584"/>
      <c r="FI90" s="584"/>
      <c r="FJ90" s="584"/>
      <c r="FK90" s="584"/>
      <c r="FL90" s="584"/>
      <c r="FM90" s="584"/>
      <c r="FN90" s="584"/>
      <c r="FO90" s="584"/>
      <c r="FP90" s="584"/>
      <c r="FQ90" s="584"/>
      <c r="FR90" s="584"/>
      <c r="FS90" s="584"/>
      <c r="FT90" s="584"/>
      <c r="FU90" s="584"/>
      <c r="FV90" s="584">
        <f>SUM(FW90:FX90)</f>
        <v>0</v>
      </c>
      <c r="FW90" s="584">
        <f>SUM(FY90:FY90)</f>
        <v>0</v>
      </c>
      <c r="FX90" s="584">
        <f>SUM(FZ90:GA90)</f>
        <v>0</v>
      </c>
      <c r="FY90" s="584"/>
      <c r="FZ90" s="584"/>
      <c r="GA90" s="584"/>
      <c r="GB90" s="584"/>
      <c r="GC90" s="586">
        <f t="shared" si="108"/>
        <v>1</v>
      </c>
      <c r="GD90" s="586"/>
      <c r="GE90" s="586"/>
      <c r="GF90" s="586"/>
      <c r="GG90" s="586"/>
    </row>
    <row r="91" spans="1:189" s="92" customFormat="1" ht="17.25" hidden="1" customHeight="1">
      <c r="A91" s="582"/>
      <c r="B91" s="583" t="s">
        <v>184</v>
      </c>
      <c r="C91" s="584">
        <f>D91+BE91+CI91</f>
        <v>3917746000</v>
      </c>
      <c r="D91" s="584">
        <f>E91+J91</f>
        <v>3917746000</v>
      </c>
      <c r="E91" s="584">
        <f>SUM(F91:I91)</f>
        <v>0</v>
      </c>
      <c r="F91" s="584"/>
      <c r="G91" s="584"/>
      <c r="H91" s="584"/>
      <c r="I91" s="584"/>
      <c r="J91" s="584">
        <f>SUM(K91:BD91)</f>
        <v>3917746000</v>
      </c>
      <c r="K91" s="584"/>
      <c r="L91" s="584"/>
      <c r="M91" s="584"/>
      <c r="N91" s="584"/>
      <c r="O91" s="584"/>
      <c r="P91" s="584"/>
      <c r="Q91" s="584"/>
      <c r="R91" s="584"/>
      <c r="S91" s="584"/>
      <c r="T91" s="584"/>
      <c r="U91" s="584"/>
      <c r="V91" s="584"/>
      <c r="W91" s="584"/>
      <c r="X91" s="584"/>
      <c r="Y91" s="584"/>
      <c r="Z91" s="584"/>
      <c r="AA91" s="584"/>
      <c r="AB91" s="584"/>
      <c r="AC91" s="584"/>
      <c r="AD91" s="584"/>
      <c r="AE91" s="584"/>
      <c r="AF91" s="584"/>
      <c r="AG91" s="584"/>
      <c r="AH91" s="584"/>
      <c r="AI91" s="584"/>
      <c r="AJ91" s="584"/>
      <c r="AK91" s="584"/>
      <c r="AL91" s="584"/>
      <c r="AM91" s="584">
        <v>3217746000</v>
      </c>
      <c r="AN91" s="584"/>
      <c r="AO91" s="584"/>
      <c r="AP91" s="584"/>
      <c r="AQ91" s="584">
        <v>700000000</v>
      </c>
      <c r="AR91" s="584"/>
      <c r="AS91" s="584"/>
      <c r="AT91" s="584"/>
      <c r="AU91" s="584"/>
      <c r="AV91" s="584"/>
      <c r="AW91" s="584"/>
      <c r="AX91" s="584"/>
      <c r="AY91" s="584"/>
      <c r="AZ91" s="584"/>
      <c r="BA91" s="584"/>
      <c r="BB91" s="584"/>
      <c r="BC91" s="584"/>
      <c r="BD91" s="584"/>
      <c r="BE91" s="584">
        <f>SUM(BF91:BG91)</f>
        <v>0</v>
      </c>
      <c r="BF91" s="584">
        <f>SUM(BH91:BI91)+BJ91+SUM(BL91:BN91)+BW91+CE91</f>
        <v>0</v>
      </c>
      <c r="BG91" s="584">
        <f>BK91+SUM(BO91:BV91)+SUM(BX91:CD91)+SUM(CF91:CH91)</f>
        <v>0</v>
      </c>
      <c r="BH91" s="584"/>
      <c r="BI91" s="584"/>
      <c r="BJ91" s="584"/>
      <c r="BK91" s="584"/>
      <c r="BL91" s="584"/>
      <c r="BM91" s="584"/>
      <c r="BN91" s="584"/>
      <c r="BO91" s="584"/>
      <c r="BP91" s="584"/>
      <c r="BQ91" s="584"/>
      <c r="BR91" s="584"/>
      <c r="BS91" s="584"/>
      <c r="BT91" s="584"/>
      <c r="BU91" s="584"/>
      <c r="BV91" s="584"/>
      <c r="BW91" s="584"/>
      <c r="BX91" s="584"/>
      <c r="BY91" s="584"/>
      <c r="BZ91" s="584"/>
      <c r="CA91" s="584"/>
      <c r="CB91" s="584"/>
      <c r="CC91" s="584"/>
      <c r="CD91" s="584"/>
      <c r="CE91" s="584"/>
      <c r="CF91" s="584"/>
      <c r="CG91" s="584"/>
      <c r="CH91" s="584"/>
      <c r="CI91" s="584">
        <f>SUM(CJ91:CK91)</f>
        <v>0</v>
      </c>
      <c r="CJ91" s="584">
        <f>SUM(CL91:CL91)</f>
        <v>0</v>
      </c>
      <c r="CK91" s="584">
        <f>SUM(CM91:CN91)</f>
        <v>0</v>
      </c>
      <c r="CL91" s="584"/>
      <c r="CM91" s="584"/>
      <c r="CN91" s="584"/>
      <c r="CO91" s="583" t="s">
        <v>184</v>
      </c>
      <c r="CP91" s="584">
        <f>CQ91+ER91+FV91+GB91</f>
        <v>3917746000</v>
      </c>
      <c r="CQ91" s="584">
        <f>CR91+CW91</f>
        <v>3917746000</v>
      </c>
      <c r="CR91" s="584">
        <f>SUM(CS91:CV91)</f>
        <v>0</v>
      </c>
      <c r="CS91" s="584"/>
      <c r="CT91" s="584"/>
      <c r="CU91" s="584"/>
      <c r="CV91" s="584"/>
      <c r="CW91" s="584">
        <f>SUM(CX91:EQ91)</f>
        <v>3917746000</v>
      </c>
      <c r="CX91" s="584"/>
      <c r="CY91" s="584"/>
      <c r="CZ91" s="584"/>
      <c r="DA91" s="584"/>
      <c r="DB91" s="584"/>
      <c r="DC91" s="584"/>
      <c r="DD91" s="584"/>
      <c r="DE91" s="584"/>
      <c r="DF91" s="584"/>
      <c r="DG91" s="584"/>
      <c r="DH91" s="584"/>
      <c r="DI91" s="584"/>
      <c r="DJ91" s="584"/>
      <c r="DK91" s="584"/>
      <c r="DL91" s="584"/>
      <c r="DM91" s="584"/>
      <c r="DN91" s="584"/>
      <c r="DO91" s="584"/>
      <c r="DP91" s="584"/>
      <c r="DQ91" s="584"/>
      <c r="DR91" s="584"/>
      <c r="DS91" s="584"/>
      <c r="DT91" s="584"/>
      <c r="DU91" s="584"/>
      <c r="DV91" s="584"/>
      <c r="DW91" s="584"/>
      <c r="DX91" s="584"/>
      <c r="DY91" s="584"/>
      <c r="DZ91" s="584">
        <v>3217746000</v>
      </c>
      <c r="EA91" s="584"/>
      <c r="EB91" s="584"/>
      <c r="EC91" s="584"/>
      <c r="ED91" s="584">
        <v>700000000</v>
      </c>
      <c r="EE91" s="584"/>
      <c r="EF91" s="584"/>
      <c r="EG91" s="584"/>
      <c r="EH91" s="584"/>
      <c r="EI91" s="584"/>
      <c r="EJ91" s="584"/>
      <c r="EK91" s="584"/>
      <c r="EL91" s="584"/>
      <c r="EM91" s="584"/>
      <c r="EN91" s="584"/>
      <c r="EO91" s="584"/>
      <c r="EP91" s="584"/>
      <c r="EQ91" s="584"/>
      <c r="ER91" s="584">
        <f>SUM(ES91:ET91)</f>
        <v>0</v>
      </c>
      <c r="ES91" s="584">
        <f>SUM(EU91:EV91)+EW91+SUM(EY91:FA91)+FJ91+FR91</f>
        <v>0</v>
      </c>
      <c r="ET91" s="584">
        <f>EX91+SUM(FB91:FI91)+SUM(FK91:FQ91)+SUM(FS91:FU91)</f>
        <v>0</v>
      </c>
      <c r="EU91" s="584"/>
      <c r="EV91" s="584"/>
      <c r="EW91" s="584"/>
      <c r="EX91" s="584"/>
      <c r="EY91" s="584"/>
      <c r="EZ91" s="584"/>
      <c r="FA91" s="584"/>
      <c r="FB91" s="584"/>
      <c r="FC91" s="584"/>
      <c r="FD91" s="584"/>
      <c r="FE91" s="584"/>
      <c r="FF91" s="584"/>
      <c r="FG91" s="584"/>
      <c r="FH91" s="584"/>
      <c r="FI91" s="584"/>
      <c r="FJ91" s="584"/>
      <c r="FK91" s="584"/>
      <c r="FL91" s="584"/>
      <c r="FM91" s="584"/>
      <c r="FN91" s="584"/>
      <c r="FO91" s="584"/>
      <c r="FP91" s="584"/>
      <c r="FQ91" s="584"/>
      <c r="FR91" s="584"/>
      <c r="FS91" s="584"/>
      <c r="FT91" s="584"/>
      <c r="FU91" s="584"/>
      <c r="FV91" s="584">
        <f>SUM(FW91:FX91)</f>
        <v>0</v>
      </c>
      <c r="FW91" s="584">
        <f>SUM(FY91:FY91)</f>
        <v>0</v>
      </c>
      <c r="FX91" s="584">
        <f>SUM(FZ91:GA91)</f>
        <v>0</v>
      </c>
      <c r="FY91" s="584"/>
      <c r="FZ91" s="584"/>
      <c r="GA91" s="584"/>
      <c r="GB91" s="584"/>
      <c r="GC91" s="586">
        <f t="shared" si="108"/>
        <v>1</v>
      </c>
      <c r="GD91" s="586"/>
      <c r="GE91" s="586">
        <f>CW91/J91</f>
        <v>1</v>
      </c>
      <c r="GF91" s="586"/>
      <c r="GG91" s="586"/>
    </row>
    <row r="92" spans="1:189" s="92" customFormat="1" ht="17.25" customHeight="1">
      <c r="A92" s="582">
        <v>27</v>
      </c>
      <c r="B92" s="583" t="s">
        <v>199</v>
      </c>
      <c r="C92" s="584">
        <f t="shared" ref="C92:AU92" si="113">C93+C94</f>
        <v>2800486306</v>
      </c>
      <c r="D92" s="584">
        <f t="shared" si="113"/>
        <v>2764920806</v>
      </c>
      <c r="E92" s="584">
        <f t="shared" si="113"/>
        <v>611999000</v>
      </c>
      <c r="F92" s="584">
        <f t="shared" si="113"/>
        <v>611999000</v>
      </c>
      <c r="G92" s="584">
        <f t="shared" si="113"/>
        <v>0</v>
      </c>
      <c r="H92" s="584">
        <f t="shared" si="113"/>
        <v>0</v>
      </c>
      <c r="I92" s="584">
        <f t="shared" si="113"/>
        <v>0</v>
      </c>
      <c r="J92" s="584">
        <f t="shared" si="113"/>
        <v>2152921806</v>
      </c>
      <c r="K92" s="584">
        <f t="shared" si="113"/>
        <v>0</v>
      </c>
      <c r="L92" s="584">
        <f t="shared" si="113"/>
        <v>0</v>
      </c>
      <c r="M92" s="584">
        <f t="shared" si="113"/>
        <v>0</v>
      </c>
      <c r="N92" s="584">
        <f t="shared" si="113"/>
        <v>0</v>
      </c>
      <c r="O92" s="584">
        <f t="shared" si="113"/>
        <v>0</v>
      </c>
      <c r="P92" s="584">
        <f t="shared" si="113"/>
        <v>0</v>
      </c>
      <c r="Q92" s="584">
        <f t="shared" si="113"/>
        <v>0</v>
      </c>
      <c r="R92" s="584">
        <f t="shared" si="113"/>
        <v>0</v>
      </c>
      <c r="S92" s="584">
        <f t="shared" si="113"/>
        <v>0</v>
      </c>
      <c r="T92" s="584">
        <f t="shared" si="113"/>
        <v>0</v>
      </c>
      <c r="U92" s="584">
        <f t="shared" si="113"/>
        <v>0</v>
      </c>
      <c r="V92" s="584">
        <f t="shared" si="113"/>
        <v>0</v>
      </c>
      <c r="W92" s="584">
        <f t="shared" si="113"/>
        <v>0</v>
      </c>
      <c r="X92" s="584">
        <f t="shared" si="113"/>
        <v>0</v>
      </c>
      <c r="Y92" s="584">
        <f t="shared" si="113"/>
        <v>0</v>
      </c>
      <c r="Z92" s="584">
        <f t="shared" si="113"/>
        <v>0</v>
      </c>
      <c r="AA92" s="584">
        <f t="shared" si="113"/>
        <v>0</v>
      </c>
      <c r="AB92" s="584">
        <f t="shared" si="113"/>
        <v>115400000</v>
      </c>
      <c r="AC92" s="584">
        <f t="shared" si="113"/>
        <v>0</v>
      </c>
      <c r="AD92" s="584">
        <f t="shared" si="113"/>
        <v>0</v>
      </c>
      <c r="AE92" s="584">
        <f t="shared" si="113"/>
        <v>0</v>
      </c>
      <c r="AF92" s="584">
        <f t="shared" si="113"/>
        <v>0</v>
      </c>
      <c r="AG92" s="584">
        <f t="shared" si="113"/>
        <v>0</v>
      </c>
      <c r="AH92" s="584">
        <f t="shared" si="113"/>
        <v>0</v>
      </c>
      <c r="AI92" s="584">
        <f t="shared" si="113"/>
        <v>0</v>
      </c>
      <c r="AJ92" s="584">
        <f t="shared" si="113"/>
        <v>5924220</v>
      </c>
      <c r="AK92" s="584">
        <f t="shared" si="113"/>
        <v>22022120</v>
      </c>
      <c r="AL92" s="584">
        <f t="shared" si="113"/>
        <v>0</v>
      </c>
      <c r="AM92" s="584">
        <f t="shared" si="113"/>
        <v>0</v>
      </c>
      <c r="AN92" s="584">
        <f t="shared" si="113"/>
        <v>0</v>
      </c>
      <c r="AO92" s="584">
        <f t="shared" si="113"/>
        <v>0</v>
      </c>
      <c r="AP92" s="584">
        <f t="shared" si="113"/>
        <v>0</v>
      </c>
      <c r="AQ92" s="584">
        <f t="shared" si="113"/>
        <v>0</v>
      </c>
      <c r="AR92" s="584">
        <f t="shared" si="113"/>
        <v>0</v>
      </c>
      <c r="AS92" s="584">
        <f t="shared" si="113"/>
        <v>0</v>
      </c>
      <c r="AT92" s="584">
        <f t="shared" si="113"/>
        <v>0</v>
      </c>
      <c r="AU92" s="584">
        <f t="shared" si="113"/>
        <v>0</v>
      </c>
      <c r="AV92" s="584">
        <f>AV93+AV94</f>
        <v>0</v>
      </c>
      <c r="AW92" s="584">
        <f>AW93+AW94</f>
        <v>0</v>
      </c>
      <c r="AX92" s="584">
        <f t="shared" ref="AX92:CN92" si="114">AX93+AX94</f>
        <v>1681259176</v>
      </c>
      <c r="AY92" s="584">
        <f t="shared" si="114"/>
        <v>328316290</v>
      </c>
      <c r="AZ92" s="584">
        <f t="shared" si="114"/>
        <v>0</v>
      </c>
      <c r="BA92" s="584">
        <f t="shared" si="114"/>
        <v>0</v>
      </c>
      <c r="BB92" s="584">
        <f t="shared" si="114"/>
        <v>0</v>
      </c>
      <c r="BC92" s="584">
        <f t="shared" si="114"/>
        <v>0</v>
      </c>
      <c r="BD92" s="584">
        <f t="shared" si="114"/>
        <v>0</v>
      </c>
      <c r="BE92" s="584">
        <f t="shared" si="114"/>
        <v>28899000</v>
      </c>
      <c r="BF92" s="584">
        <f t="shared" si="114"/>
        <v>28899000</v>
      </c>
      <c r="BG92" s="584">
        <f t="shared" si="114"/>
        <v>0</v>
      </c>
      <c r="BH92" s="584">
        <f t="shared" si="114"/>
        <v>0</v>
      </c>
      <c r="BI92" s="584">
        <f t="shared" si="114"/>
        <v>0</v>
      </c>
      <c r="BJ92" s="584">
        <f t="shared" si="114"/>
        <v>12663000</v>
      </c>
      <c r="BK92" s="584">
        <f t="shared" si="114"/>
        <v>0</v>
      </c>
      <c r="BL92" s="584">
        <f>BL93+BL94</f>
        <v>0</v>
      </c>
      <c r="BM92" s="584">
        <f>BM93+BM94</f>
        <v>296000</v>
      </c>
      <c r="BN92" s="584">
        <f t="shared" si="114"/>
        <v>0</v>
      </c>
      <c r="BO92" s="584">
        <f t="shared" si="114"/>
        <v>0</v>
      </c>
      <c r="BP92" s="584">
        <f t="shared" si="114"/>
        <v>0</v>
      </c>
      <c r="BQ92" s="584">
        <f t="shared" si="114"/>
        <v>0</v>
      </c>
      <c r="BR92" s="584">
        <f t="shared" si="114"/>
        <v>0</v>
      </c>
      <c r="BS92" s="584">
        <f t="shared" si="114"/>
        <v>0</v>
      </c>
      <c r="BT92" s="584">
        <f t="shared" si="114"/>
        <v>0</v>
      </c>
      <c r="BU92" s="584">
        <f t="shared" si="114"/>
        <v>0</v>
      </c>
      <c r="BV92" s="584">
        <f t="shared" si="114"/>
        <v>0</v>
      </c>
      <c r="BW92" s="584">
        <f t="shared" si="114"/>
        <v>0</v>
      </c>
      <c r="BX92" s="584">
        <f t="shared" si="114"/>
        <v>0</v>
      </c>
      <c r="BY92" s="584">
        <f t="shared" si="114"/>
        <v>0</v>
      </c>
      <c r="BZ92" s="584">
        <f t="shared" si="114"/>
        <v>0</v>
      </c>
      <c r="CA92" s="584">
        <f t="shared" si="114"/>
        <v>0</v>
      </c>
      <c r="CB92" s="584">
        <f t="shared" si="114"/>
        <v>0</v>
      </c>
      <c r="CC92" s="584">
        <f t="shared" si="114"/>
        <v>0</v>
      </c>
      <c r="CD92" s="584">
        <f t="shared" si="114"/>
        <v>0</v>
      </c>
      <c r="CE92" s="584">
        <f t="shared" si="114"/>
        <v>15940000</v>
      </c>
      <c r="CF92" s="584">
        <f t="shared" si="114"/>
        <v>0</v>
      </c>
      <c r="CG92" s="584">
        <f t="shared" si="114"/>
        <v>0</v>
      </c>
      <c r="CH92" s="584">
        <f t="shared" si="114"/>
        <v>0</v>
      </c>
      <c r="CI92" s="584">
        <f t="shared" si="114"/>
        <v>6666500</v>
      </c>
      <c r="CJ92" s="584">
        <f t="shared" si="114"/>
        <v>0</v>
      </c>
      <c r="CK92" s="584">
        <f t="shared" si="114"/>
        <v>6666500</v>
      </c>
      <c r="CL92" s="584">
        <f t="shared" si="114"/>
        <v>0</v>
      </c>
      <c r="CM92" s="584">
        <f t="shared" si="114"/>
        <v>6666500</v>
      </c>
      <c r="CN92" s="584">
        <f t="shared" si="114"/>
        <v>0</v>
      </c>
      <c r="CO92" s="583" t="s">
        <v>199</v>
      </c>
      <c r="CP92" s="584">
        <f t="shared" ref="CP92:EH92" si="115">CP93+CP94</f>
        <v>2800486306</v>
      </c>
      <c r="CQ92" s="584">
        <f t="shared" si="115"/>
        <v>2764920806</v>
      </c>
      <c r="CR92" s="584">
        <f t="shared" si="115"/>
        <v>611999000</v>
      </c>
      <c r="CS92" s="584">
        <f t="shared" si="115"/>
        <v>611999000</v>
      </c>
      <c r="CT92" s="584">
        <f t="shared" si="115"/>
        <v>0</v>
      </c>
      <c r="CU92" s="584">
        <f t="shared" si="115"/>
        <v>0</v>
      </c>
      <c r="CV92" s="584">
        <f t="shared" si="115"/>
        <v>0</v>
      </c>
      <c r="CW92" s="584">
        <f t="shared" si="115"/>
        <v>2152921806</v>
      </c>
      <c r="CX92" s="584">
        <f t="shared" si="115"/>
        <v>0</v>
      </c>
      <c r="CY92" s="584">
        <f t="shared" si="115"/>
        <v>0</v>
      </c>
      <c r="CZ92" s="584">
        <f t="shared" si="115"/>
        <v>0</v>
      </c>
      <c r="DA92" s="584">
        <f t="shared" si="115"/>
        <v>0</v>
      </c>
      <c r="DB92" s="584">
        <f t="shared" si="115"/>
        <v>0</v>
      </c>
      <c r="DC92" s="584">
        <f t="shared" si="115"/>
        <v>0</v>
      </c>
      <c r="DD92" s="584">
        <f t="shared" si="115"/>
        <v>0</v>
      </c>
      <c r="DE92" s="584">
        <f t="shared" si="115"/>
        <v>0</v>
      </c>
      <c r="DF92" s="584">
        <f t="shared" si="115"/>
        <v>0</v>
      </c>
      <c r="DG92" s="584">
        <f t="shared" si="115"/>
        <v>0</v>
      </c>
      <c r="DH92" s="584">
        <f t="shared" si="115"/>
        <v>0</v>
      </c>
      <c r="DI92" s="584">
        <f t="shared" si="115"/>
        <v>0</v>
      </c>
      <c r="DJ92" s="584">
        <f t="shared" si="115"/>
        <v>0</v>
      </c>
      <c r="DK92" s="584">
        <f t="shared" si="115"/>
        <v>0</v>
      </c>
      <c r="DL92" s="584">
        <f t="shared" si="115"/>
        <v>0</v>
      </c>
      <c r="DM92" s="584">
        <f t="shared" si="115"/>
        <v>0</v>
      </c>
      <c r="DN92" s="584">
        <f t="shared" si="115"/>
        <v>0</v>
      </c>
      <c r="DO92" s="584">
        <f t="shared" si="115"/>
        <v>115400000</v>
      </c>
      <c r="DP92" s="584">
        <f t="shared" si="115"/>
        <v>0</v>
      </c>
      <c r="DQ92" s="584">
        <f t="shared" si="115"/>
        <v>0</v>
      </c>
      <c r="DR92" s="584">
        <f t="shared" si="115"/>
        <v>0</v>
      </c>
      <c r="DS92" s="584">
        <f t="shared" si="115"/>
        <v>0</v>
      </c>
      <c r="DT92" s="584">
        <f t="shared" si="115"/>
        <v>0</v>
      </c>
      <c r="DU92" s="584">
        <f t="shared" si="115"/>
        <v>0</v>
      </c>
      <c r="DV92" s="584">
        <f t="shared" si="115"/>
        <v>0</v>
      </c>
      <c r="DW92" s="584">
        <f t="shared" si="115"/>
        <v>5924220</v>
      </c>
      <c r="DX92" s="584">
        <f t="shared" si="115"/>
        <v>22022120</v>
      </c>
      <c r="DY92" s="584">
        <f t="shared" si="115"/>
        <v>0</v>
      </c>
      <c r="DZ92" s="584">
        <f t="shared" si="115"/>
        <v>0</v>
      </c>
      <c r="EA92" s="584">
        <f t="shared" si="115"/>
        <v>0</v>
      </c>
      <c r="EB92" s="584">
        <f t="shared" si="115"/>
        <v>0</v>
      </c>
      <c r="EC92" s="584">
        <f t="shared" si="115"/>
        <v>0</v>
      </c>
      <c r="ED92" s="584">
        <f t="shared" si="115"/>
        <v>0</v>
      </c>
      <c r="EE92" s="584">
        <f t="shared" si="115"/>
        <v>0</v>
      </c>
      <c r="EF92" s="584">
        <f t="shared" si="115"/>
        <v>0</v>
      </c>
      <c r="EG92" s="584">
        <f t="shared" si="115"/>
        <v>0</v>
      </c>
      <c r="EH92" s="584">
        <f t="shared" si="115"/>
        <v>0</v>
      </c>
      <c r="EI92" s="584">
        <f>EI93+EI94</f>
        <v>0</v>
      </c>
      <c r="EJ92" s="584">
        <f>EJ93+EJ94</f>
        <v>0</v>
      </c>
      <c r="EK92" s="584">
        <f t="shared" ref="EK92:GA92" si="116">EK93+EK94</f>
        <v>1681259176</v>
      </c>
      <c r="EL92" s="584">
        <f t="shared" si="116"/>
        <v>328316290</v>
      </c>
      <c r="EM92" s="584">
        <f t="shared" si="116"/>
        <v>0</v>
      </c>
      <c r="EN92" s="584">
        <f t="shared" si="116"/>
        <v>0</v>
      </c>
      <c r="EO92" s="584">
        <f t="shared" si="116"/>
        <v>0</v>
      </c>
      <c r="EP92" s="584">
        <f t="shared" si="116"/>
        <v>0</v>
      </c>
      <c r="EQ92" s="584">
        <f t="shared" si="116"/>
        <v>0</v>
      </c>
      <c r="ER92" s="584">
        <f t="shared" si="116"/>
        <v>28899000</v>
      </c>
      <c r="ES92" s="584">
        <f t="shared" si="116"/>
        <v>28899000</v>
      </c>
      <c r="ET92" s="584">
        <f t="shared" si="116"/>
        <v>0</v>
      </c>
      <c r="EU92" s="584">
        <f t="shared" si="116"/>
        <v>0</v>
      </c>
      <c r="EV92" s="584">
        <f t="shared" si="116"/>
        <v>0</v>
      </c>
      <c r="EW92" s="584">
        <f t="shared" si="116"/>
        <v>12663000</v>
      </c>
      <c r="EX92" s="584">
        <f t="shared" si="116"/>
        <v>0</v>
      </c>
      <c r="EY92" s="584">
        <f t="shared" si="116"/>
        <v>0</v>
      </c>
      <c r="EZ92" s="584">
        <f t="shared" si="116"/>
        <v>296000</v>
      </c>
      <c r="FA92" s="584">
        <f t="shared" si="116"/>
        <v>0</v>
      </c>
      <c r="FB92" s="584">
        <f t="shared" si="116"/>
        <v>0</v>
      </c>
      <c r="FC92" s="584">
        <f t="shared" si="116"/>
        <v>0</v>
      </c>
      <c r="FD92" s="584">
        <f t="shared" si="116"/>
        <v>0</v>
      </c>
      <c r="FE92" s="584">
        <f t="shared" si="116"/>
        <v>0</v>
      </c>
      <c r="FF92" s="584">
        <f t="shared" si="116"/>
        <v>0</v>
      </c>
      <c r="FG92" s="584">
        <f t="shared" si="116"/>
        <v>0</v>
      </c>
      <c r="FH92" s="584">
        <f t="shared" si="116"/>
        <v>0</v>
      </c>
      <c r="FI92" s="584">
        <f t="shared" si="116"/>
        <v>0</v>
      </c>
      <c r="FJ92" s="584">
        <f t="shared" si="116"/>
        <v>0</v>
      </c>
      <c r="FK92" s="584">
        <f t="shared" si="116"/>
        <v>0</v>
      </c>
      <c r="FL92" s="584">
        <f t="shared" si="116"/>
        <v>0</v>
      </c>
      <c r="FM92" s="584">
        <f t="shared" si="116"/>
        <v>0</v>
      </c>
      <c r="FN92" s="584">
        <f t="shared" si="116"/>
        <v>0</v>
      </c>
      <c r="FO92" s="584">
        <f t="shared" si="116"/>
        <v>0</v>
      </c>
      <c r="FP92" s="584">
        <f t="shared" si="116"/>
        <v>0</v>
      </c>
      <c r="FQ92" s="584">
        <f t="shared" si="116"/>
        <v>0</v>
      </c>
      <c r="FR92" s="584">
        <f t="shared" si="116"/>
        <v>15940000</v>
      </c>
      <c r="FS92" s="584">
        <f t="shared" si="116"/>
        <v>0</v>
      </c>
      <c r="FT92" s="584">
        <f t="shared" si="116"/>
        <v>0</v>
      </c>
      <c r="FU92" s="584">
        <f t="shared" si="116"/>
        <v>0</v>
      </c>
      <c r="FV92" s="584">
        <f t="shared" si="116"/>
        <v>6666500</v>
      </c>
      <c r="FW92" s="584">
        <f t="shared" si="116"/>
        <v>0</v>
      </c>
      <c r="FX92" s="584">
        <f t="shared" si="116"/>
        <v>6666500</v>
      </c>
      <c r="FY92" s="584">
        <f t="shared" si="116"/>
        <v>0</v>
      </c>
      <c r="FZ92" s="584">
        <f t="shared" si="116"/>
        <v>6666500</v>
      </c>
      <c r="GA92" s="584">
        <f t="shared" si="116"/>
        <v>0</v>
      </c>
      <c r="GB92" s="584">
        <f>GB93+GB94</f>
        <v>0</v>
      </c>
      <c r="GC92" s="586">
        <f t="shared" si="108"/>
        <v>1</v>
      </c>
      <c r="GD92" s="586"/>
      <c r="GE92" s="586">
        <f>CW92/J92</f>
        <v>1</v>
      </c>
      <c r="GF92" s="586">
        <f>ER92/BE92</f>
        <v>1</v>
      </c>
      <c r="GG92" s="586"/>
    </row>
    <row r="93" spans="1:189" s="92" customFormat="1" ht="17.25" hidden="1" customHeight="1">
      <c r="A93" s="582"/>
      <c r="B93" s="583" t="s">
        <v>183</v>
      </c>
      <c r="C93" s="584">
        <f>D93+BE93+CI93</f>
        <v>640898000</v>
      </c>
      <c r="D93" s="584">
        <f>E93+J93</f>
        <v>611999000</v>
      </c>
      <c r="E93" s="584">
        <f>SUM(F93:I93)</f>
        <v>611999000</v>
      </c>
      <c r="F93" s="584">
        <v>611999000</v>
      </c>
      <c r="G93" s="584"/>
      <c r="H93" s="584"/>
      <c r="I93" s="584"/>
      <c r="J93" s="584">
        <f>SUM(K93:BD93)</f>
        <v>0</v>
      </c>
      <c r="K93" s="584"/>
      <c r="L93" s="584"/>
      <c r="M93" s="584"/>
      <c r="N93" s="584"/>
      <c r="O93" s="584"/>
      <c r="P93" s="584"/>
      <c r="Q93" s="584"/>
      <c r="R93" s="584"/>
      <c r="S93" s="584"/>
      <c r="T93" s="584"/>
      <c r="U93" s="584"/>
      <c r="V93" s="584"/>
      <c r="W93" s="584"/>
      <c r="X93" s="584"/>
      <c r="Y93" s="584"/>
      <c r="Z93" s="584"/>
      <c r="AA93" s="584"/>
      <c r="AB93" s="584"/>
      <c r="AC93" s="584"/>
      <c r="AD93" s="584"/>
      <c r="AE93" s="584"/>
      <c r="AF93" s="584"/>
      <c r="AG93" s="584"/>
      <c r="AH93" s="584"/>
      <c r="AI93" s="584"/>
      <c r="AJ93" s="584"/>
      <c r="AK93" s="584"/>
      <c r="AL93" s="584"/>
      <c r="AM93" s="584"/>
      <c r="AN93" s="584"/>
      <c r="AO93" s="584"/>
      <c r="AP93" s="584"/>
      <c r="AQ93" s="584"/>
      <c r="AR93" s="584"/>
      <c r="AS93" s="584"/>
      <c r="AT93" s="584"/>
      <c r="AU93" s="584"/>
      <c r="AV93" s="584"/>
      <c r="AW93" s="584"/>
      <c r="AX93" s="584"/>
      <c r="AY93" s="584"/>
      <c r="AZ93" s="584"/>
      <c r="BA93" s="584"/>
      <c r="BB93" s="584"/>
      <c r="BC93" s="584"/>
      <c r="BD93" s="584"/>
      <c r="BE93" s="584">
        <f>SUM(BF93:BG93)</f>
        <v>28899000</v>
      </c>
      <c r="BF93" s="584">
        <f>SUM(BH93:BI93)+BJ93+SUM(BL93:BN93)+BW93+CE93</f>
        <v>28899000</v>
      </c>
      <c r="BG93" s="584">
        <f>BK93+SUM(BO93:BV93)+SUM(BX93:CD93)+SUM(CF93:CH93)</f>
        <v>0</v>
      </c>
      <c r="BH93" s="584"/>
      <c r="BI93" s="584"/>
      <c r="BJ93" s="584">
        <v>12663000</v>
      </c>
      <c r="BK93" s="584"/>
      <c r="BL93" s="584"/>
      <c r="BM93" s="584">
        <v>296000</v>
      </c>
      <c r="BN93" s="584"/>
      <c r="BO93" s="584"/>
      <c r="BP93" s="584"/>
      <c r="BQ93" s="584"/>
      <c r="BR93" s="584"/>
      <c r="BS93" s="584"/>
      <c r="BT93" s="584"/>
      <c r="BU93" s="584"/>
      <c r="BV93" s="584"/>
      <c r="BW93" s="584"/>
      <c r="BX93" s="584"/>
      <c r="BY93" s="584"/>
      <c r="BZ93" s="584"/>
      <c r="CA93" s="584"/>
      <c r="CB93" s="584"/>
      <c r="CC93" s="584"/>
      <c r="CD93" s="584"/>
      <c r="CE93" s="584">
        <v>15940000</v>
      </c>
      <c r="CF93" s="584"/>
      <c r="CG93" s="584"/>
      <c r="CH93" s="584"/>
      <c r="CI93" s="584">
        <f>SUM(CJ93:CK93)</f>
        <v>0</v>
      </c>
      <c r="CJ93" s="584">
        <f>SUM(CL93:CL93)</f>
        <v>0</v>
      </c>
      <c r="CK93" s="584">
        <f>SUM(CM93:CN93)</f>
        <v>0</v>
      </c>
      <c r="CL93" s="584"/>
      <c r="CM93" s="584"/>
      <c r="CN93" s="584"/>
      <c r="CO93" s="583" t="s">
        <v>183</v>
      </c>
      <c r="CP93" s="584">
        <f>CQ93+ER93+FV93+GB93</f>
        <v>640898000</v>
      </c>
      <c r="CQ93" s="584">
        <f>CR93+CW93</f>
        <v>611999000</v>
      </c>
      <c r="CR93" s="584">
        <f>SUM(CS93:CV93)</f>
        <v>611999000</v>
      </c>
      <c r="CS93" s="584">
        <f>611999000</f>
        <v>611999000</v>
      </c>
      <c r="CT93" s="584"/>
      <c r="CU93" s="584"/>
      <c r="CV93" s="584"/>
      <c r="CW93" s="584">
        <f>SUM(CX93:EQ93)</f>
        <v>0</v>
      </c>
      <c r="CX93" s="584"/>
      <c r="CY93" s="584"/>
      <c r="CZ93" s="584"/>
      <c r="DA93" s="584"/>
      <c r="DB93" s="584"/>
      <c r="DC93" s="584"/>
      <c r="DD93" s="584"/>
      <c r="DE93" s="584"/>
      <c r="DF93" s="584"/>
      <c r="DG93" s="584"/>
      <c r="DH93" s="584"/>
      <c r="DI93" s="584"/>
      <c r="DJ93" s="584"/>
      <c r="DK93" s="584"/>
      <c r="DL93" s="584"/>
      <c r="DM93" s="584"/>
      <c r="DN93" s="584"/>
      <c r="DO93" s="584"/>
      <c r="DP93" s="584"/>
      <c r="DQ93" s="584"/>
      <c r="DR93" s="584"/>
      <c r="DS93" s="584"/>
      <c r="DT93" s="584"/>
      <c r="DU93" s="584"/>
      <c r="DV93" s="584"/>
      <c r="DW93" s="584"/>
      <c r="DX93" s="584"/>
      <c r="DY93" s="584"/>
      <c r="DZ93" s="584"/>
      <c r="EA93" s="584"/>
      <c r="EB93" s="584"/>
      <c r="EC93" s="584"/>
      <c r="ED93" s="584"/>
      <c r="EE93" s="584"/>
      <c r="EF93" s="584"/>
      <c r="EG93" s="584"/>
      <c r="EH93" s="584"/>
      <c r="EI93" s="584"/>
      <c r="EJ93" s="584"/>
      <c r="EK93" s="584"/>
      <c r="EL93" s="584"/>
      <c r="EM93" s="584"/>
      <c r="EN93" s="584"/>
      <c r="EO93" s="584"/>
      <c r="EP93" s="584"/>
      <c r="EQ93" s="584"/>
      <c r="ER93" s="584">
        <f>SUM(ES93:ET93)</f>
        <v>28899000</v>
      </c>
      <c r="ES93" s="584">
        <f>SUM(EU93:EV93)+EW93+SUM(EY93:FA93)+FJ93+FR93</f>
        <v>28899000</v>
      </c>
      <c r="ET93" s="584">
        <f>EX93+SUM(FB93:FI93)+SUM(FK93:FQ93)+SUM(FS93:FU93)</f>
        <v>0</v>
      </c>
      <c r="EU93" s="584"/>
      <c r="EV93" s="584"/>
      <c r="EW93" s="584">
        <v>12663000</v>
      </c>
      <c r="EX93" s="584"/>
      <c r="EY93" s="584"/>
      <c r="EZ93" s="584">
        <v>296000</v>
      </c>
      <c r="FA93" s="584"/>
      <c r="FB93" s="584"/>
      <c r="FC93" s="584"/>
      <c r="FD93" s="584"/>
      <c r="FE93" s="584"/>
      <c r="FF93" s="584"/>
      <c r="FG93" s="584"/>
      <c r="FH93" s="584"/>
      <c r="FI93" s="584"/>
      <c r="FJ93" s="584"/>
      <c r="FK93" s="584"/>
      <c r="FL93" s="584"/>
      <c r="FM93" s="584"/>
      <c r="FN93" s="584"/>
      <c r="FO93" s="584"/>
      <c r="FP93" s="584"/>
      <c r="FQ93" s="584"/>
      <c r="FR93" s="584">
        <v>15940000</v>
      </c>
      <c r="FS93" s="584"/>
      <c r="FT93" s="584"/>
      <c r="FU93" s="584"/>
      <c r="FV93" s="584">
        <f>SUM(FW93:FX93)</f>
        <v>0</v>
      </c>
      <c r="FW93" s="584">
        <f>SUM(FY93:FY93)</f>
        <v>0</v>
      </c>
      <c r="FX93" s="584">
        <f>SUM(FZ93:GA93)</f>
        <v>0</v>
      </c>
      <c r="FY93" s="584"/>
      <c r="FZ93" s="584"/>
      <c r="GA93" s="584"/>
      <c r="GB93" s="584"/>
      <c r="GC93" s="586">
        <f t="shared" si="108"/>
        <v>1</v>
      </c>
      <c r="GD93" s="586"/>
      <c r="GE93" s="586"/>
      <c r="GF93" s="586">
        <f>ER93/BE93</f>
        <v>1</v>
      </c>
      <c r="GG93" s="586"/>
    </row>
    <row r="94" spans="1:189" s="92" customFormat="1" ht="17.25" hidden="1" customHeight="1">
      <c r="A94" s="582"/>
      <c r="B94" s="583" t="s">
        <v>184</v>
      </c>
      <c r="C94" s="584">
        <f>D94+BE94+CI94</f>
        <v>2159588306</v>
      </c>
      <c r="D94" s="584">
        <f>E94+J94</f>
        <v>2152921806</v>
      </c>
      <c r="E94" s="584">
        <f>SUM(F94:I94)</f>
        <v>0</v>
      </c>
      <c r="F94" s="584"/>
      <c r="G94" s="584"/>
      <c r="H94" s="584"/>
      <c r="I94" s="584"/>
      <c r="J94" s="584">
        <f>SUM(K94:BD94)</f>
        <v>2152921806</v>
      </c>
      <c r="K94" s="584"/>
      <c r="L94" s="584"/>
      <c r="M94" s="584"/>
      <c r="N94" s="584"/>
      <c r="O94" s="584"/>
      <c r="P94" s="584"/>
      <c r="Q94" s="584"/>
      <c r="R94" s="584"/>
      <c r="S94" s="584"/>
      <c r="T94" s="584"/>
      <c r="U94" s="584"/>
      <c r="V94" s="584"/>
      <c r="W94" s="584"/>
      <c r="X94" s="584"/>
      <c r="Y94" s="584"/>
      <c r="Z94" s="584"/>
      <c r="AA94" s="584"/>
      <c r="AB94" s="584">
        <v>115400000</v>
      </c>
      <c r="AC94" s="584"/>
      <c r="AD94" s="584"/>
      <c r="AE94" s="584"/>
      <c r="AF94" s="584"/>
      <c r="AG94" s="584"/>
      <c r="AH94" s="584"/>
      <c r="AI94" s="584"/>
      <c r="AJ94" s="584">
        <v>5924220</v>
      </c>
      <c r="AK94" s="584">
        <v>22022120</v>
      </c>
      <c r="AL94" s="584"/>
      <c r="AM94" s="584"/>
      <c r="AN94" s="584"/>
      <c r="AO94" s="584"/>
      <c r="AP94" s="584"/>
      <c r="AQ94" s="584"/>
      <c r="AR94" s="584"/>
      <c r="AS94" s="584"/>
      <c r="AT94" s="584"/>
      <c r="AU94" s="584"/>
      <c r="AV94" s="584"/>
      <c r="AW94" s="584"/>
      <c r="AX94" s="584">
        <v>1681259176</v>
      </c>
      <c r="AY94" s="584">
        <v>328316290</v>
      </c>
      <c r="AZ94" s="584"/>
      <c r="BA94" s="584"/>
      <c r="BB94" s="584"/>
      <c r="BC94" s="584"/>
      <c r="BD94" s="584"/>
      <c r="BE94" s="584">
        <f>SUM(BF94:BG94)</f>
        <v>0</v>
      </c>
      <c r="BF94" s="584">
        <f>SUM(BH94:BI94)+BJ94+SUM(BL94:BN94)+BW94+CE94</f>
        <v>0</v>
      </c>
      <c r="BG94" s="584">
        <f>BK94+SUM(BO94:BV94)+SUM(BX94:CD94)+SUM(CF94:CH94)</f>
        <v>0</v>
      </c>
      <c r="BH94" s="584"/>
      <c r="BI94" s="584"/>
      <c r="BJ94" s="584"/>
      <c r="BK94" s="584"/>
      <c r="BL94" s="584"/>
      <c r="BM94" s="584"/>
      <c r="BN94" s="584"/>
      <c r="BO94" s="584"/>
      <c r="BP94" s="584"/>
      <c r="BQ94" s="584"/>
      <c r="BR94" s="584"/>
      <c r="BS94" s="584"/>
      <c r="BT94" s="584"/>
      <c r="BU94" s="584"/>
      <c r="BV94" s="584"/>
      <c r="BW94" s="584"/>
      <c r="BX94" s="584"/>
      <c r="BY94" s="584"/>
      <c r="BZ94" s="584"/>
      <c r="CA94" s="584"/>
      <c r="CB94" s="584"/>
      <c r="CC94" s="584"/>
      <c r="CD94" s="584"/>
      <c r="CE94" s="584"/>
      <c r="CF94" s="584"/>
      <c r="CG94" s="584"/>
      <c r="CH94" s="584"/>
      <c r="CI94" s="584">
        <f>SUM(CJ94:CK94)</f>
        <v>6666500</v>
      </c>
      <c r="CJ94" s="584">
        <f>SUM(CL94:CL94)</f>
        <v>0</v>
      </c>
      <c r="CK94" s="584">
        <f>SUM(CM94:CN94)</f>
        <v>6666500</v>
      </c>
      <c r="CL94" s="584"/>
      <c r="CM94" s="584">
        <f>6666500</f>
        <v>6666500</v>
      </c>
      <c r="CN94" s="584"/>
      <c r="CO94" s="583" t="s">
        <v>184</v>
      </c>
      <c r="CP94" s="584">
        <f>CQ94+ER94+FV94+GB94</f>
        <v>2159588306</v>
      </c>
      <c r="CQ94" s="584">
        <f>CR94+CW94</f>
        <v>2152921806</v>
      </c>
      <c r="CR94" s="584">
        <f>SUM(CS94:CV94)</f>
        <v>0</v>
      </c>
      <c r="CS94" s="584"/>
      <c r="CT94" s="584"/>
      <c r="CU94" s="584"/>
      <c r="CV94" s="584"/>
      <c r="CW94" s="584">
        <f>SUM(CX94:EQ94)</f>
        <v>2152921806</v>
      </c>
      <c r="CX94" s="584"/>
      <c r="CY94" s="584"/>
      <c r="CZ94" s="584"/>
      <c r="DA94" s="584"/>
      <c r="DB94" s="584"/>
      <c r="DC94" s="584"/>
      <c r="DD94" s="584"/>
      <c r="DE94" s="584"/>
      <c r="DF94" s="584"/>
      <c r="DG94" s="584"/>
      <c r="DH94" s="584"/>
      <c r="DI94" s="584"/>
      <c r="DJ94" s="584"/>
      <c r="DK94" s="584"/>
      <c r="DL94" s="584"/>
      <c r="DM94" s="584"/>
      <c r="DN94" s="584"/>
      <c r="DO94" s="584">
        <v>115400000</v>
      </c>
      <c r="DP94" s="584"/>
      <c r="DQ94" s="584"/>
      <c r="DR94" s="584"/>
      <c r="DS94" s="584"/>
      <c r="DT94" s="584"/>
      <c r="DU94" s="584"/>
      <c r="DV94" s="584"/>
      <c r="DW94" s="584">
        <v>5924220</v>
      </c>
      <c r="DX94" s="584">
        <v>22022120</v>
      </c>
      <c r="DY94" s="584"/>
      <c r="DZ94" s="584"/>
      <c r="EA94" s="584"/>
      <c r="EB94" s="584"/>
      <c r="EC94" s="584"/>
      <c r="ED94" s="584"/>
      <c r="EE94" s="584"/>
      <c r="EF94" s="584"/>
      <c r="EG94" s="584"/>
      <c r="EH94" s="584"/>
      <c r="EI94" s="584"/>
      <c r="EJ94" s="584"/>
      <c r="EK94" s="584">
        <v>1681259176</v>
      </c>
      <c r="EL94" s="584">
        <v>328316290</v>
      </c>
      <c r="EM94" s="584"/>
      <c r="EN94" s="584"/>
      <c r="EO94" s="584"/>
      <c r="EP94" s="584"/>
      <c r="EQ94" s="584"/>
      <c r="ER94" s="584">
        <f>SUM(ES94:ET94)</f>
        <v>0</v>
      </c>
      <c r="ES94" s="584">
        <f>SUM(EU94:EV94)+EW94+SUM(EY94:FA94)+FJ94+FR94</f>
        <v>0</v>
      </c>
      <c r="ET94" s="584">
        <f>EX94+SUM(FB94:FI94)+SUM(FK94:FQ94)+SUM(FS94:FU94)</f>
        <v>0</v>
      </c>
      <c r="EU94" s="584"/>
      <c r="EV94" s="584"/>
      <c r="EW94" s="584"/>
      <c r="EX94" s="584"/>
      <c r="EY94" s="584"/>
      <c r="EZ94" s="584"/>
      <c r="FA94" s="584"/>
      <c r="FB94" s="584"/>
      <c r="FC94" s="584"/>
      <c r="FD94" s="584"/>
      <c r="FE94" s="584"/>
      <c r="FF94" s="584"/>
      <c r="FG94" s="584"/>
      <c r="FH94" s="584"/>
      <c r="FI94" s="584"/>
      <c r="FJ94" s="584"/>
      <c r="FK94" s="584"/>
      <c r="FL94" s="584"/>
      <c r="FM94" s="584"/>
      <c r="FN94" s="584"/>
      <c r="FO94" s="584"/>
      <c r="FP94" s="584"/>
      <c r="FQ94" s="584"/>
      <c r="FR94" s="584"/>
      <c r="FS94" s="584"/>
      <c r="FT94" s="584"/>
      <c r="FU94" s="584"/>
      <c r="FV94" s="584">
        <f>SUM(FW94:FX94)</f>
        <v>6666500</v>
      </c>
      <c r="FW94" s="584">
        <f>SUM(FY94:FY94)</f>
        <v>0</v>
      </c>
      <c r="FX94" s="584">
        <f>SUM(FZ94:GA94)</f>
        <v>6666500</v>
      </c>
      <c r="FY94" s="584"/>
      <c r="FZ94" s="584">
        <f>6666500</f>
        <v>6666500</v>
      </c>
      <c r="GA94" s="584"/>
      <c r="GB94" s="584"/>
      <c r="GC94" s="586">
        <f t="shared" si="108"/>
        <v>1</v>
      </c>
      <c r="GD94" s="586"/>
      <c r="GE94" s="586">
        <f>CW94/J94</f>
        <v>1</v>
      </c>
      <c r="GF94" s="586"/>
      <c r="GG94" s="586">
        <f>FV94/CI94</f>
        <v>1</v>
      </c>
    </row>
    <row r="95" spans="1:189" s="92" customFormat="1" ht="17.25" customHeight="1">
      <c r="A95" s="582">
        <v>28</v>
      </c>
      <c r="B95" s="583" t="s">
        <v>200</v>
      </c>
      <c r="C95" s="584">
        <f t="shared" ref="C95:AU95" si="117">C96+C97</f>
        <v>26386402441</v>
      </c>
      <c r="D95" s="584">
        <f t="shared" si="117"/>
        <v>26366402441</v>
      </c>
      <c r="E95" s="584">
        <f t="shared" si="117"/>
        <v>3330491586</v>
      </c>
      <c r="F95" s="584">
        <f t="shared" si="117"/>
        <v>0</v>
      </c>
      <c r="G95" s="584">
        <f t="shared" si="117"/>
        <v>2148895765</v>
      </c>
      <c r="H95" s="584">
        <f t="shared" si="117"/>
        <v>1181595821</v>
      </c>
      <c r="I95" s="584">
        <f t="shared" si="117"/>
        <v>0</v>
      </c>
      <c r="J95" s="584">
        <f t="shared" si="117"/>
        <v>23035910855</v>
      </c>
      <c r="K95" s="584">
        <f t="shared" si="117"/>
        <v>0</v>
      </c>
      <c r="L95" s="584">
        <f t="shared" si="117"/>
        <v>0</v>
      </c>
      <c r="M95" s="584">
        <f t="shared" si="117"/>
        <v>0</v>
      </c>
      <c r="N95" s="584">
        <f t="shared" si="117"/>
        <v>288000000</v>
      </c>
      <c r="O95" s="584">
        <f t="shared" si="117"/>
        <v>0</v>
      </c>
      <c r="P95" s="584">
        <f t="shared" si="117"/>
        <v>0</v>
      </c>
      <c r="Q95" s="584">
        <f t="shared" si="117"/>
        <v>0</v>
      </c>
      <c r="R95" s="584">
        <f t="shared" si="117"/>
        <v>0</v>
      </c>
      <c r="S95" s="584">
        <f t="shared" si="117"/>
        <v>0</v>
      </c>
      <c r="T95" s="584">
        <f t="shared" si="117"/>
        <v>0</v>
      </c>
      <c r="U95" s="584">
        <f t="shared" si="117"/>
        <v>0</v>
      </c>
      <c r="V95" s="584">
        <f t="shared" si="117"/>
        <v>0</v>
      </c>
      <c r="W95" s="584">
        <f t="shared" si="117"/>
        <v>0</v>
      </c>
      <c r="X95" s="584">
        <f t="shared" si="117"/>
        <v>0</v>
      </c>
      <c r="Y95" s="584">
        <f t="shared" si="117"/>
        <v>0</v>
      </c>
      <c r="Z95" s="584">
        <f t="shared" si="117"/>
        <v>2188328982</v>
      </c>
      <c r="AA95" s="584">
        <f t="shared" si="117"/>
        <v>0</v>
      </c>
      <c r="AB95" s="584">
        <f t="shared" si="117"/>
        <v>284999400</v>
      </c>
      <c r="AC95" s="584">
        <f t="shared" si="117"/>
        <v>320000000</v>
      </c>
      <c r="AD95" s="584">
        <f t="shared" si="117"/>
        <v>0</v>
      </c>
      <c r="AE95" s="584">
        <f t="shared" si="117"/>
        <v>0</v>
      </c>
      <c r="AF95" s="584">
        <f t="shared" si="117"/>
        <v>0</v>
      </c>
      <c r="AG95" s="584">
        <f t="shared" si="117"/>
        <v>0</v>
      </c>
      <c r="AH95" s="584">
        <f t="shared" si="117"/>
        <v>0</v>
      </c>
      <c r="AI95" s="584">
        <f t="shared" si="117"/>
        <v>0</v>
      </c>
      <c r="AJ95" s="584">
        <f t="shared" si="117"/>
        <v>0</v>
      </c>
      <c r="AK95" s="584">
        <f t="shared" si="117"/>
        <v>1750000000</v>
      </c>
      <c r="AL95" s="584">
        <f t="shared" si="117"/>
        <v>0</v>
      </c>
      <c r="AM95" s="584">
        <f t="shared" si="117"/>
        <v>41222792</v>
      </c>
      <c r="AN95" s="584">
        <f t="shared" si="117"/>
        <v>0</v>
      </c>
      <c r="AO95" s="584">
        <f t="shared" si="117"/>
        <v>0</v>
      </c>
      <c r="AP95" s="584">
        <f t="shared" si="117"/>
        <v>0</v>
      </c>
      <c r="AQ95" s="584">
        <f t="shared" si="117"/>
        <v>0</v>
      </c>
      <c r="AR95" s="584">
        <f t="shared" si="117"/>
        <v>2229647805</v>
      </c>
      <c r="AS95" s="584">
        <f t="shared" si="117"/>
        <v>0</v>
      </c>
      <c r="AT95" s="584">
        <f t="shared" si="117"/>
        <v>0</v>
      </c>
      <c r="AU95" s="584">
        <f t="shared" si="117"/>
        <v>0</v>
      </c>
      <c r="AV95" s="584">
        <f>AV96+AV97</f>
        <v>0</v>
      </c>
      <c r="AW95" s="584">
        <f>AW96+AW97</f>
        <v>5000000000</v>
      </c>
      <c r="AX95" s="584">
        <f t="shared" ref="AX95:CN95" si="118">AX96+AX97</f>
        <v>0</v>
      </c>
      <c r="AY95" s="584">
        <f t="shared" si="118"/>
        <v>0</v>
      </c>
      <c r="AZ95" s="584">
        <f t="shared" si="118"/>
        <v>0</v>
      </c>
      <c r="BA95" s="584">
        <f t="shared" si="118"/>
        <v>0</v>
      </c>
      <c r="BB95" s="584">
        <f t="shared" si="118"/>
        <v>0</v>
      </c>
      <c r="BC95" s="584">
        <f t="shared" si="118"/>
        <v>0</v>
      </c>
      <c r="BD95" s="584">
        <f t="shared" si="118"/>
        <v>10933711876</v>
      </c>
      <c r="BE95" s="584">
        <f t="shared" si="118"/>
        <v>20000000</v>
      </c>
      <c r="BF95" s="584">
        <f t="shared" si="118"/>
        <v>0</v>
      </c>
      <c r="BG95" s="584">
        <f t="shared" si="118"/>
        <v>20000000</v>
      </c>
      <c r="BH95" s="584">
        <f t="shared" si="118"/>
        <v>0</v>
      </c>
      <c r="BI95" s="584">
        <f t="shared" si="118"/>
        <v>0</v>
      </c>
      <c r="BJ95" s="584">
        <f t="shared" si="118"/>
        <v>0</v>
      </c>
      <c r="BK95" s="584">
        <f t="shared" si="118"/>
        <v>0</v>
      </c>
      <c r="BL95" s="584">
        <f>BL96+BL97</f>
        <v>0</v>
      </c>
      <c r="BM95" s="584">
        <f>BM96+BM97</f>
        <v>0</v>
      </c>
      <c r="BN95" s="584">
        <f t="shared" si="118"/>
        <v>0</v>
      </c>
      <c r="BO95" s="584">
        <f t="shared" si="118"/>
        <v>0</v>
      </c>
      <c r="BP95" s="584">
        <f t="shared" si="118"/>
        <v>0</v>
      </c>
      <c r="BQ95" s="584">
        <f t="shared" si="118"/>
        <v>0</v>
      </c>
      <c r="BR95" s="584">
        <f t="shared" si="118"/>
        <v>0</v>
      </c>
      <c r="BS95" s="584">
        <f t="shared" si="118"/>
        <v>0</v>
      </c>
      <c r="BT95" s="584">
        <f t="shared" si="118"/>
        <v>0</v>
      </c>
      <c r="BU95" s="584">
        <f t="shared" si="118"/>
        <v>0</v>
      </c>
      <c r="BV95" s="584">
        <f t="shared" si="118"/>
        <v>0</v>
      </c>
      <c r="BW95" s="584">
        <f t="shared" si="118"/>
        <v>0</v>
      </c>
      <c r="BX95" s="584">
        <f t="shared" si="118"/>
        <v>0</v>
      </c>
      <c r="BY95" s="584">
        <f t="shared" si="118"/>
        <v>0</v>
      </c>
      <c r="BZ95" s="584">
        <f t="shared" si="118"/>
        <v>0</v>
      </c>
      <c r="CA95" s="584">
        <f t="shared" si="118"/>
        <v>0</v>
      </c>
      <c r="CB95" s="584">
        <f t="shared" si="118"/>
        <v>20000000</v>
      </c>
      <c r="CC95" s="584">
        <f t="shared" si="118"/>
        <v>0</v>
      </c>
      <c r="CD95" s="584">
        <f t="shared" si="118"/>
        <v>0</v>
      </c>
      <c r="CE95" s="584">
        <f t="shared" si="118"/>
        <v>0</v>
      </c>
      <c r="CF95" s="584">
        <f t="shared" si="118"/>
        <v>0</v>
      </c>
      <c r="CG95" s="584">
        <f t="shared" si="118"/>
        <v>0</v>
      </c>
      <c r="CH95" s="584">
        <f t="shared" si="118"/>
        <v>0</v>
      </c>
      <c r="CI95" s="584">
        <f t="shared" si="118"/>
        <v>0</v>
      </c>
      <c r="CJ95" s="584">
        <f t="shared" si="118"/>
        <v>0</v>
      </c>
      <c r="CK95" s="584">
        <f t="shared" si="118"/>
        <v>0</v>
      </c>
      <c r="CL95" s="584">
        <f t="shared" si="118"/>
        <v>0</v>
      </c>
      <c r="CM95" s="584">
        <f t="shared" si="118"/>
        <v>0</v>
      </c>
      <c r="CN95" s="584">
        <f t="shared" si="118"/>
        <v>0</v>
      </c>
      <c r="CO95" s="583" t="s">
        <v>200</v>
      </c>
      <c r="CP95" s="584">
        <f t="shared" ref="CP95:FA95" si="119">CP96+CP97</f>
        <v>17926276547</v>
      </c>
      <c r="CQ95" s="584">
        <f t="shared" si="119"/>
        <v>0</v>
      </c>
      <c r="CR95" s="584">
        <f t="shared" si="119"/>
        <v>0</v>
      </c>
      <c r="CS95" s="584">
        <f t="shared" si="119"/>
        <v>0</v>
      </c>
      <c r="CT95" s="584">
        <f t="shared" si="119"/>
        <v>0</v>
      </c>
      <c r="CU95" s="584">
        <f t="shared" si="119"/>
        <v>0</v>
      </c>
      <c r="CV95" s="584">
        <f t="shared" si="119"/>
        <v>0</v>
      </c>
      <c r="CW95" s="584">
        <f t="shared" si="119"/>
        <v>0</v>
      </c>
      <c r="CX95" s="584">
        <f t="shared" si="119"/>
        <v>0</v>
      </c>
      <c r="CY95" s="584">
        <f t="shared" si="119"/>
        <v>0</v>
      </c>
      <c r="CZ95" s="584">
        <f t="shared" si="119"/>
        <v>0</v>
      </c>
      <c r="DA95" s="584">
        <f t="shared" si="119"/>
        <v>0</v>
      </c>
      <c r="DB95" s="584">
        <f t="shared" si="119"/>
        <v>0</v>
      </c>
      <c r="DC95" s="584">
        <f t="shared" si="119"/>
        <v>0</v>
      </c>
      <c r="DD95" s="584">
        <f t="shared" si="119"/>
        <v>0</v>
      </c>
      <c r="DE95" s="584">
        <f>DE96+DE97</f>
        <v>0</v>
      </c>
      <c r="DF95" s="584">
        <f>DF96+DF97</f>
        <v>0</v>
      </c>
      <c r="DG95" s="584">
        <f t="shared" si="119"/>
        <v>0</v>
      </c>
      <c r="DH95" s="584">
        <f t="shared" si="119"/>
        <v>0</v>
      </c>
      <c r="DI95" s="584">
        <f t="shared" si="119"/>
        <v>0</v>
      </c>
      <c r="DJ95" s="584">
        <f t="shared" si="119"/>
        <v>0</v>
      </c>
      <c r="DK95" s="584">
        <f t="shared" si="119"/>
        <v>0</v>
      </c>
      <c r="DL95" s="584">
        <f t="shared" si="119"/>
        <v>0</v>
      </c>
      <c r="DM95" s="584">
        <f>DM96+DM97</f>
        <v>0</v>
      </c>
      <c r="DN95" s="584">
        <f t="shared" si="119"/>
        <v>0</v>
      </c>
      <c r="DO95" s="584">
        <f t="shared" si="119"/>
        <v>0</v>
      </c>
      <c r="DP95" s="584">
        <f t="shared" si="119"/>
        <v>0</v>
      </c>
      <c r="DQ95" s="584">
        <f t="shared" si="119"/>
        <v>0</v>
      </c>
      <c r="DR95" s="584">
        <f t="shared" si="119"/>
        <v>0</v>
      </c>
      <c r="DS95" s="584">
        <f t="shared" si="119"/>
        <v>0</v>
      </c>
      <c r="DT95" s="584">
        <f t="shared" si="119"/>
        <v>0</v>
      </c>
      <c r="DU95" s="584">
        <f t="shared" si="119"/>
        <v>0</v>
      </c>
      <c r="DV95" s="584">
        <f t="shared" si="119"/>
        <v>0</v>
      </c>
      <c r="DW95" s="584">
        <f t="shared" si="119"/>
        <v>0</v>
      </c>
      <c r="DX95" s="584">
        <f t="shared" si="119"/>
        <v>0</v>
      </c>
      <c r="DY95" s="584">
        <f t="shared" si="119"/>
        <v>0</v>
      </c>
      <c r="DZ95" s="584">
        <f t="shared" si="119"/>
        <v>0</v>
      </c>
      <c r="EA95" s="584">
        <f t="shared" si="119"/>
        <v>0</v>
      </c>
      <c r="EB95" s="584">
        <f t="shared" si="119"/>
        <v>0</v>
      </c>
      <c r="EC95" s="584">
        <f t="shared" si="119"/>
        <v>0</v>
      </c>
      <c r="ED95" s="584">
        <f t="shared" si="119"/>
        <v>0</v>
      </c>
      <c r="EE95" s="584">
        <f t="shared" si="119"/>
        <v>0</v>
      </c>
      <c r="EF95" s="584">
        <f t="shared" si="119"/>
        <v>0</v>
      </c>
      <c r="EG95" s="584">
        <f t="shared" si="119"/>
        <v>0</v>
      </c>
      <c r="EH95" s="584">
        <f t="shared" si="119"/>
        <v>0</v>
      </c>
      <c r="EI95" s="584">
        <f>EI96+EI97</f>
        <v>0</v>
      </c>
      <c r="EJ95" s="584">
        <f>EJ96+EJ97</f>
        <v>0</v>
      </c>
      <c r="EK95" s="584">
        <f t="shared" si="119"/>
        <v>0</v>
      </c>
      <c r="EL95" s="584">
        <f t="shared" si="119"/>
        <v>0</v>
      </c>
      <c r="EM95" s="584">
        <f t="shared" si="119"/>
        <v>0</v>
      </c>
      <c r="EN95" s="584">
        <f t="shared" si="119"/>
        <v>0</v>
      </c>
      <c r="EO95" s="584">
        <f t="shared" si="119"/>
        <v>0</v>
      </c>
      <c r="EP95" s="584">
        <f t="shared" si="119"/>
        <v>0</v>
      </c>
      <c r="EQ95" s="584">
        <f t="shared" si="119"/>
        <v>0</v>
      </c>
      <c r="ER95" s="584">
        <f t="shared" si="119"/>
        <v>0</v>
      </c>
      <c r="ES95" s="584">
        <f t="shared" si="119"/>
        <v>0</v>
      </c>
      <c r="ET95" s="584">
        <f t="shared" si="119"/>
        <v>0</v>
      </c>
      <c r="EU95" s="584">
        <f t="shared" si="119"/>
        <v>0</v>
      </c>
      <c r="EV95" s="584">
        <f t="shared" si="119"/>
        <v>0</v>
      </c>
      <c r="EW95" s="584">
        <f t="shared" si="119"/>
        <v>0</v>
      </c>
      <c r="EX95" s="584">
        <f t="shared" si="119"/>
        <v>0</v>
      </c>
      <c r="EY95" s="584">
        <f>EY96+EY97</f>
        <v>0</v>
      </c>
      <c r="EZ95" s="584">
        <f>EZ96+EZ97</f>
        <v>0</v>
      </c>
      <c r="FA95" s="584">
        <f t="shared" si="119"/>
        <v>0</v>
      </c>
      <c r="FB95" s="584">
        <f t="shared" ref="FB95:GA95" si="120">FB96+FB97</f>
        <v>0</v>
      </c>
      <c r="FC95" s="584">
        <f t="shared" si="120"/>
        <v>0</v>
      </c>
      <c r="FD95" s="584">
        <f t="shared" si="120"/>
        <v>0</v>
      </c>
      <c r="FE95" s="584">
        <f t="shared" si="120"/>
        <v>0</v>
      </c>
      <c r="FF95" s="584">
        <f t="shared" si="120"/>
        <v>0</v>
      </c>
      <c r="FG95" s="584">
        <f t="shared" si="120"/>
        <v>0</v>
      </c>
      <c r="FH95" s="584">
        <f t="shared" si="120"/>
        <v>0</v>
      </c>
      <c r="FI95" s="584">
        <f t="shared" si="120"/>
        <v>0</v>
      </c>
      <c r="FJ95" s="584">
        <f t="shared" si="120"/>
        <v>0</v>
      </c>
      <c r="FK95" s="584">
        <f t="shared" si="120"/>
        <v>0</v>
      </c>
      <c r="FL95" s="584">
        <f t="shared" si="120"/>
        <v>0</v>
      </c>
      <c r="FM95" s="584">
        <f t="shared" si="120"/>
        <v>0</v>
      </c>
      <c r="FN95" s="584">
        <f t="shared" si="120"/>
        <v>0</v>
      </c>
      <c r="FO95" s="584">
        <f t="shared" si="120"/>
        <v>0</v>
      </c>
      <c r="FP95" s="584">
        <f t="shared" si="120"/>
        <v>0</v>
      </c>
      <c r="FQ95" s="584">
        <f t="shared" si="120"/>
        <v>0</v>
      </c>
      <c r="FR95" s="584">
        <f t="shared" si="120"/>
        <v>0</v>
      </c>
      <c r="FS95" s="584">
        <f t="shared" si="120"/>
        <v>0</v>
      </c>
      <c r="FT95" s="584">
        <f t="shared" si="120"/>
        <v>0</v>
      </c>
      <c r="FU95" s="584">
        <f t="shared" si="120"/>
        <v>0</v>
      </c>
      <c r="FV95" s="584">
        <f t="shared" si="120"/>
        <v>0</v>
      </c>
      <c r="FW95" s="584">
        <f t="shared" si="120"/>
        <v>0</v>
      </c>
      <c r="FX95" s="584">
        <f t="shared" si="120"/>
        <v>0</v>
      </c>
      <c r="FY95" s="584">
        <f t="shared" si="120"/>
        <v>0</v>
      </c>
      <c r="FZ95" s="584">
        <f t="shared" si="120"/>
        <v>0</v>
      </c>
      <c r="GA95" s="584">
        <f t="shared" si="120"/>
        <v>0</v>
      </c>
      <c r="GB95" s="584">
        <f>GB96+GB97</f>
        <v>17926276547</v>
      </c>
      <c r="GC95" s="586"/>
      <c r="GD95" s="586"/>
      <c r="GE95" s="586"/>
      <c r="GF95" s="586"/>
      <c r="GG95" s="586"/>
    </row>
    <row r="96" spans="1:189" s="92" customFormat="1" ht="17.25" hidden="1" customHeight="1">
      <c r="A96" s="582"/>
      <c r="B96" s="583" t="s">
        <v>183</v>
      </c>
      <c r="C96" s="584">
        <f>D96+BE96+CI96</f>
        <v>3330491586</v>
      </c>
      <c r="D96" s="584">
        <f>E96+J96</f>
        <v>3330491586</v>
      </c>
      <c r="E96" s="584">
        <f>SUM(F96:I96)</f>
        <v>3330491586</v>
      </c>
      <c r="F96" s="584"/>
      <c r="G96" s="584">
        <f>1294115321+854780444</f>
        <v>2148895765</v>
      </c>
      <c r="H96" s="584">
        <v>1181595821</v>
      </c>
      <c r="I96" s="584"/>
      <c r="J96" s="584">
        <f>SUM(K96:BD96)</f>
        <v>0</v>
      </c>
      <c r="K96" s="584"/>
      <c r="L96" s="584"/>
      <c r="M96" s="584"/>
      <c r="N96" s="584"/>
      <c r="O96" s="584"/>
      <c r="P96" s="584"/>
      <c r="Q96" s="584"/>
      <c r="R96" s="584"/>
      <c r="S96" s="584"/>
      <c r="T96" s="584"/>
      <c r="U96" s="584"/>
      <c r="V96" s="584"/>
      <c r="W96" s="584"/>
      <c r="X96" s="584"/>
      <c r="Y96" s="584"/>
      <c r="Z96" s="584"/>
      <c r="AA96" s="584"/>
      <c r="AB96" s="584"/>
      <c r="AC96" s="584"/>
      <c r="AD96" s="584"/>
      <c r="AE96" s="584"/>
      <c r="AF96" s="584"/>
      <c r="AG96" s="584"/>
      <c r="AH96" s="584"/>
      <c r="AI96" s="584"/>
      <c r="AJ96" s="584"/>
      <c r="AK96" s="584"/>
      <c r="AL96" s="584"/>
      <c r="AM96" s="584"/>
      <c r="AN96" s="584"/>
      <c r="AO96" s="584"/>
      <c r="AP96" s="584"/>
      <c r="AQ96" s="588"/>
      <c r="AR96" s="584"/>
      <c r="AS96" s="584"/>
      <c r="AT96" s="584"/>
      <c r="AU96" s="588"/>
      <c r="AV96" s="584"/>
      <c r="AW96" s="584"/>
      <c r="AX96" s="584"/>
      <c r="AY96" s="584"/>
      <c r="AZ96" s="584"/>
      <c r="BA96" s="584"/>
      <c r="BB96" s="584"/>
      <c r="BC96" s="584"/>
      <c r="BD96" s="584"/>
      <c r="BE96" s="584">
        <f>SUM(BF96:BG96)</f>
        <v>0</v>
      </c>
      <c r="BF96" s="584">
        <f>SUM(BH96:BI96)+BJ96+SUM(BL96:BN96)+BW96+CE96</f>
        <v>0</v>
      </c>
      <c r="BG96" s="584">
        <f>BK96+SUM(BO96:BV96)+SUM(BX96:CD96)+SUM(CF96:CH96)</f>
        <v>0</v>
      </c>
      <c r="BH96" s="584"/>
      <c r="BI96" s="584"/>
      <c r="BJ96" s="584"/>
      <c r="BK96" s="584"/>
      <c r="BL96" s="584"/>
      <c r="BM96" s="584"/>
      <c r="BN96" s="584"/>
      <c r="BO96" s="584"/>
      <c r="BP96" s="584"/>
      <c r="BQ96" s="584"/>
      <c r="BR96" s="584"/>
      <c r="BS96" s="584"/>
      <c r="BT96" s="584"/>
      <c r="BU96" s="584"/>
      <c r="BV96" s="584"/>
      <c r="BW96" s="584"/>
      <c r="BX96" s="584"/>
      <c r="BY96" s="584"/>
      <c r="BZ96" s="584"/>
      <c r="CA96" s="584"/>
      <c r="CB96" s="584"/>
      <c r="CC96" s="584"/>
      <c r="CD96" s="584"/>
      <c r="CE96" s="584"/>
      <c r="CF96" s="584"/>
      <c r="CG96" s="584"/>
      <c r="CH96" s="584"/>
      <c r="CI96" s="584">
        <f>SUM(CJ96:CK96)</f>
        <v>0</v>
      </c>
      <c r="CJ96" s="584">
        <f>SUM(CL96:CL96)</f>
        <v>0</v>
      </c>
      <c r="CK96" s="584">
        <f>SUM(CM96:CN96)</f>
        <v>0</v>
      </c>
      <c r="CL96" s="584"/>
      <c r="CM96" s="588"/>
      <c r="CN96" s="584"/>
      <c r="CO96" s="583" t="s">
        <v>183</v>
      </c>
      <c r="CP96" s="584">
        <f>CQ96+ER96+FV96+GB96</f>
        <v>0</v>
      </c>
      <c r="CQ96" s="584">
        <f>CR96+CW96</f>
        <v>0</v>
      </c>
      <c r="CR96" s="584">
        <f>SUM(CS96:CV96)</f>
        <v>0</v>
      </c>
      <c r="CS96" s="584"/>
      <c r="CT96" s="584"/>
      <c r="CU96" s="584"/>
      <c r="CV96" s="584"/>
      <c r="CW96" s="584">
        <f>SUM(CX96:EQ96)</f>
        <v>0</v>
      </c>
      <c r="CX96" s="584"/>
      <c r="CY96" s="584"/>
      <c r="CZ96" s="584"/>
      <c r="DA96" s="584"/>
      <c r="DB96" s="584"/>
      <c r="DC96" s="584"/>
      <c r="DD96" s="584"/>
      <c r="DE96" s="584"/>
      <c r="DF96" s="584"/>
      <c r="DG96" s="584"/>
      <c r="DH96" s="584"/>
      <c r="DI96" s="584"/>
      <c r="DJ96" s="584"/>
      <c r="DK96" s="584"/>
      <c r="DL96" s="584"/>
      <c r="DM96" s="584"/>
      <c r="DN96" s="584"/>
      <c r="DO96" s="584"/>
      <c r="DP96" s="584"/>
      <c r="DQ96" s="584"/>
      <c r="DR96" s="584"/>
      <c r="DS96" s="584"/>
      <c r="DT96" s="584"/>
      <c r="DU96" s="584"/>
      <c r="DV96" s="584"/>
      <c r="DW96" s="584"/>
      <c r="DX96" s="584"/>
      <c r="DY96" s="584"/>
      <c r="DZ96" s="584"/>
      <c r="EA96" s="584"/>
      <c r="EB96" s="584"/>
      <c r="EC96" s="584"/>
      <c r="ED96" s="588"/>
      <c r="EE96" s="584"/>
      <c r="EF96" s="584"/>
      <c r="EG96" s="584"/>
      <c r="EH96" s="588"/>
      <c r="EI96" s="584"/>
      <c r="EJ96" s="584"/>
      <c r="EK96" s="584"/>
      <c r="EL96" s="584"/>
      <c r="EM96" s="584"/>
      <c r="EN96" s="584"/>
      <c r="EO96" s="584"/>
      <c r="EP96" s="584"/>
      <c r="EQ96" s="584"/>
      <c r="ER96" s="584">
        <f>SUM(ES96:ET96)</f>
        <v>0</v>
      </c>
      <c r="ES96" s="584">
        <f>SUM(EU96:EV96)+EW96+SUM(EY96:FA96)+FJ96+FR96</f>
        <v>0</v>
      </c>
      <c r="ET96" s="584">
        <f>EX96+SUM(FB96:FI96)+SUM(FK96:FQ96)+SUM(FS96:FU96)</f>
        <v>0</v>
      </c>
      <c r="EU96" s="584"/>
      <c r="EV96" s="584"/>
      <c r="EW96" s="584"/>
      <c r="EX96" s="584"/>
      <c r="EY96" s="584"/>
      <c r="EZ96" s="584"/>
      <c r="FA96" s="584"/>
      <c r="FB96" s="584"/>
      <c r="FC96" s="584"/>
      <c r="FD96" s="584"/>
      <c r="FE96" s="584"/>
      <c r="FF96" s="584"/>
      <c r="FG96" s="584"/>
      <c r="FH96" s="584"/>
      <c r="FI96" s="584"/>
      <c r="FJ96" s="584"/>
      <c r="FK96" s="584"/>
      <c r="FL96" s="584"/>
      <c r="FM96" s="584"/>
      <c r="FN96" s="584"/>
      <c r="FO96" s="584"/>
      <c r="FP96" s="584"/>
      <c r="FQ96" s="584"/>
      <c r="FR96" s="584"/>
      <c r="FS96" s="584"/>
      <c r="FT96" s="584"/>
      <c r="FU96" s="584"/>
      <c r="FV96" s="584">
        <f>SUM(FW96:FX96)</f>
        <v>0</v>
      </c>
      <c r="FW96" s="584">
        <f>SUM(FY96:FY96)</f>
        <v>0</v>
      </c>
      <c r="FX96" s="584">
        <f>SUM(FZ96:GA96)</f>
        <v>0</v>
      </c>
      <c r="FY96" s="584"/>
      <c r="FZ96" s="588"/>
      <c r="GA96" s="584"/>
      <c r="GB96" s="584"/>
      <c r="GC96" s="586"/>
      <c r="GD96" s="586"/>
      <c r="GE96" s="586"/>
      <c r="GF96" s="586"/>
      <c r="GG96" s="586"/>
    </row>
    <row r="97" spans="1:189" s="92" customFormat="1" ht="17.25" hidden="1" customHeight="1">
      <c r="A97" s="589"/>
      <c r="B97" s="590" t="s">
        <v>184</v>
      </c>
      <c r="C97" s="591">
        <f>D97+BE97+CI97</f>
        <v>23055910855</v>
      </c>
      <c r="D97" s="591">
        <f>E97+J97</f>
        <v>23035910855</v>
      </c>
      <c r="E97" s="591">
        <f>SUM(F97:I97)</f>
        <v>0</v>
      </c>
      <c r="F97" s="591"/>
      <c r="G97" s="591"/>
      <c r="H97" s="591"/>
      <c r="I97" s="591"/>
      <c r="J97" s="591">
        <f>SUM(K97:BD97)</f>
        <v>23035910855</v>
      </c>
      <c r="K97" s="591"/>
      <c r="L97" s="591"/>
      <c r="M97" s="591"/>
      <c r="N97" s="591">
        <v>288000000</v>
      </c>
      <c r="O97" s="591"/>
      <c r="P97" s="591"/>
      <c r="Q97" s="591"/>
      <c r="R97" s="591"/>
      <c r="S97" s="591"/>
      <c r="T97" s="591"/>
      <c r="U97" s="591"/>
      <c r="V97" s="591"/>
      <c r="W97" s="591"/>
      <c r="X97" s="591"/>
      <c r="Y97" s="591"/>
      <c r="Z97" s="591">
        <v>2188328982</v>
      </c>
      <c r="AA97" s="591"/>
      <c r="AB97" s="591">
        <v>284999400</v>
      </c>
      <c r="AC97" s="591">
        <v>320000000</v>
      </c>
      <c r="AD97" s="591"/>
      <c r="AE97" s="591"/>
      <c r="AF97" s="591"/>
      <c r="AG97" s="591"/>
      <c r="AH97" s="591"/>
      <c r="AI97" s="591"/>
      <c r="AJ97" s="591"/>
      <c r="AK97" s="591">
        <v>1750000000</v>
      </c>
      <c r="AL97" s="591"/>
      <c r="AM97" s="591">
        <v>41222792</v>
      </c>
      <c r="AN97" s="591"/>
      <c r="AO97" s="591"/>
      <c r="AP97" s="591"/>
      <c r="AQ97" s="591"/>
      <c r="AR97" s="591">
        <f>196599145+2033048660</f>
        <v>2229647805</v>
      </c>
      <c r="AS97" s="591"/>
      <c r="AT97" s="591"/>
      <c r="AU97" s="591"/>
      <c r="AV97" s="591"/>
      <c r="AW97" s="591">
        <v>5000000000</v>
      </c>
      <c r="AX97" s="591"/>
      <c r="AY97" s="591"/>
      <c r="AZ97" s="591"/>
      <c r="BA97" s="591"/>
      <c r="BB97" s="591"/>
      <c r="BC97" s="591"/>
      <c r="BD97" s="591">
        <f>2659633531+3055078345+3140000000+2079000000</f>
        <v>10933711876</v>
      </c>
      <c r="BE97" s="591">
        <f>SUM(BF97:BG97)</f>
        <v>20000000</v>
      </c>
      <c r="BF97" s="591">
        <f>SUM(BH97:BI97)+BJ97+SUM(BL97:BN97)+BW97+CE97</f>
        <v>0</v>
      </c>
      <c r="BG97" s="591">
        <f>BK97+SUM(BO97:BV97)+SUM(BX97:CD97)+SUM(CF97:CH97)</f>
        <v>20000000</v>
      </c>
      <c r="BH97" s="591"/>
      <c r="BI97" s="591"/>
      <c r="BJ97" s="591"/>
      <c r="BK97" s="591"/>
      <c r="BL97" s="591"/>
      <c r="BM97" s="591"/>
      <c r="BN97" s="591"/>
      <c r="BO97" s="591"/>
      <c r="BP97" s="591"/>
      <c r="BQ97" s="591"/>
      <c r="BR97" s="591"/>
      <c r="BS97" s="591"/>
      <c r="BT97" s="591"/>
      <c r="BU97" s="591"/>
      <c r="BV97" s="591"/>
      <c r="BW97" s="591"/>
      <c r="BX97" s="591"/>
      <c r="BY97" s="591"/>
      <c r="BZ97" s="591"/>
      <c r="CA97" s="591"/>
      <c r="CB97" s="591">
        <v>20000000</v>
      </c>
      <c r="CC97" s="591"/>
      <c r="CD97" s="591"/>
      <c r="CE97" s="591"/>
      <c r="CF97" s="591"/>
      <c r="CG97" s="591"/>
      <c r="CH97" s="591"/>
      <c r="CI97" s="591">
        <f>SUM(CJ97:CK97)</f>
        <v>0</v>
      </c>
      <c r="CJ97" s="591">
        <f>SUM(CL97:CL97)</f>
        <v>0</v>
      </c>
      <c r="CK97" s="591">
        <f>SUM(CM97:CN97)</f>
        <v>0</v>
      </c>
      <c r="CL97" s="591"/>
      <c r="CM97" s="592"/>
      <c r="CN97" s="591"/>
      <c r="CO97" s="590" t="s">
        <v>184</v>
      </c>
      <c r="CP97" s="591">
        <f>CQ97+ER97+FV97+GB97</f>
        <v>17926276547</v>
      </c>
      <c r="CQ97" s="591">
        <f>CR97+CW97</f>
        <v>0</v>
      </c>
      <c r="CR97" s="591">
        <f>SUM(CS97:CV97)</f>
        <v>0</v>
      </c>
      <c r="CS97" s="591"/>
      <c r="CT97" s="591"/>
      <c r="CU97" s="591"/>
      <c r="CV97" s="591"/>
      <c r="CW97" s="591">
        <f>SUM(CX97:EQ97)</f>
        <v>0</v>
      </c>
      <c r="CX97" s="591"/>
      <c r="CY97" s="591"/>
      <c r="CZ97" s="591"/>
      <c r="DA97" s="591"/>
      <c r="DB97" s="591"/>
      <c r="DC97" s="591"/>
      <c r="DD97" s="591"/>
      <c r="DE97" s="591"/>
      <c r="DF97" s="591"/>
      <c r="DG97" s="591"/>
      <c r="DH97" s="591"/>
      <c r="DI97" s="591"/>
      <c r="DJ97" s="591"/>
      <c r="DK97" s="591"/>
      <c r="DL97" s="591"/>
      <c r="DM97" s="591"/>
      <c r="DN97" s="591"/>
      <c r="DO97" s="591"/>
      <c r="DP97" s="591"/>
      <c r="DQ97" s="591"/>
      <c r="DR97" s="591"/>
      <c r="DS97" s="591"/>
      <c r="DT97" s="591"/>
      <c r="DU97" s="591"/>
      <c r="DV97" s="591"/>
      <c r="DW97" s="591"/>
      <c r="DX97" s="591"/>
      <c r="DY97" s="591"/>
      <c r="DZ97" s="591"/>
      <c r="EA97" s="591"/>
      <c r="EB97" s="591"/>
      <c r="EC97" s="591"/>
      <c r="ED97" s="591"/>
      <c r="EE97" s="591"/>
      <c r="EF97" s="591"/>
      <c r="EG97" s="591"/>
      <c r="EH97" s="591"/>
      <c r="EI97" s="591"/>
      <c r="EJ97" s="591"/>
      <c r="EK97" s="591"/>
      <c r="EL97" s="591"/>
      <c r="EM97" s="591"/>
      <c r="EN97" s="591"/>
      <c r="EO97" s="591"/>
      <c r="EP97" s="591"/>
      <c r="EQ97" s="591"/>
      <c r="ER97" s="591">
        <f>SUM(ES97:ET97)</f>
        <v>0</v>
      </c>
      <c r="ES97" s="591">
        <f>SUM(EU97:EV97)+EW97+SUM(EY97:FA97)+FJ97+FR97</f>
        <v>0</v>
      </c>
      <c r="ET97" s="591">
        <f>EX97+SUM(FB97:FI97)+SUM(FK97:FQ97)+SUM(FS97:FU97)</f>
        <v>0</v>
      </c>
      <c r="EU97" s="591"/>
      <c r="EV97" s="591"/>
      <c r="EW97" s="591"/>
      <c r="EX97" s="591"/>
      <c r="EY97" s="591"/>
      <c r="EZ97" s="591"/>
      <c r="FA97" s="591"/>
      <c r="FB97" s="591"/>
      <c r="FC97" s="591"/>
      <c r="FD97" s="591"/>
      <c r="FE97" s="591"/>
      <c r="FF97" s="591"/>
      <c r="FG97" s="591"/>
      <c r="FH97" s="591"/>
      <c r="FI97" s="591"/>
      <c r="FJ97" s="591"/>
      <c r="FK97" s="591"/>
      <c r="FL97" s="591"/>
      <c r="FM97" s="591"/>
      <c r="FN97" s="591"/>
      <c r="FO97" s="591"/>
      <c r="FP97" s="591"/>
      <c r="FQ97" s="591"/>
      <c r="FR97" s="591"/>
      <c r="FS97" s="591"/>
      <c r="FT97" s="591"/>
      <c r="FU97" s="591"/>
      <c r="FV97" s="591">
        <f>SUM(FW97:FX97)</f>
        <v>0</v>
      </c>
      <c r="FW97" s="591">
        <f>SUM(FY97:FY97)</f>
        <v>0</v>
      </c>
      <c r="FX97" s="591">
        <f>SUM(FZ97:GA97)</f>
        <v>0</v>
      </c>
      <c r="FY97" s="591"/>
      <c r="FZ97" s="592"/>
      <c r="GA97" s="591"/>
      <c r="GB97" s="591">
        <f>854780444+1181595821+3055078345+10539222792+2275599145+20000000</f>
        <v>17926276547</v>
      </c>
      <c r="GC97" s="593">
        <f>CP97/C97</f>
        <v>0.77751326589261316</v>
      </c>
      <c r="GD97" s="593"/>
      <c r="GE97" s="593"/>
      <c r="GF97" s="593"/>
      <c r="GG97" s="593"/>
    </row>
    <row r="98" spans="1:189" s="91" customFormat="1" ht="17.25" hidden="1" customHeight="1">
      <c r="A98" s="594"/>
      <c r="B98" s="595" t="s">
        <v>172</v>
      </c>
      <c r="C98" s="594"/>
      <c r="D98" s="594"/>
      <c r="E98" s="596"/>
      <c r="F98" s="594"/>
      <c r="G98" s="594"/>
      <c r="H98" s="594"/>
      <c r="I98" s="594"/>
      <c r="J98" s="594"/>
      <c r="K98" s="594"/>
      <c r="L98" s="594"/>
      <c r="M98" s="594"/>
      <c r="N98" s="594"/>
      <c r="O98" s="594"/>
      <c r="P98" s="594"/>
      <c r="Q98" s="594"/>
      <c r="R98" s="594"/>
      <c r="S98" s="594"/>
      <c r="T98" s="594"/>
      <c r="U98" s="594"/>
      <c r="V98" s="594"/>
      <c r="W98" s="594"/>
      <c r="X98" s="594"/>
      <c r="Y98" s="594"/>
      <c r="Z98" s="594"/>
      <c r="AA98" s="594"/>
      <c r="AB98" s="594"/>
      <c r="AC98" s="594"/>
      <c r="AD98" s="594"/>
      <c r="AE98" s="594"/>
      <c r="AF98" s="594"/>
      <c r="AG98" s="594"/>
      <c r="AH98" s="594"/>
      <c r="AI98" s="594"/>
      <c r="AJ98" s="594"/>
      <c r="AK98" s="594"/>
      <c r="AL98" s="594"/>
      <c r="AM98" s="594"/>
      <c r="AN98" s="594"/>
      <c r="AO98" s="594"/>
      <c r="AP98" s="594"/>
      <c r="AQ98" s="594"/>
      <c r="AR98" s="594"/>
      <c r="AS98" s="594"/>
      <c r="AT98" s="594"/>
      <c r="AU98" s="594"/>
      <c r="AV98" s="594"/>
      <c r="AW98" s="594"/>
      <c r="AX98" s="594"/>
      <c r="AY98" s="594"/>
      <c r="AZ98" s="594"/>
      <c r="BA98" s="594"/>
      <c r="BB98" s="594"/>
      <c r="BC98" s="594"/>
      <c r="BD98" s="594"/>
      <c r="BE98" s="597"/>
      <c r="BF98" s="596"/>
      <c r="BG98" s="597"/>
      <c r="BH98" s="596"/>
      <c r="BI98" s="596"/>
      <c r="BJ98" s="596"/>
      <c r="BK98" s="596"/>
      <c r="BL98" s="596"/>
      <c r="BM98" s="596"/>
      <c r="BN98" s="596"/>
      <c r="BO98" s="596"/>
      <c r="BP98" s="596"/>
      <c r="BQ98" s="596"/>
      <c r="BR98" s="596"/>
      <c r="BS98" s="596"/>
      <c r="BT98" s="596"/>
      <c r="BU98" s="596"/>
      <c r="BV98" s="596"/>
      <c r="BW98" s="596"/>
      <c r="BX98" s="596"/>
      <c r="BY98" s="596"/>
      <c r="BZ98" s="596"/>
      <c r="CA98" s="596"/>
      <c r="CB98" s="596"/>
      <c r="CC98" s="596"/>
      <c r="CD98" s="596"/>
      <c r="CE98" s="596"/>
      <c r="CF98" s="596"/>
      <c r="CG98" s="596"/>
      <c r="CH98" s="596"/>
      <c r="CI98" s="596"/>
      <c r="CJ98" s="596"/>
      <c r="CK98" s="596"/>
      <c r="CL98" s="596"/>
      <c r="CM98" s="596"/>
      <c r="CN98" s="596"/>
      <c r="CO98" s="595" t="s">
        <v>172</v>
      </c>
      <c r="CP98" s="596">
        <f t="shared" ref="CP98:EQ98" si="121">CP99+CP100</f>
        <v>133115684926</v>
      </c>
      <c r="CQ98" s="596">
        <f t="shared" si="121"/>
        <v>25806938187</v>
      </c>
      <c r="CR98" s="596">
        <f t="shared" si="121"/>
        <v>5484676265</v>
      </c>
      <c r="CS98" s="596">
        <f t="shared" si="121"/>
        <v>1532082000</v>
      </c>
      <c r="CT98" s="596">
        <f t="shared" si="121"/>
        <v>2770998444</v>
      </c>
      <c r="CU98" s="596">
        <f t="shared" si="121"/>
        <v>1181595821</v>
      </c>
      <c r="CV98" s="596">
        <f t="shared" si="121"/>
        <v>0</v>
      </c>
      <c r="CW98" s="596">
        <f t="shared" si="121"/>
        <v>20322261922</v>
      </c>
      <c r="CX98" s="596">
        <f t="shared" si="121"/>
        <v>0</v>
      </c>
      <c r="CY98" s="596">
        <f t="shared" si="121"/>
        <v>0</v>
      </c>
      <c r="CZ98" s="596">
        <f t="shared" si="121"/>
        <v>1264496000</v>
      </c>
      <c r="DA98" s="596">
        <f t="shared" si="121"/>
        <v>288000000</v>
      </c>
      <c r="DB98" s="596">
        <f t="shared" si="121"/>
        <v>0</v>
      </c>
      <c r="DC98" s="596">
        <f t="shared" si="121"/>
        <v>0</v>
      </c>
      <c r="DD98" s="596">
        <f t="shared" si="121"/>
        <v>0</v>
      </c>
      <c r="DE98" s="596">
        <f>DE99+DE100</f>
        <v>0</v>
      </c>
      <c r="DF98" s="596">
        <f>DF99+DF100</f>
        <v>0</v>
      </c>
      <c r="DG98" s="596">
        <f>DG99+DG100</f>
        <v>0</v>
      </c>
      <c r="DH98" s="596">
        <f t="shared" si="121"/>
        <v>0</v>
      </c>
      <c r="DI98" s="596">
        <f t="shared" si="121"/>
        <v>0</v>
      </c>
      <c r="DJ98" s="596">
        <f t="shared" si="121"/>
        <v>0</v>
      </c>
      <c r="DK98" s="596">
        <f t="shared" si="121"/>
        <v>0</v>
      </c>
      <c r="DL98" s="596">
        <f t="shared" si="121"/>
        <v>0</v>
      </c>
      <c r="DM98" s="596">
        <f>DM99+DM100</f>
        <v>0</v>
      </c>
      <c r="DN98" s="596">
        <f t="shared" si="121"/>
        <v>0</v>
      </c>
      <c r="DO98" s="596">
        <f t="shared" si="121"/>
        <v>0</v>
      </c>
      <c r="DP98" s="596">
        <f t="shared" si="121"/>
        <v>320000000</v>
      </c>
      <c r="DQ98" s="596">
        <f t="shared" si="121"/>
        <v>0</v>
      </c>
      <c r="DR98" s="596">
        <f t="shared" si="121"/>
        <v>0</v>
      </c>
      <c r="DS98" s="596">
        <f t="shared" si="121"/>
        <v>0</v>
      </c>
      <c r="DT98" s="596">
        <f t="shared" si="121"/>
        <v>0</v>
      </c>
      <c r="DU98" s="596">
        <f t="shared" si="121"/>
        <v>841740000</v>
      </c>
      <c r="DV98" s="596">
        <f t="shared" si="121"/>
        <v>0</v>
      </c>
      <c r="DW98" s="596">
        <f t="shared" si="121"/>
        <v>0</v>
      </c>
      <c r="DX98" s="596">
        <f t="shared" si="121"/>
        <v>1750000000</v>
      </c>
      <c r="DY98" s="596">
        <f t="shared" si="121"/>
        <v>0</v>
      </c>
      <c r="DZ98" s="596">
        <f t="shared" si="121"/>
        <v>41222792</v>
      </c>
      <c r="EA98" s="596">
        <f t="shared" si="121"/>
        <v>0</v>
      </c>
      <c r="EB98" s="596">
        <f t="shared" si="121"/>
        <v>1325608000</v>
      </c>
      <c r="EC98" s="596">
        <f t="shared" si="121"/>
        <v>0</v>
      </c>
      <c r="ED98" s="596">
        <f t="shared" si="121"/>
        <v>0</v>
      </c>
      <c r="EE98" s="596">
        <f t="shared" si="121"/>
        <v>196599145</v>
      </c>
      <c r="EF98" s="596">
        <f t="shared" si="121"/>
        <v>0</v>
      </c>
      <c r="EG98" s="596">
        <f t="shared" si="121"/>
        <v>0</v>
      </c>
      <c r="EH98" s="596">
        <f t="shared" si="121"/>
        <v>0</v>
      </c>
      <c r="EI98" s="596">
        <f>EI99+EI100</f>
        <v>1020517640</v>
      </c>
      <c r="EJ98" s="596">
        <f>EJ99+EJ100</f>
        <v>5000000000</v>
      </c>
      <c r="EK98" s="596">
        <f t="shared" si="121"/>
        <v>0</v>
      </c>
      <c r="EL98" s="596">
        <f t="shared" si="121"/>
        <v>0</v>
      </c>
      <c r="EM98" s="596">
        <f t="shared" si="121"/>
        <v>0</v>
      </c>
      <c r="EN98" s="596">
        <f t="shared" si="121"/>
        <v>0</v>
      </c>
      <c r="EO98" s="596">
        <f t="shared" si="121"/>
        <v>0</v>
      </c>
      <c r="EP98" s="596">
        <f t="shared" si="121"/>
        <v>0</v>
      </c>
      <c r="EQ98" s="596">
        <f t="shared" si="121"/>
        <v>8274078345</v>
      </c>
      <c r="ER98" s="596">
        <f>ER99+ER100</f>
        <v>107308746739</v>
      </c>
      <c r="ES98" s="596">
        <f>ES99+ES100</f>
        <v>24661362000</v>
      </c>
      <c r="ET98" s="596">
        <f>ET99+ET100</f>
        <v>82647384739</v>
      </c>
      <c r="EU98" s="596">
        <f t="shared" ref="EU98:FO98" si="122">EU99+EU100</f>
        <v>139952000</v>
      </c>
      <c r="EV98" s="596">
        <f t="shared" si="122"/>
        <v>0</v>
      </c>
      <c r="EW98" s="596">
        <f t="shared" si="122"/>
        <v>0</v>
      </c>
      <c r="EX98" s="596">
        <f t="shared" si="122"/>
        <v>0</v>
      </c>
      <c r="EY98" s="596">
        <f>EY99+EY100</f>
        <v>812195000</v>
      </c>
      <c r="EZ98" s="596">
        <f>EZ99+EZ100</f>
        <v>13003975000</v>
      </c>
      <c r="FA98" s="596">
        <f t="shared" si="122"/>
        <v>8730516000</v>
      </c>
      <c r="FB98" s="596">
        <f t="shared" si="122"/>
        <v>259464000</v>
      </c>
      <c r="FC98" s="596">
        <f t="shared" si="122"/>
        <v>34277500453</v>
      </c>
      <c r="FD98" s="596">
        <f t="shared" si="122"/>
        <v>0</v>
      </c>
      <c r="FE98" s="596">
        <f t="shared" si="122"/>
        <v>16058956000</v>
      </c>
      <c r="FF98" s="596">
        <f t="shared" si="122"/>
        <v>67790000</v>
      </c>
      <c r="FG98" s="596">
        <f t="shared" si="122"/>
        <v>770743490</v>
      </c>
      <c r="FH98" s="596">
        <f t="shared" si="122"/>
        <v>751870820</v>
      </c>
      <c r="FI98" s="596">
        <f t="shared" si="122"/>
        <v>345121000</v>
      </c>
      <c r="FJ98" s="596">
        <f t="shared" si="122"/>
        <v>0</v>
      </c>
      <c r="FK98" s="596">
        <f t="shared" si="122"/>
        <v>1413871000</v>
      </c>
      <c r="FL98" s="596">
        <f t="shared" si="122"/>
        <v>15539000000</v>
      </c>
      <c r="FM98" s="596">
        <f t="shared" si="122"/>
        <v>6698850000</v>
      </c>
      <c r="FN98" s="596">
        <f t="shared" si="122"/>
        <v>5756036200</v>
      </c>
      <c r="FO98" s="596">
        <f t="shared" si="122"/>
        <v>20000000</v>
      </c>
      <c r="FP98" s="596">
        <f>FP99+FP100</f>
        <v>510850400</v>
      </c>
      <c r="FQ98" s="596">
        <f t="shared" ref="FQ98:FX98" si="123">FQ99+FQ100</f>
        <v>177271000</v>
      </c>
      <c r="FR98" s="596">
        <f t="shared" si="123"/>
        <v>1974724000</v>
      </c>
      <c r="FS98" s="596">
        <f t="shared" si="123"/>
        <v>0</v>
      </c>
      <c r="FT98" s="596">
        <f t="shared" si="123"/>
        <v>0</v>
      </c>
      <c r="FU98" s="596">
        <f t="shared" si="123"/>
        <v>60376</v>
      </c>
      <c r="FV98" s="596">
        <f t="shared" si="123"/>
        <v>0</v>
      </c>
      <c r="FW98" s="596">
        <f t="shared" si="123"/>
        <v>0</v>
      </c>
      <c r="FX98" s="596">
        <f t="shared" si="123"/>
        <v>0</v>
      </c>
      <c r="FY98" s="596">
        <f>FY99+FY100</f>
        <v>0</v>
      </c>
      <c r="FZ98" s="596">
        <f>FZ99+FZ100</f>
        <v>0</v>
      </c>
      <c r="GA98" s="596">
        <f>GA99+GA100</f>
        <v>0</v>
      </c>
      <c r="GB98" s="146"/>
      <c r="GC98" s="146"/>
      <c r="GD98" s="146"/>
      <c r="GE98" s="146"/>
      <c r="GF98" s="146"/>
      <c r="GG98" s="146"/>
    </row>
    <row r="99" spans="1:189" s="92" customFormat="1" ht="17.25" hidden="1" customHeight="1">
      <c r="A99" s="582"/>
      <c r="B99" s="583" t="s">
        <v>183</v>
      </c>
      <c r="C99" s="598"/>
      <c r="D99" s="598"/>
      <c r="E99" s="584"/>
      <c r="F99" s="598"/>
      <c r="G99" s="598"/>
      <c r="H99" s="598"/>
      <c r="I99" s="598"/>
      <c r="J99" s="598"/>
      <c r="K99" s="584"/>
      <c r="L99" s="584"/>
      <c r="M99" s="584"/>
      <c r="N99" s="584"/>
      <c r="O99" s="584"/>
      <c r="P99" s="584"/>
      <c r="Q99" s="584"/>
      <c r="R99" s="584"/>
      <c r="S99" s="584"/>
      <c r="T99" s="584"/>
      <c r="U99" s="584"/>
      <c r="V99" s="584"/>
      <c r="W99" s="584"/>
      <c r="X99" s="584"/>
      <c r="Y99" s="584"/>
      <c r="Z99" s="584"/>
      <c r="AA99" s="584"/>
      <c r="AB99" s="584"/>
      <c r="AC99" s="584"/>
      <c r="AD99" s="584"/>
      <c r="AE99" s="584"/>
      <c r="AF99" s="584"/>
      <c r="AG99" s="584"/>
      <c r="AH99" s="584"/>
      <c r="AI99" s="584"/>
      <c r="AJ99" s="584"/>
      <c r="AK99" s="584"/>
      <c r="AL99" s="584"/>
      <c r="AM99" s="584"/>
      <c r="AN99" s="584"/>
      <c r="AO99" s="584"/>
      <c r="AP99" s="584"/>
      <c r="AQ99" s="584"/>
      <c r="AR99" s="584"/>
      <c r="AS99" s="584"/>
      <c r="AT99" s="584"/>
      <c r="AU99" s="584"/>
      <c r="AV99" s="584"/>
      <c r="AW99" s="584"/>
      <c r="AX99" s="584"/>
      <c r="AY99" s="584"/>
      <c r="AZ99" s="584"/>
      <c r="BA99" s="584"/>
      <c r="BB99" s="584"/>
      <c r="BC99" s="584"/>
      <c r="BD99" s="584"/>
      <c r="BE99" s="583"/>
      <c r="BF99" s="584"/>
      <c r="BG99" s="583"/>
      <c r="BH99" s="584"/>
      <c r="BI99" s="584"/>
      <c r="BJ99" s="584"/>
      <c r="BK99" s="584"/>
      <c r="BL99" s="584"/>
      <c r="BM99" s="584"/>
      <c r="BN99" s="584"/>
      <c r="BO99" s="584"/>
      <c r="BP99" s="584"/>
      <c r="BQ99" s="584"/>
      <c r="BR99" s="584"/>
      <c r="BS99" s="584"/>
      <c r="BT99" s="584"/>
      <c r="BU99" s="584"/>
      <c r="BV99" s="584"/>
      <c r="BW99" s="584"/>
      <c r="BX99" s="584"/>
      <c r="BY99" s="584"/>
      <c r="BZ99" s="584"/>
      <c r="CA99" s="584"/>
      <c r="CB99" s="584"/>
      <c r="CC99" s="584"/>
      <c r="CD99" s="584"/>
      <c r="CE99" s="584"/>
      <c r="CF99" s="584"/>
      <c r="CG99" s="584"/>
      <c r="CH99" s="584"/>
      <c r="CI99" s="584"/>
      <c r="CJ99" s="584"/>
      <c r="CK99" s="584"/>
      <c r="CL99" s="584"/>
      <c r="CM99" s="584"/>
      <c r="CN99" s="584"/>
      <c r="CO99" s="584" t="s">
        <v>183</v>
      </c>
      <c r="CP99" s="584">
        <f>CQ99+ER99+FV99+GB99</f>
        <v>30146038265</v>
      </c>
      <c r="CQ99" s="584">
        <f>CR99+CW99</f>
        <v>5484676265</v>
      </c>
      <c r="CR99" s="584">
        <f>SUM(CS99:CV99)</f>
        <v>5484676265</v>
      </c>
      <c r="CS99" s="584">
        <v>1532082000</v>
      </c>
      <c r="CT99" s="584">
        <f>1916218000+854780444</f>
        <v>2770998444</v>
      </c>
      <c r="CU99" s="584">
        <v>1181595821</v>
      </c>
      <c r="CV99" s="584"/>
      <c r="CW99" s="584">
        <f>SUM(CX99:EQ99)</f>
        <v>0</v>
      </c>
      <c r="CX99" s="584"/>
      <c r="CY99" s="584"/>
      <c r="CZ99" s="584"/>
      <c r="DA99" s="584"/>
      <c r="DB99" s="584"/>
      <c r="DC99" s="584"/>
      <c r="DD99" s="584"/>
      <c r="DE99" s="584"/>
      <c r="DF99" s="584"/>
      <c r="DG99" s="584"/>
      <c r="DH99" s="584"/>
      <c r="DI99" s="584"/>
      <c r="DJ99" s="584"/>
      <c r="DK99" s="584"/>
      <c r="DL99" s="584"/>
      <c r="DM99" s="584"/>
      <c r="DN99" s="584"/>
      <c r="DO99" s="584"/>
      <c r="DP99" s="584"/>
      <c r="DQ99" s="584"/>
      <c r="DR99" s="584"/>
      <c r="DS99" s="584"/>
      <c r="DT99" s="584"/>
      <c r="DU99" s="584"/>
      <c r="DV99" s="584"/>
      <c r="DW99" s="584"/>
      <c r="DX99" s="584"/>
      <c r="DY99" s="584"/>
      <c r="DZ99" s="584"/>
      <c r="EA99" s="584"/>
      <c r="EB99" s="584"/>
      <c r="EC99" s="584"/>
      <c r="ED99" s="584"/>
      <c r="EE99" s="584"/>
      <c r="EF99" s="584"/>
      <c r="EG99" s="584"/>
      <c r="EH99" s="584"/>
      <c r="EI99" s="584"/>
      <c r="EJ99" s="584"/>
      <c r="EK99" s="584"/>
      <c r="EL99" s="584"/>
      <c r="EM99" s="584"/>
      <c r="EN99" s="584"/>
      <c r="EO99" s="584"/>
      <c r="EP99" s="584"/>
      <c r="EQ99" s="584"/>
      <c r="ER99" s="584">
        <f>SUM(ES99:ET99)</f>
        <v>24661362000</v>
      </c>
      <c r="ES99" s="584">
        <f>SUM(EU99:EV99)+EW99+SUM(EY99:FA99)+FJ99+FR99</f>
        <v>24661362000</v>
      </c>
      <c r="ET99" s="584">
        <f>EX99+SUM(FB99:FI99)+SUM(FK99:FQ99)+SUM(FS99:FU99)</f>
        <v>0</v>
      </c>
      <c r="EU99" s="584">
        <v>139952000</v>
      </c>
      <c r="EV99" s="584"/>
      <c r="EW99" s="584"/>
      <c r="EX99" s="584"/>
      <c r="EY99" s="584">
        <v>812195000</v>
      </c>
      <c r="EZ99" s="584">
        <v>13003975000</v>
      </c>
      <c r="FA99" s="584">
        <v>8730516000</v>
      </c>
      <c r="FB99" s="584"/>
      <c r="FC99" s="584"/>
      <c r="FD99" s="584"/>
      <c r="FE99" s="584"/>
      <c r="FF99" s="584"/>
      <c r="FG99" s="584"/>
      <c r="FH99" s="584"/>
      <c r="FI99" s="584"/>
      <c r="FJ99" s="584"/>
      <c r="FK99" s="584"/>
      <c r="FL99" s="584"/>
      <c r="FM99" s="584"/>
      <c r="FN99" s="584"/>
      <c r="FO99" s="584"/>
      <c r="FP99" s="584"/>
      <c r="FQ99" s="584"/>
      <c r="FR99" s="584">
        <v>1974724000</v>
      </c>
      <c r="FS99" s="584"/>
      <c r="FT99" s="584"/>
      <c r="FU99" s="584"/>
      <c r="FV99" s="584">
        <f>SUM(FW99:FX99)</f>
        <v>0</v>
      </c>
      <c r="FW99" s="584">
        <f>SUM(FY99:FY99)</f>
        <v>0</v>
      </c>
      <c r="FX99" s="584">
        <f>SUM(FZ99:GA99)</f>
        <v>0</v>
      </c>
      <c r="FY99" s="584"/>
      <c r="FZ99" s="584"/>
      <c r="GA99" s="584"/>
      <c r="GB99" s="146"/>
      <c r="GC99" s="146"/>
      <c r="GD99" s="146"/>
      <c r="GE99" s="146"/>
      <c r="GF99" s="146"/>
      <c r="GG99" s="146"/>
    </row>
    <row r="100" spans="1:189" s="92" customFormat="1" ht="17.25" hidden="1" customHeight="1">
      <c r="A100" s="582"/>
      <c r="B100" s="583" t="s">
        <v>184</v>
      </c>
      <c r="C100" s="598"/>
      <c r="D100" s="598"/>
      <c r="E100" s="584"/>
      <c r="F100" s="598"/>
      <c r="G100" s="598"/>
      <c r="H100" s="598"/>
      <c r="I100" s="598"/>
      <c r="J100" s="598"/>
      <c r="K100" s="584"/>
      <c r="L100" s="584"/>
      <c r="M100" s="584"/>
      <c r="N100" s="584"/>
      <c r="O100" s="584"/>
      <c r="P100" s="584"/>
      <c r="Q100" s="584"/>
      <c r="R100" s="584"/>
      <c r="S100" s="584"/>
      <c r="T100" s="584"/>
      <c r="U100" s="584"/>
      <c r="V100" s="584"/>
      <c r="W100" s="584"/>
      <c r="X100" s="584"/>
      <c r="Y100" s="584"/>
      <c r="Z100" s="584"/>
      <c r="AA100" s="584"/>
      <c r="AB100" s="584"/>
      <c r="AC100" s="584"/>
      <c r="AD100" s="584"/>
      <c r="AE100" s="584"/>
      <c r="AF100" s="584"/>
      <c r="AG100" s="584"/>
      <c r="AH100" s="584"/>
      <c r="AI100" s="584"/>
      <c r="AJ100" s="584"/>
      <c r="AK100" s="584"/>
      <c r="AL100" s="584"/>
      <c r="AM100" s="584"/>
      <c r="AN100" s="584"/>
      <c r="AO100" s="584"/>
      <c r="AP100" s="584"/>
      <c r="AQ100" s="584"/>
      <c r="AR100" s="584"/>
      <c r="AS100" s="584"/>
      <c r="AT100" s="584"/>
      <c r="AU100" s="584"/>
      <c r="AV100" s="584"/>
      <c r="AW100" s="584"/>
      <c r="AX100" s="584"/>
      <c r="AY100" s="584"/>
      <c r="AZ100" s="584"/>
      <c r="BA100" s="584"/>
      <c r="BB100" s="584"/>
      <c r="BC100" s="584"/>
      <c r="BD100" s="584"/>
      <c r="BE100" s="583"/>
      <c r="BF100" s="584"/>
      <c r="BG100" s="583"/>
      <c r="BH100" s="584"/>
      <c r="BI100" s="584"/>
      <c r="BJ100" s="584"/>
      <c r="BK100" s="584"/>
      <c r="BL100" s="584"/>
      <c r="BM100" s="584"/>
      <c r="BN100" s="584"/>
      <c r="BO100" s="584"/>
      <c r="BP100" s="584"/>
      <c r="BQ100" s="584"/>
      <c r="BR100" s="584"/>
      <c r="BS100" s="584"/>
      <c r="BT100" s="584"/>
      <c r="BU100" s="584"/>
      <c r="BV100" s="584"/>
      <c r="BW100" s="584"/>
      <c r="BX100" s="584"/>
      <c r="BY100" s="584"/>
      <c r="BZ100" s="584"/>
      <c r="CA100" s="584"/>
      <c r="CB100" s="584"/>
      <c r="CC100" s="584"/>
      <c r="CD100" s="584"/>
      <c r="CE100" s="584"/>
      <c r="CF100" s="584"/>
      <c r="CG100" s="584"/>
      <c r="CH100" s="584"/>
      <c r="CI100" s="584"/>
      <c r="CJ100" s="584"/>
      <c r="CK100" s="584"/>
      <c r="CL100" s="584"/>
      <c r="CM100" s="584"/>
      <c r="CN100" s="584"/>
      <c r="CO100" s="584" t="s">
        <v>184</v>
      </c>
      <c r="CP100" s="584">
        <f>CQ100+ER100+FV100+GB100</f>
        <v>102969646661</v>
      </c>
      <c r="CQ100" s="584">
        <f>CR100+CW100</f>
        <v>20322261922</v>
      </c>
      <c r="CR100" s="584">
        <f>SUM(CS100:CV100)</f>
        <v>0</v>
      </c>
      <c r="CS100" s="584"/>
      <c r="CT100" s="584"/>
      <c r="CU100" s="584"/>
      <c r="CV100" s="584"/>
      <c r="CW100" s="584">
        <f>SUM(CX100:EQ100)</f>
        <v>20322261922</v>
      </c>
      <c r="CX100" s="584"/>
      <c r="CY100" s="584"/>
      <c r="CZ100" s="584">
        <v>1264496000</v>
      </c>
      <c r="DA100" s="584">
        <v>288000000</v>
      </c>
      <c r="DB100" s="584"/>
      <c r="DC100" s="584"/>
      <c r="DD100" s="584"/>
      <c r="DE100" s="584"/>
      <c r="DF100" s="584"/>
      <c r="DG100" s="584"/>
      <c r="DH100" s="584"/>
      <c r="DI100" s="584"/>
      <c r="DJ100" s="584"/>
      <c r="DK100" s="584"/>
      <c r="DL100" s="584"/>
      <c r="DM100" s="584"/>
      <c r="DN100" s="584"/>
      <c r="DO100" s="584"/>
      <c r="DP100" s="584">
        <v>320000000</v>
      </c>
      <c r="DQ100" s="584"/>
      <c r="DR100" s="584"/>
      <c r="DS100" s="584"/>
      <c r="DT100" s="584"/>
      <c r="DU100" s="584">
        <v>841740000</v>
      </c>
      <c r="DV100" s="584"/>
      <c r="DW100" s="584"/>
      <c r="DX100" s="584">
        <v>1750000000</v>
      </c>
      <c r="DY100" s="584"/>
      <c r="DZ100" s="584">
        <v>41222792</v>
      </c>
      <c r="EA100" s="584"/>
      <c r="EB100" s="584">
        <v>1325608000</v>
      </c>
      <c r="EC100" s="584"/>
      <c r="ED100" s="584"/>
      <c r="EE100" s="584">
        <v>196599145</v>
      </c>
      <c r="EF100" s="584"/>
      <c r="EG100" s="584"/>
      <c r="EH100" s="584"/>
      <c r="EI100" s="584">
        <f>1019000000+1517640</f>
        <v>1020517640</v>
      </c>
      <c r="EJ100" s="584">
        <v>5000000000</v>
      </c>
      <c r="EK100" s="584"/>
      <c r="EL100" s="584"/>
      <c r="EM100" s="584"/>
      <c r="EN100" s="584"/>
      <c r="EO100" s="584"/>
      <c r="EP100" s="584"/>
      <c r="EQ100" s="584">
        <f>3055078345+3140000000+2079000000</f>
        <v>8274078345</v>
      </c>
      <c r="ER100" s="584">
        <f>SUM(ES100:ET100)</f>
        <v>82647384739</v>
      </c>
      <c r="ES100" s="584">
        <f>SUM(EU100:EV100)+EW100+SUM(EY100:FA100)+FJ100+FR100</f>
        <v>0</v>
      </c>
      <c r="ET100" s="584">
        <f>EX100+SUM(FB100:FI100)+SUM(FK100:FQ100)+SUM(FS100:FU100)</f>
        <v>82647384739</v>
      </c>
      <c r="EU100" s="584"/>
      <c r="EV100" s="584"/>
      <c r="EW100" s="584"/>
      <c r="EX100" s="584"/>
      <c r="EY100" s="584"/>
      <c r="EZ100" s="584"/>
      <c r="FA100" s="584"/>
      <c r="FB100" s="584">
        <f>126464000+133000000</f>
        <v>259464000</v>
      </c>
      <c r="FC100" s="584">
        <f>31472500453+2805000000</f>
        <v>34277500453</v>
      </c>
      <c r="FD100" s="584"/>
      <c r="FE100" s="584">
        <f>1328000000+1915724000+12815232000</f>
        <v>16058956000</v>
      </c>
      <c r="FF100" s="584">
        <v>67790000</v>
      </c>
      <c r="FG100" s="584">
        <v>770743490</v>
      </c>
      <c r="FH100" s="584">
        <f>191000000+560870820</f>
        <v>751870820</v>
      </c>
      <c r="FI100" s="584">
        <f>49375000+295746000</f>
        <v>345121000</v>
      </c>
      <c r="FJ100" s="584"/>
      <c r="FK100" s="584">
        <v>1413871000</v>
      </c>
      <c r="FL100" s="584">
        <v>15539000000</v>
      </c>
      <c r="FM100" s="584">
        <f>18850000+6680000000</f>
        <v>6698850000</v>
      </c>
      <c r="FN100" s="584">
        <f>2631236200+2643000000+481800000</f>
        <v>5756036200</v>
      </c>
      <c r="FO100" s="584">
        <v>20000000</v>
      </c>
      <c r="FP100" s="584">
        <f>8710000+502140400</f>
        <v>510850400</v>
      </c>
      <c r="FQ100" s="584">
        <v>177271000</v>
      </c>
      <c r="FR100" s="584"/>
      <c r="FS100" s="584"/>
      <c r="FT100" s="584"/>
      <c r="FU100" s="584">
        <v>60376</v>
      </c>
      <c r="FV100" s="584">
        <f>SUM(FW100:FX100)</f>
        <v>0</v>
      </c>
      <c r="FW100" s="584">
        <f>SUM(FY100:FY100)</f>
        <v>0</v>
      </c>
      <c r="FX100" s="584">
        <f>SUM(FZ100:GA100)</f>
        <v>0</v>
      </c>
      <c r="FY100" s="584"/>
      <c r="FZ100" s="584"/>
      <c r="GA100" s="584"/>
      <c r="GB100" s="146"/>
      <c r="GC100" s="146"/>
      <c r="GD100" s="146"/>
      <c r="GE100" s="146"/>
      <c r="GF100" s="146"/>
      <c r="GG100" s="146"/>
    </row>
    <row r="101" spans="1:189" s="91" customFormat="1" ht="17.25" hidden="1" customHeight="1">
      <c r="A101" s="578"/>
      <c r="B101" s="599" t="s">
        <v>136</v>
      </c>
      <c r="C101" s="578"/>
      <c r="D101" s="578"/>
      <c r="E101" s="600"/>
      <c r="F101" s="578"/>
      <c r="G101" s="578"/>
      <c r="H101" s="578"/>
      <c r="I101" s="578"/>
      <c r="J101" s="578"/>
      <c r="K101" s="578"/>
      <c r="L101" s="578"/>
      <c r="M101" s="578"/>
      <c r="N101" s="578"/>
      <c r="O101" s="578"/>
      <c r="P101" s="578"/>
      <c r="Q101" s="578"/>
      <c r="R101" s="578"/>
      <c r="S101" s="578"/>
      <c r="T101" s="578"/>
      <c r="U101" s="578"/>
      <c r="V101" s="578"/>
      <c r="W101" s="578"/>
      <c r="X101" s="578"/>
      <c r="Y101" s="578"/>
      <c r="Z101" s="578"/>
      <c r="AA101" s="578"/>
      <c r="AB101" s="578"/>
      <c r="AC101" s="578"/>
      <c r="AD101" s="578"/>
      <c r="AE101" s="578"/>
      <c r="AF101" s="578"/>
      <c r="AG101" s="578"/>
      <c r="AH101" s="578"/>
      <c r="AI101" s="578"/>
      <c r="AJ101" s="578"/>
      <c r="AK101" s="578"/>
      <c r="AL101" s="578"/>
      <c r="AM101" s="578"/>
      <c r="AN101" s="578"/>
      <c r="AO101" s="578"/>
      <c r="AP101" s="578"/>
      <c r="AQ101" s="578"/>
      <c r="AR101" s="578"/>
      <c r="AS101" s="578"/>
      <c r="AT101" s="578"/>
      <c r="AU101" s="578"/>
      <c r="AV101" s="578"/>
      <c r="AW101" s="578"/>
      <c r="AX101" s="578"/>
      <c r="AY101" s="578"/>
      <c r="AZ101" s="578"/>
      <c r="BA101" s="578"/>
      <c r="BB101" s="578"/>
      <c r="BC101" s="578"/>
      <c r="BD101" s="578"/>
      <c r="BE101" s="601"/>
      <c r="BF101" s="600"/>
      <c r="BG101" s="601"/>
      <c r="BH101" s="600"/>
      <c r="BI101" s="600"/>
      <c r="BJ101" s="600"/>
      <c r="BK101" s="600"/>
      <c r="BL101" s="600"/>
      <c r="BM101" s="600"/>
      <c r="BN101" s="600"/>
      <c r="BO101" s="600"/>
      <c r="BP101" s="600"/>
      <c r="BQ101" s="600"/>
      <c r="BR101" s="600"/>
      <c r="BS101" s="600"/>
      <c r="BT101" s="600"/>
      <c r="BU101" s="600"/>
      <c r="BV101" s="600"/>
      <c r="BW101" s="600"/>
      <c r="BX101" s="600"/>
      <c r="BY101" s="600"/>
      <c r="BZ101" s="600"/>
      <c r="CA101" s="600"/>
      <c r="CB101" s="600"/>
      <c r="CC101" s="600"/>
      <c r="CD101" s="600"/>
      <c r="CE101" s="600"/>
      <c r="CF101" s="600"/>
      <c r="CG101" s="600"/>
      <c r="CH101" s="600"/>
      <c r="CI101" s="600"/>
      <c r="CJ101" s="600"/>
      <c r="CK101" s="600"/>
      <c r="CL101" s="600"/>
      <c r="CM101" s="600"/>
      <c r="CN101" s="600"/>
      <c r="CO101" s="599" t="s">
        <v>136</v>
      </c>
      <c r="CP101" s="600">
        <f t="shared" ref="CP101:CV101" si="124">CP102+CP103</f>
        <v>8460125894</v>
      </c>
      <c r="CQ101" s="600">
        <f t="shared" si="124"/>
        <v>8460125894</v>
      </c>
      <c r="CR101" s="600">
        <f t="shared" si="124"/>
        <v>1294115321</v>
      </c>
      <c r="CS101" s="600">
        <f t="shared" si="124"/>
        <v>0</v>
      </c>
      <c r="CT101" s="600">
        <f t="shared" si="124"/>
        <v>1294115321</v>
      </c>
      <c r="CU101" s="600">
        <f t="shared" si="124"/>
        <v>0</v>
      </c>
      <c r="CV101" s="600">
        <f t="shared" si="124"/>
        <v>0</v>
      </c>
      <c r="CW101" s="600">
        <f>SUM(CX101:EU101)</f>
        <v>7166010573</v>
      </c>
      <c r="CX101" s="600">
        <f t="shared" ref="CX101:FI101" si="125">CX102+CX103</f>
        <v>0</v>
      </c>
      <c r="CY101" s="600">
        <f t="shared" si="125"/>
        <v>0</v>
      </c>
      <c r="CZ101" s="600">
        <f t="shared" si="125"/>
        <v>0</v>
      </c>
      <c r="DA101" s="600">
        <f t="shared" si="125"/>
        <v>0</v>
      </c>
      <c r="DB101" s="600">
        <f t="shared" si="125"/>
        <v>0</v>
      </c>
      <c r="DC101" s="600">
        <f t="shared" si="125"/>
        <v>0</v>
      </c>
      <c r="DD101" s="600">
        <f t="shared" si="125"/>
        <v>0</v>
      </c>
      <c r="DE101" s="600">
        <f t="shared" si="125"/>
        <v>0</v>
      </c>
      <c r="DF101" s="600">
        <f>DF102+DF103</f>
        <v>0</v>
      </c>
      <c r="DG101" s="600">
        <f t="shared" si="125"/>
        <v>0</v>
      </c>
      <c r="DH101" s="600">
        <f t="shared" si="125"/>
        <v>0</v>
      </c>
      <c r="DI101" s="600">
        <f t="shared" si="125"/>
        <v>0</v>
      </c>
      <c r="DJ101" s="600">
        <f t="shared" si="125"/>
        <v>0</v>
      </c>
      <c r="DK101" s="600">
        <f t="shared" si="125"/>
        <v>0</v>
      </c>
      <c r="DL101" s="600">
        <f>DL102+DL103</f>
        <v>0</v>
      </c>
      <c r="DM101" s="600">
        <f>DM102+DM103</f>
        <v>2188328982</v>
      </c>
      <c r="DN101" s="600">
        <f t="shared" si="125"/>
        <v>0</v>
      </c>
      <c r="DO101" s="600">
        <f t="shared" si="125"/>
        <v>284999400</v>
      </c>
      <c r="DP101" s="600">
        <f t="shared" si="125"/>
        <v>0</v>
      </c>
      <c r="DQ101" s="600">
        <f t="shared" si="125"/>
        <v>0</v>
      </c>
      <c r="DR101" s="600">
        <f t="shared" si="125"/>
        <v>0</v>
      </c>
      <c r="DS101" s="600">
        <f t="shared" si="125"/>
        <v>0</v>
      </c>
      <c r="DT101" s="600">
        <f t="shared" si="125"/>
        <v>0</v>
      </c>
      <c r="DU101" s="600">
        <f t="shared" si="125"/>
        <v>0</v>
      </c>
      <c r="DV101" s="600">
        <f t="shared" si="125"/>
        <v>0</v>
      </c>
      <c r="DW101" s="600">
        <f t="shared" si="125"/>
        <v>0</v>
      </c>
      <c r="DX101" s="600">
        <f>DX102+DX103</f>
        <v>0</v>
      </c>
      <c r="DY101" s="600">
        <f t="shared" si="125"/>
        <v>0</v>
      </c>
      <c r="DZ101" s="600">
        <f t="shared" si="125"/>
        <v>0</v>
      </c>
      <c r="EA101" s="600">
        <f t="shared" si="125"/>
        <v>0</v>
      </c>
      <c r="EB101" s="600">
        <f t="shared" si="125"/>
        <v>0</v>
      </c>
      <c r="EC101" s="600">
        <f t="shared" si="125"/>
        <v>0</v>
      </c>
      <c r="ED101" s="600">
        <f t="shared" si="125"/>
        <v>0</v>
      </c>
      <c r="EE101" s="600">
        <f t="shared" si="125"/>
        <v>2033048660</v>
      </c>
      <c r="EF101" s="600">
        <f t="shared" si="125"/>
        <v>0</v>
      </c>
      <c r="EG101" s="600">
        <f t="shared" si="125"/>
        <v>0</v>
      </c>
      <c r="EH101" s="600">
        <f t="shared" si="125"/>
        <v>0</v>
      </c>
      <c r="EI101" s="600">
        <f>EI102+EI103</f>
        <v>0</v>
      </c>
      <c r="EJ101" s="600">
        <f>EJ102+EJ103</f>
        <v>0</v>
      </c>
      <c r="EK101" s="600">
        <f t="shared" si="125"/>
        <v>0</v>
      </c>
      <c r="EL101" s="600">
        <f t="shared" si="125"/>
        <v>0</v>
      </c>
      <c r="EM101" s="600">
        <f t="shared" si="125"/>
        <v>0</v>
      </c>
      <c r="EN101" s="600">
        <f t="shared" si="125"/>
        <v>0</v>
      </c>
      <c r="EO101" s="600">
        <f t="shared" si="125"/>
        <v>0</v>
      </c>
      <c r="EP101" s="600">
        <f t="shared" si="125"/>
        <v>0</v>
      </c>
      <c r="EQ101" s="600">
        <f>EQ102+EQ103</f>
        <v>2659633531</v>
      </c>
      <c r="ER101" s="600">
        <f>ER102+ER103</f>
        <v>0</v>
      </c>
      <c r="ES101" s="600">
        <f>ES102+ES103</f>
        <v>0</v>
      </c>
      <c r="ET101" s="600">
        <f>ET102+ET103</f>
        <v>0</v>
      </c>
      <c r="EU101" s="600">
        <f t="shared" si="125"/>
        <v>0</v>
      </c>
      <c r="EV101" s="600">
        <f t="shared" si="125"/>
        <v>0</v>
      </c>
      <c r="EW101" s="600">
        <f t="shared" si="125"/>
        <v>0</v>
      </c>
      <c r="EX101" s="600">
        <f t="shared" si="125"/>
        <v>0</v>
      </c>
      <c r="EY101" s="600">
        <f>EY102+EY103</f>
        <v>0</v>
      </c>
      <c r="EZ101" s="600">
        <f>EZ102+EZ103</f>
        <v>0</v>
      </c>
      <c r="FA101" s="600">
        <f t="shared" si="125"/>
        <v>0</v>
      </c>
      <c r="FB101" s="600">
        <f t="shared" si="125"/>
        <v>0</v>
      </c>
      <c r="FC101" s="600">
        <f t="shared" si="125"/>
        <v>0</v>
      </c>
      <c r="FD101" s="600">
        <f t="shared" si="125"/>
        <v>0</v>
      </c>
      <c r="FE101" s="600">
        <f t="shared" si="125"/>
        <v>0</v>
      </c>
      <c r="FF101" s="600">
        <f t="shared" si="125"/>
        <v>0</v>
      </c>
      <c r="FG101" s="600">
        <f t="shared" si="125"/>
        <v>0</v>
      </c>
      <c r="FH101" s="600">
        <f t="shared" si="125"/>
        <v>0</v>
      </c>
      <c r="FI101" s="600">
        <f t="shared" si="125"/>
        <v>0</v>
      </c>
      <c r="FJ101" s="600">
        <f t="shared" ref="FJ101:FT101" si="126">FJ102+FJ103</f>
        <v>0</v>
      </c>
      <c r="FK101" s="600">
        <f t="shared" si="126"/>
        <v>0</v>
      </c>
      <c r="FL101" s="600">
        <f t="shared" si="126"/>
        <v>0</v>
      </c>
      <c r="FM101" s="600">
        <f t="shared" si="126"/>
        <v>0</v>
      </c>
      <c r="FN101" s="600">
        <f t="shared" si="126"/>
        <v>0</v>
      </c>
      <c r="FO101" s="600">
        <f t="shared" si="126"/>
        <v>0</v>
      </c>
      <c r="FP101" s="600">
        <f t="shared" si="126"/>
        <v>0</v>
      </c>
      <c r="FQ101" s="600">
        <f t="shared" si="126"/>
        <v>0</v>
      </c>
      <c r="FR101" s="600">
        <f t="shared" si="126"/>
        <v>0</v>
      </c>
      <c r="FS101" s="600">
        <f t="shared" si="126"/>
        <v>0</v>
      </c>
      <c r="FT101" s="600">
        <f t="shared" si="126"/>
        <v>0</v>
      </c>
      <c r="FU101" s="600">
        <f>FU102+FU103</f>
        <v>0</v>
      </c>
      <c r="FV101" s="600">
        <f t="shared" ref="FV101:GA101" si="127">FV102+FV103</f>
        <v>0</v>
      </c>
      <c r="FW101" s="600">
        <f t="shared" si="127"/>
        <v>0</v>
      </c>
      <c r="FX101" s="600">
        <f t="shared" si="127"/>
        <v>0</v>
      </c>
      <c r="FY101" s="600">
        <f>FY102+FY103</f>
        <v>0</v>
      </c>
      <c r="FZ101" s="600">
        <f t="shared" si="127"/>
        <v>0</v>
      </c>
      <c r="GA101" s="600">
        <f t="shared" si="127"/>
        <v>0</v>
      </c>
      <c r="GB101" s="146"/>
      <c r="GC101" s="146"/>
      <c r="GD101" s="146"/>
      <c r="GE101" s="146"/>
      <c r="GF101" s="146"/>
      <c r="GG101" s="146"/>
    </row>
    <row r="102" spans="1:189" s="92" customFormat="1" ht="17.25" hidden="1" customHeight="1">
      <c r="A102" s="582"/>
      <c r="B102" s="583" t="s">
        <v>183</v>
      </c>
      <c r="C102" s="598"/>
      <c r="D102" s="598"/>
      <c r="E102" s="584"/>
      <c r="F102" s="598"/>
      <c r="G102" s="598"/>
      <c r="H102" s="598"/>
      <c r="I102" s="598"/>
      <c r="J102" s="598"/>
      <c r="K102" s="584"/>
      <c r="L102" s="584"/>
      <c r="M102" s="584"/>
      <c r="N102" s="584"/>
      <c r="O102" s="584"/>
      <c r="P102" s="584"/>
      <c r="Q102" s="584"/>
      <c r="R102" s="584"/>
      <c r="S102" s="584"/>
      <c r="T102" s="584"/>
      <c r="U102" s="584"/>
      <c r="V102" s="584"/>
      <c r="W102" s="584"/>
      <c r="X102" s="584"/>
      <c r="Y102" s="584"/>
      <c r="Z102" s="584"/>
      <c r="AA102" s="584"/>
      <c r="AB102" s="584"/>
      <c r="AC102" s="584"/>
      <c r="AD102" s="584"/>
      <c r="AE102" s="584"/>
      <c r="AF102" s="584"/>
      <c r="AG102" s="584"/>
      <c r="AH102" s="584"/>
      <c r="AI102" s="584"/>
      <c r="AJ102" s="584"/>
      <c r="AK102" s="584"/>
      <c r="AL102" s="584"/>
      <c r="AM102" s="584"/>
      <c r="AN102" s="584"/>
      <c r="AO102" s="584"/>
      <c r="AP102" s="584"/>
      <c r="AQ102" s="584"/>
      <c r="AR102" s="584"/>
      <c r="AS102" s="584"/>
      <c r="AT102" s="584"/>
      <c r="AU102" s="584"/>
      <c r="AV102" s="584"/>
      <c r="AW102" s="584"/>
      <c r="AX102" s="584"/>
      <c r="AY102" s="584"/>
      <c r="AZ102" s="584"/>
      <c r="BA102" s="584"/>
      <c r="BB102" s="584"/>
      <c r="BC102" s="584"/>
      <c r="BD102" s="584"/>
      <c r="BE102" s="583"/>
      <c r="BF102" s="584"/>
      <c r="BG102" s="583"/>
      <c r="BH102" s="584"/>
      <c r="BI102" s="584"/>
      <c r="BJ102" s="584"/>
      <c r="BK102" s="584"/>
      <c r="BL102" s="584"/>
      <c r="BM102" s="584"/>
      <c r="BN102" s="584"/>
      <c r="BO102" s="584"/>
      <c r="BP102" s="584"/>
      <c r="BQ102" s="584"/>
      <c r="BR102" s="584"/>
      <c r="BS102" s="584"/>
      <c r="BT102" s="584"/>
      <c r="BU102" s="584"/>
      <c r="BV102" s="584"/>
      <c r="BW102" s="584"/>
      <c r="BX102" s="584"/>
      <c r="BY102" s="584"/>
      <c r="BZ102" s="584"/>
      <c r="CA102" s="584"/>
      <c r="CB102" s="584"/>
      <c r="CC102" s="584"/>
      <c r="CD102" s="584"/>
      <c r="CE102" s="584"/>
      <c r="CF102" s="584"/>
      <c r="CG102" s="584"/>
      <c r="CH102" s="584"/>
      <c r="CI102" s="584"/>
      <c r="CJ102" s="584"/>
      <c r="CK102" s="584"/>
      <c r="CL102" s="584"/>
      <c r="CM102" s="584"/>
      <c r="CN102" s="584"/>
      <c r="CO102" s="584" t="s">
        <v>183</v>
      </c>
      <c r="CP102" s="584">
        <f>CQ102+EV102+FK102+GB102</f>
        <v>1294115321</v>
      </c>
      <c r="CQ102" s="584">
        <f>CR102+CW102</f>
        <v>1294115321</v>
      </c>
      <c r="CR102" s="584">
        <f>SUM(CS102:CV102)</f>
        <v>1294115321</v>
      </c>
      <c r="CS102" s="584">
        <f t="shared" ref="CS102:CV103" si="128">F12-CS12-CS99</f>
        <v>0</v>
      </c>
      <c r="CT102" s="584">
        <f t="shared" si="128"/>
        <v>1294115321</v>
      </c>
      <c r="CU102" s="584">
        <f t="shared" si="128"/>
        <v>0</v>
      </c>
      <c r="CV102" s="584">
        <f t="shared" si="128"/>
        <v>0</v>
      </c>
      <c r="CW102" s="584">
        <f>SUM(CX102:EQ102)</f>
        <v>0</v>
      </c>
      <c r="CX102" s="584">
        <f t="shared" ref="CX102:DG103" si="129">K12-CX12-CX99</f>
        <v>0</v>
      </c>
      <c r="CY102" s="584">
        <f t="shared" si="129"/>
        <v>0</v>
      </c>
      <c r="CZ102" s="584">
        <f t="shared" si="129"/>
        <v>0</v>
      </c>
      <c r="DA102" s="584">
        <f t="shared" si="129"/>
        <v>0</v>
      </c>
      <c r="DB102" s="584">
        <f t="shared" si="129"/>
        <v>0</v>
      </c>
      <c r="DC102" s="584">
        <f t="shared" si="129"/>
        <v>0</v>
      </c>
      <c r="DD102" s="584">
        <f t="shared" si="129"/>
        <v>0</v>
      </c>
      <c r="DE102" s="584">
        <f t="shared" si="129"/>
        <v>0</v>
      </c>
      <c r="DF102" s="584">
        <f t="shared" si="129"/>
        <v>0</v>
      </c>
      <c r="DG102" s="584">
        <f t="shared" si="129"/>
        <v>0</v>
      </c>
      <c r="DH102" s="584">
        <f t="shared" ref="DH102:DQ103" si="130">U12-DH12-DH99</f>
        <v>0</v>
      </c>
      <c r="DI102" s="584">
        <f t="shared" si="130"/>
        <v>0</v>
      </c>
      <c r="DJ102" s="584">
        <f t="shared" si="130"/>
        <v>0</v>
      </c>
      <c r="DK102" s="584">
        <f t="shared" si="130"/>
        <v>0</v>
      </c>
      <c r="DL102" s="584">
        <f t="shared" si="130"/>
        <v>0</v>
      </c>
      <c r="DM102" s="584">
        <f t="shared" si="130"/>
        <v>0</v>
      </c>
      <c r="DN102" s="584">
        <f t="shared" si="130"/>
        <v>0</v>
      </c>
      <c r="DO102" s="584">
        <f t="shared" si="130"/>
        <v>0</v>
      </c>
      <c r="DP102" s="584">
        <f t="shared" si="130"/>
        <v>0</v>
      </c>
      <c r="DQ102" s="584">
        <f t="shared" si="130"/>
        <v>0</v>
      </c>
      <c r="DR102" s="584">
        <f t="shared" ref="DR102:EA103" si="131">AE12-DR12-DR99</f>
        <v>0</v>
      </c>
      <c r="DS102" s="584">
        <f t="shared" si="131"/>
        <v>0</v>
      </c>
      <c r="DT102" s="584">
        <f t="shared" si="131"/>
        <v>0</v>
      </c>
      <c r="DU102" s="584">
        <f t="shared" si="131"/>
        <v>0</v>
      </c>
      <c r="DV102" s="584">
        <f t="shared" si="131"/>
        <v>0</v>
      </c>
      <c r="DW102" s="584">
        <f t="shared" si="131"/>
        <v>0</v>
      </c>
      <c r="DX102" s="584">
        <f t="shared" si="131"/>
        <v>0</v>
      </c>
      <c r="DY102" s="584">
        <f t="shared" si="131"/>
        <v>0</v>
      </c>
      <c r="DZ102" s="584">
        <f t="shared" si="131"/>
        <v>0</v>
      </c>
      <c r="EA102" s="584">
        <f t="shared" si="131"/>
        <v>0</v>
      </c>
      <c r="EB102" s="584">
        <f t="shared" ref="EB102:EK103" si="132">AO12-EB12-EB99</f>
        <v>0</v>
      </c>
      <c r="EC102" s="584">
        <f t="shared" si="132"/>
        <v>0</v>
      </c>
      <c r="ED102" s="584">
        <f t="shared" si="132"/>
        <v>0</v>
      </c>
      <c r="EE102" s="584">
        <f t="shared" si="132"/>
        <v>0</v>
      </c>
      <c r="EF102" s="584">
        <f t="shared" si="132"/>
        <v>0</v>
      </c>
      <c r="EG102" s="584">
        <f t="shared" si="132"/>
        <v>0</v>
      </c>
      <c r="EH102" s="584">
        <f t="shared" si="132"/>
        <v>0</v>
      </c>
      <c r="EI102" s="584">
        <f t="shared" si="132"/>
        <v>0</v>
      </c>
      <c r="EJ102" s="584">
        <f t="shared" si="132"/>
        <v>0</v>
      </c>
      <c r="EK102" s="584">
        <f t="shared" si="132"/>
        <v>0</v>
      </c>
      <c r="EL102" s="584">
        <f t="shared" ref="EL102:EQ103" si="133">AY12-EL12-EL99</f>
        <v>0</v>
      </c>
      <c r="EM102" s="584">
        <f t="shared" si="133"/>
        <v>0</v>
      </c>
      <c r="EN102" s="584">
        <f t="shared" si="133"/>
        <v>0</v>
      </c>
      <c r="EO102" s="584">
        <f t="shared" si="133"/>
        <v>0</v>
      </c>
      <c r="EP102" s="584">
        <f t="shared" si="133"/>
        <v>0</v>
      </c>
      <c r="EQ102" s="584">
        <f t="shared" si="133"/>
        <v>0</v>
      </c>
      <c r="ER102" s="584">
        <f>SUM(ES102:ET102)</f>
        <v>0</v>
      </c>
      <c r="ES102" s="584">
        <f>SUM(EU102:EV102)+EW102+SUM(EY102:FA102)+FJ102+FR102</f>
        <v>0</v>
      </c>
      <c r="ET102" s="584">
        <f>EX102+SUM(FB102:FI102)+SUM(FK102:FQ102)+SUM(FS102:FU102)</f>
        <v>0</v>
      </c>
      <c r="EU102" s="584">
        <f t="shared" ref="EU102:FD103" si="134">BH12-EU12-EU99</f>
        <v>0</v>
      </c>
      <c r="EV102" s="584">
        <f t="shared" si="134"/>
        <v>0</v>
      </c>
      <c r="EW102" s="584">
        <f t="shared" si="134"/>
        <v>0</v>
      </c>
      <c r="EX102" s="584">
        <f t="shared" si="134"/>
        <v>0</v>
      </c>
      <c r="EY102" s="584">
        <f t="shared" si="134"/>
        <v>0</v>
      </c>
      <c r="EZ102" s="584">
        <f t="shared" si="134"/>
        <v>0</v>
      </c>
      <c r="FA102" s="584">
        <f t="shared" si="134"/>
        <v>0</v>
      </c>
      <c r="FB102" s="584">
        <f t="shared" si="134"/>
        <v>0</v>
      </c>
      <c r="FC102" s="584">
        <f t="shared" si="134"/>
        <v>0</v>
      </c>
      <c r="FD102" s="584">
        <f t="shared" si="134"/>
        <v>0</v>
      </c>
      <c r="FE102" s="584">
        <f t="shared" ref="FE102:FN103" si="135">BR12-FE12-FE99</f>
        <v>0</v>
      </c>
      <c r="FF102" s="584">
        <f t="shared" si="135"/>
        <v>0</v>
      </c>
      <c r="FG102" s="584">
        <f t="shared" si="135"/>
        <v>0</v>
      </c>
      <c r="FH102" s="584">
        <f t="shared" si="135"/>
        <v>0</v>
      </c>
      <c r="FI102" s="584">
        <f t="shared" si="135"/>
        <v>0</v>
      </c>
      <c r="FJ102" s="584">
        <f t="shared" si="135"/>
        <v>0</v>
      </c>
      <c r="FK102" s="584">
        <f t="shared" si="135"/>
        <v>0</v>
      </c>
      <c r="FL102" s="584">
        <f t="shared" si="135"/>
        <v>0</v>
      </c>
      <c r="FM102" s="584">
        <f t="shared" si="135"/>
        <v>0</v>
      </c>
      <c r="FN102" s="584">
        <f t="shared" si="135"/>
        <v>0</v>
      </c>
      <c r="FO102" s="584">
        <f t="shared" ref="FO102:FX103" si="136">CB12-FO12-FO99</f>
        <v>0</v>
      </c>
      <c r="FP102" s="584">
        <f t="shared" si="136"/>
        <v>0</v>
      </c>
      <c r="FQ102" s="584">
        <f t="shared" si="136"/>
        <v>0</v>
      </c>
      <c r="FR102" s="584">
        <f t="shared" si="136"/>
        <v>0</v>
      </c>
      <c r="FS102" s="584">
        <f t="shared" si="136"/>
        <v>0</v>
      </c>
      <c r="FT102" s="584">
        <f t="shared" si="136"/>
        <v>0</v>
      </c>
      <c r="FU102" s="584">
        <f t="shared" si="136"/>
        <v>0</v>
      </c>
      <c r="FV102" s="584">
        <f t="shared" si="136"/>
        <v>0</v>
      </c>
      <c r="FW102" s="584">
        <f t="shared" si="136"/>
        <v>0</v>
      </c>
      <c r="FX102" s="584">
        <f t="shared" si="136"/>
        <v>0</v>
      </c>
      <c r="FY102" s="584">
        <f t="shared" ref="FY102:GA103" si="137">CL12-FY12-FY99</f>
        <v>0</v>
      </c>
      <c r="FZ102" s="584">
        <f t="shared" si="137"/>
        <v>0</v>
      </c>
      <c r="GA102" s="584">
        <f t="shared" si="137"/>
        <v>0</v>
      </c>
      <c r="GB102" s="146"/>
      <c r="GC102" s="146"/>
      <c r="GD102" s="146"/>
      <c r="GE102" s="146"/>
      <c r="GF102" s="146"/>
      <c r="GG102" s="146"/>
    </row>
    <row r="103" spans="1:189" s="92" customFormat="1" ht="17.25" hidden="1" customHeight="1">
      <c r="A103" s="589"/>
      <c r="B103" s="590" t="s">
        <v>184</v>
      </c>
      <c r="C103" s="602"/>
      <c r="D103" s="602"/>
      <c r="E103" s="591"/>
      <c r="F103" s="602"/>
      <c r="G103" s="602"/>
      <c r="H103" s="602"/>
      <c r="I103" s="602"/>
      <c r="J103" s="602"/>
      <c r="K103" s="591"/>
      <c r="L103" s="591"/>
      <c r="M103" s="591"/>
      <c r="N103" s="591"/>
      <c r="O103" s="591"/>
      <c r="P103" s="591"/>
      <c r="Q103" s="591"/>
      <c r="R103" s="591"/>
      <c r="S103" s="591"/>
      <c r="T103" s="591"/>
      <c r="U103" s="591"/>
      <c r="V103" s="591"/>
      <c r="W103" s="591"/>
      <c r="X103" s="591"/>
      <c r="Y103" s="591"/>
      <c r="Z103" s="591"/>
      <c r="AA103" s="591"/>
      <c r="AB103" s="591"/>
      <c r="AC103" s="591"/>
      <c r="AD103" s="591"/>
      <c r="AE103" s="591"/>
      <c r="AF103" s="591"/>
      <c r="AG103" s="591"/>
      <c r="AH103" s="591"/>
      <c r="AI103" s="591"/>
      <c r="AJ103" s="591"/>
      <c r="AK103" s="591"/>
      <c r="AL103" s="591"/>
      <c r="AM103" s="591"/>
      <c r="AN103" s="591"/>
      <c r="AO103" s="591"/>
      <c r="AP103" s="591"/>
      <c r="AQ103" s="591"/>
      <c r="AR103" s="591"/>
      <c r="AS103" s="591"/>
      <c r="AT103" s="591"/>
      <c r="AU103" s="591"/>
      <c r="AV103" s="591"/>
      <c r="AW103" s="591"/>
      <c r="AX103" s="591"/>
      <c r="AY103" s="591"/>
      <c r="AZ103" s="591"/>
      <c r="BA103" s="591"/>
      <c r="BB103" s="591"/>
      <c r="BC103" s="591"/>
      <c r="BD103" s="591"/>
      <c r="BE103" s="590"/>
      <c r="BF103" s="591"/>
      <c r="BG103" s="590"/>
      <c r="BH103" s="591"/>
      <c r="BI103" s="591"/>
      <c r="BJ103" s="591"/>
      <c r="BK103" s="591"/>
      <c r="BL103" s="591"/>
      <c r="BM103" s="591"/>
      <c r="BN103" s="591"/>
      <c r="BO103" s="591"/>
      <c r="BP103" s="591"/>
      <c r="BQ103" s="591"/>
      <c r="BR103" s="591"/>
      <c r="BS103" s="591"/>
      <c r="BT103" s="591"/>
      <c r="BU103" s="591"/>
      <c r="BV103" s="591"/>
      <c r="BW103" s="591"/>
      <c r="BX103" s="591"/>
      <c r="BY103" s="591"/>
      <c r="BZ103" s="591"/>
      <c r="CA103" s="591"/>
      <c r="CB103" s="591"/>
      <c r="CC103" s="591"/>
      <c r="CD103" s="591"/>
      <c r="CE103" s="591"/>
      <c r="CF103" s="591"/>
      <c r="CG103" s="591"/>
      <c r="CH103" s="591"/>
      <c r="CI103" s="591"/>
      <c r="CJ103" s="591"/>
      <c r="CK103" s="591"/>
      <c r="CL103" s="591"/>
      <c r="CM103" s="591"/>
      <c r="CN103" s="591"/>
      <c r="CO103" s="591" t="s">
        <v>184</v>
      </c>
      <c r="CP103" s="591">
        <f>CQ103+EV103+FK103+GB103</f>
        <v>7166010573</v>
      </c>
      <c r="CQ103" s="591">
        <f>CR103+CW103</f>
        <v>7166010573</v>
      </c>
      <c r="CR103" s="591">
        <f>SUM(CS103:CV103)</f>
        <v>0</v>
      </c>
      <c r="CS103" s="591">
        <f t="shared" si="128"/>
        <v>0</v>
      </c>
      <c r="CT103" s="591">
        <f t="shared" si="128"/>
        <v>0</v>
      </c>
      <c r="CU103" s="591">
        <f t="shared" si="128"/>
        <v>0</v>
      </c>
      <c r="CV103" s="591">
        <f t="shared" si="128"/>
        <v>0</v>
      </c>
      <c r="CW103" s="591">
        <f>SUM(CX103:EQ103)</f>
        <v>7166010573</v>
      </c>
      <c r="CX103" s="591">
        <f t="shared" si="129"/>
        <v>0</v>
      </c>
      <c r="CY103" s="591">
        <f t="shared" si="129"/>
        <v>0</v>
      </c>
      <c r="CZ103" s="591">
        <f t="shared" si="129"/>
        <v>0</v>
      </c>
      <c r="DA103" s="591">
        <f t="shared" si="129"/>
        <v>0</v>
      </c>
      <c r="DB103" s="591">
        <f t="shared" si="129"/>
        <v>0</v>
      </c>
      <c r="DC103" s="591">
        <f t="shared" si="129"/>
        <v>0</v>
      </c>
      <c r="DD103" s="591">
        <f t="shared" si="129"/>
        <v>0</v>
      </c>
      <c r="DE103" s="591">
        <f t="shared" si="129"/>
        <v>0</v>
      </c>
      <c r="DF103" s="591">
        <f t="shared" si="129"/>
        <v>0</v>
      </c>
      <c r="DG103" s="591">
        <f t="shared" si="129"/>
        <v>0</v>
      </c>
      <c r="DH103" s="591">
        <f t="shared" si="130"/>
        <v>0</v>
      </c>
      <c r="DI103" s="591">
        <f t="shared" si="130"/>
        <v>0</v>
      </c>
      <c r="DJ103" s="591">
        <f t="shared" si="130"/>
        <v>0</v>
      </c>
      <c r="DK103" s="591">
        <f t="shared" si="130"/>
        <v>0</v>
      </c>
      <c r="DL103" s="591">
        <f t="shared" si="130"/>
        <v>0</v>
      </c>
      <c r="DM103" s="591">
        <f t="shared" si="130"/>
        <v>2188328982</v>
      </c>
      <c r="DN103" s="591">
        <f t="shared" si="130"/>
        <v>0</v>
      </c>
      <c r="DO103" s="591">
        <f t="shared" si="130"/>
        <v>284999400</v>
      </c>
      <c r="DP103" s="591">
        <f t="shared" si="130"/>
        <v>0</v>
      </c>
      <c r="DQ103" s="591">
        <f t="shared" si="130"/>
        <v>0</v>
      </c>
      <c r="DR103" s="591">
        <f t="shared" si="131"/>
        <v>0</v>
      </c>
      <c r="DS103" s="591">
        <f t="shared" si="131"/>
        <v>0</v>
      </c>
      <c r="DT103" s="591">
        <f t="shared" si="131"/>
        <v>0</v>
      </c>
      <c r="DU103" s="591">
        <f t="shared" si="131"/>
        <v>0</v>
      </c>
      <c r="DV103" s="591">
        <f t="shared" si="131"/>
        <v>0</v>
      </c>
      <c r="DW103" s="591">
        <f t="shared" si="131"/>
        <v>0</v>
      </c>
      <c r="DX103" s="591">
        <f t="shared" si="131"/>
        <v>0</v>
      </c>
      <c r="DY103" s="591">
        <f t="shared" si="131"/>
        <v>0</v>
      </c>
      <c r="DZ103" s="591">
        <f t="shared" si="131"/>
        <v>0</v>
      </c>
      <c r="EA103" s="591">
        <f t="shared" si="131"/>
        <v>0</v>
      </c>
      <c r="EB103" s="591">
        <f t="shared" si="132"/>
        <v>0</v>
      </c>
      <c r="EC103" s="591">
        <f t="shared" si="132"/>
        <v>0</v>
      </c>
      <c r="ED103" s="591">
        <f t="shared" si="132"/>
        <v>0</v>
      </c>
      <c r="EE103" s="591">
        <f t="shared" si="132"/>
        <v>2033048660</v>
      </c>
      <c r="EF103" s="591">
        <f t="shared" si="132"/>
        <v>0</v>
      </c>
      <c r="EG103" s="591">
        <f t="shared" si="132"/>
        <v>0</v>
      </c>
      <c r="EH103" s="591">
        <f t="shared" si="132"/>
        <v>0</v>
      </c>
      <c r="EI103" s="591">
        <f t="shared" si="132"/>
        <v>0</v>
      </c>
      <c r="EJ103" s="591">
        <f t="shared" si="132"/>
        <v>0</v>
      </c>
      <c r="EK103" s="591">
        <f t="shared" si="132"/>
        <v>0</v>
      </c>
      <c r="EL103" s="591">
        <f t="shared" si="133"/>
        <v>0</v>
      </c>
      <c r="EM103" s="591">
        <f t="shared" si="133"/>
        <v>0</v>
      </c>
      <c r="EN103" s="591">
        <f t="shared" si="133"/>
        <v>0</v>
      </c>
      <c r="EO103" s="591">
        <f t="shared" si="133"/>
        <v>0</v>
      </c>
      <c r="EP103" s="591">
        <f t="shared" si="133"/>
        <v>0</v>
      </c>
      <c r="EQ103" s="591">
        <f t="shared" si="133"/>
        <v>2659633531</v>
      </c>
      <c r="ER103" s="591">
        <f>SUM(ES103:ET103)</f>
        <v>0</v>
      </c>
      <c r="ES103" s="591">
        <f>SUM(EU103:EV103)+EW103+SUM(EY103:FA103)+FJ103+FR103</f>
        <v>0</v>
      </c>
      <c r="ET103" s="591">
        <f>EX103+SUM(FB103:FI103)+SUM(FK103:FQ103)+SUM(FS103:FU103)</f>
        <v>0</v>
      </c>
      <c r="EU103" s="591">
        <f t="shared" si="134"/>
        <v>0</v>
      </c>
      <c r="EV103" s="591">
        <f t="shared" si="134"/>
        <v>0</v>
      </c>
      <c r="EW103" s="591">
        <f t="shared" si="134"/>
        <v>0</v>
      </c>
      <c r="EX103" s="591">
        <f t="shared" si="134"/>
        <v>0</v>
      </c>
      <c r="EY103" s="591">
        <f t="shared" si="134"/>
        <v>0</v>
      </c>
      <c r="EZ103" s="591">
        <f t="shared" si="134"/>
        <v>0</v>
      </c>
      <c r="FA103" s="591">
        <f t="shared" si="134"/>
        <v>0</v>
      </c>
      <c r="FB103" s="591">
        <f t="shared" si="134"/>
        <v>0</v>
      </c>
      <c r="FC103" s="591">
        <f t="shared" si="134"/>
        <v>0</v>
      </c>
      <c r="FD103" s="591">
        <f t="shared" si="134"/>
        <v>0</v>
      </c>
      <c r="FE103" s="591">
        <f t="shared" si="135"/>
        <v>0</v>
      </c>
      <c r="FF103" s="591">
        <f t="shared" si="135"/>
        <v>0</v>
      </c>
      <c r="FG103" s="591">
        <f t="shared" si="135"/>
        <v>0</v>
      </c>
      <c r="FH103" s="591">
        <f t="shared" si="135"/>
        <v>0</v>
      </c>
      <c r="FI103" s="591">
        <f t="shared" si="135"/>
        <v>0</v>
      </c>
      <c r="FJ103" s="591">
        <f t="shared" si="135"/>
        <v>0</v>
      </c>
      <c r="FK103" s="591">
        <f t="shared" si="135"/>
        <v>0</v>
      </c>
      <c r="FL103" s="591">
        <f t="shared" si="135"/>
        <v>0</v>
      </c>
      <c r="FM103" s="591">
        <f t="shared" si="135"/>
        <v>0</v>
      </c>
      <c r="FN103" s="591">
        <f t="shared" si="135"/>
        <v>0</v>
      </c>
      <c r="FO103" s="591">
        <f t="shared" si="136"/>
        <v>0</v>
      </c>
      <c r="FP103" s="591">
        <f t="shared" si="136"/>
        <v>0</v>
      </c>
      <c r="FQ103" s="591">
        <f t="shared" si="136"/>
        <v>0</v>
      </c>
      <c r="FR103" s="591">
        <f t="shared" si="136"/>
        <v>0</v>
      </c>
      <c r="FS103" s="591">
        <f t="shared" si="136"/>
        <v>0</v>
      </c>
      <c r="FT103" s="591">
        <f t="shared" si="136"/>
        <v>0</v>
      </c>
      <c r="FU103" s="591">
        <f t="shared" si="136"/>
        <v>0</v>
      </c>
      <c r="FV103" s="591">
        <f t="shared" si="136"/>
        <v>0</v>
      </c>
      <c r="FW103" s="591">
        <f t="shared" si="136"/>
        <v>0</v>
      </c>
      <c r="FX103" s="591">
        <f t="shared" si="136"/>
        <v>0</v>
      </c>
      <c r="FY103" s="591">
        <f t="shared" si="137"/>
        <v>0</v>
      </c>
      <c r="FZ103" s="591">
        <f t="shared" si="137"/>
        <v>0</v>
      </c>
      <c r="GA103" s="591">
        <f t="shared" si="137"/>
        <v>0</v>
      </c>
      <c r="GB103" s="146"/>
      <c r="GC103" s="146"/>
      <c r="GD103" s="146"/>
      <c r="GE103" s="146"/>
      <c r="GF103" s="146"/>
      <c r="GG103" s="146"/>
    </row>
    <row r="104" spans="1:189" s="92" customFormat="1" ht="17.25" hidden="1" customHeight="1">
      <c r="A104" s="154"/>
      <c r="B104" s="155"/>
      <c r="C104" s="156"/>
      <c r="D104" s="156"/>
      <c r="E104" s="157"/>
      <c r="F104" s="156"/>
      <c r="G104" s="156"/>
      <c r="H104" s="156"/>
      <c r="I104" s="156"/>
      <c r="J104" s="156"/>
      <c r="K104" s="157"/>
      <c r="L104" s="157"/>
      <c r="M104" s="157"/>
      <c r="N104" s="157"/>
      <c r="O104" s="157"/>
      <c r="P104" s="157"/>
      <c r="Q104" s="157"/>
      <c r="R104" s="157"/>
      <c r="S104" s="157"/>
      <c r="T104" s="157"/>
      <c r="U104" s="157"/>
      <c r="V104" s="157"/>
      <c r="W104" s="157"/>
      <c r="X104" s="157"/>
      <c r="Y104" s="157"/>
      <c r="Z104" s="157"/>
      <c r="AA104" s="157"/>
      <c r="AB104" s="157"/>
      <c r="AC104" s="157"/>
      <c r="AD104" s="157"/>
      <c r="AE104" s="157"/>
      <c r="AF104" s="157"/>
      <c r="AG104" s="157"/>
      <c r="AH104" s="157"/>
      <c r="AI104" s="157"/>
      <c r="AJ104" s="157"/>
      <c r="AK104" s="157"/>
      <c r="AL104" s="157"/>
      <c r="AM104" s="157"/>
      <c r="AN104" s="157"/>
      <c r="AO104" s="157"/>
      <c r="AP104" s="157"/>
      <c r="AQ104" s="157"/>
      <c r="AR104" s="157"/>
      <c r="AS104" s="157"/>
      <c r="AT104" s="157"/>
      <c r="AU104" s="157"/>
      <c r="AV104" s="157"/>
      <c r="AW104" s="157"/>
      <c r="AX104" s="157"/>
      <c r="AY104" s="157"/>
      <c r="AZ104" s="157"/>
      <c r="BA104" s="157"/>
      <c r="BB104" s="157"/>
      <c r="BC104" s="157"/>
      <c r="BD104" s="157"/>
      <c r="BE104" s="155"/>
      <c r="BF104" s="155"/>
      <c r="BG104" s="155"/>
      <c r="BH104" s="157"/>
      <c r="BI104" s="157"/>
      <c r="BJ104" s="157"/>
      <c r="BK104" s="157"/>
      <c r="BL104" s="157"/>
      <c r="BM104" s="157"/>
      <c r="BN104" s="157"/>
      <c r="BO104" s="157"/>
      <c r="BP104" s="157"/>
      <c r="BQ104" s="157"/>
      <c r="BR104" s="157"/>
      <c r="BS104" s="157"/>
      <c r="BT104" s="157"/>
      <c r="BU104" s="157"/>
      <c r="BV104" s="157"/>
      <c r="BW104" s="157"/>
      <c r="BX104" s="157"/>
      <c r="BY104" s="157"/>
      <c r="BZ104" s="157"/>
      <c r="CA104" s="157"/>
      <c r="CB104" s="157"/>
      <c r="CC104" s="157"/>
      <c r="CD104" s="157"/>
      <c r="CE104" s="157"/>
      <c r="CF104" s="157"/>
      <c r="CG104" s="157"/>
      <c r="CH104" s="157"/>
      <c r="CI104" s="157"/>
      <c r="CJ104" s="157"/>
      <c r="CK104" s="157"/>
      <c r="CL104" s="157"/>
      <c r="CM104" s="157"/>
      <c r="CN104" s="157"/>
      <c r="CO104" s="157"/>
      <c r="CP104" s="157"/>
      <c r="CQ104" s="157"/>
      <c r="CR104" s="157"/>
      <c r="CS104" s="157"/>
      <c r="CT104" s="157"/>
      <c r="CU104" s="157"/>
      <c r="CV104" s="157"/>
      <c r="CW104" s="157"/>
      <c r="CX104" s="157"/>
      <c r="CY104" s="157"/>
      <c r="CZ104" s="157"/>
      <c r="DA104" s="157"/>
      <c r="DB104" s="157"/>
      <c r="DC104" s="157"/>
      <c r="DD104" s="157"/>
      <c r="DE104" s="157"/>
      <c r="DF104" s="157"/>
      <c r="DG104" s="157"/>
      <c r="DH104" s="157"/>
      <c r="DI104" s="157"/>
      <c r="DJ104" s="157"/>
      <c r="DK104" s="157"/>
      <c r="DL104" s="157"/>
      <c r="DM104" s="157"/>
      <c r="DN104" s="157"/>
      <c r="DO104" s="157"/>
      <c r="DP104" s="157"/>
      <c r="DQ104" s="157"/>
      <c r="DR104" s="157"/>
      <c r="DS104" s="157"/>
      <c r="DT104" s="157"/>
      <c r="DU104" s="157"/>
      <c r="DV104" s="157"/>
      <c r="DW104" s="157"/>
      <c r="DX104" s="157"/>
      <c r="DY104" s="157"/>
      <c r="DZ104" s="157"/>
      <c r="EA104" s="157"/>
      <c r="EB104" s="157"/>
      <c r="EC104" s="157"/>
      <c r="ED104" s="157"/>
      <c r="EE104" s="157"/>
      <c r="EF104" s="157"/>
      <c r="EG104" s="157"/>
      <c r="EH104" s="157"/>
      <c r="EI104" s="157"/>
      <c r="EJ104" s="157"/>
      <c r="EK104" s="157"/>
      <c r="EL104" s="157"/>
      <c r="EM104" s="157"/>
      <c r="EN104" s="157"/>
      <c r="EO104" s="157"/>
      <c r="EP104" s="157"/>
      <c r="EQ104" s="157"/>
      <c r="ER104" s="157"/>
      <c r="ES104" s="157"/>
      <c r="ET104" s="157"/>
      <c r="EU104" s="157"/>
      <c r="EV104" s="157"/>
      <c r="EW104" s="157"/>
      <c r="EX104" s="157"/>
      <c r="EY104" s="157"/>
      <c r="EZ104" s="157"/>
      <c r="FA104" s="157"/>
      <c r="FB104" s="157"/>
      <c r="FC104" s="157"/>
      <c r="FD104" s="157"/>
      <c r="FE104" s="157"/>
      <c r="FF104" s="157"/>
      <c r="FG104" s="157"/>
      <c r="FH104" s="157"/>
      <c r="FI104" s="157"/>
      <c r="FJ104" s="157"/>
      <c r="FK104" s="157"/>
      <c r="FL104" s="157"/>
      <c r="FM104" s="157"/>
      <c r="FN104" s="157"/>
      <c r="FO104" s="157"/>
      <c r="FP104" s="157"/>
      <c r="FQ104" s="157"/>
      <c r="FR104" s="157"/>
      <c r="FS104" s="157"/>
      <c r="FT104" s="157"/>
      <c r="FU104" s="157"/>
      <c r="FV104" s="157"/>
      <c r="FW104" s="157"/>
      <c r="FX104" s="157"/>
      <c r="FY104" s="157"/>
      <c r="FZ104" s="157"/>
      <c r="GA104" s="157"/>
      <c r="GB104" s="89"/>
      <c r="GC104" s="89"/>
      <c r="GD104" s="89"/>
      <c r="GE104" s="89"/>
      <c r="GF104" s="89"/>
      <c r="GG104" s="89"/>
    </row>
    <row r="105" spans="1:189" s="89" customFormat="1" ht="14.25" hidden="1" customHeight="1">
      <c r="A105" s="105"/>
      <c r="B105" s="106"/>
      <c r="C105" s="89">
        <v>125611939829</v>
      </c>
      <c r="M105" s="89">
        <f>SUM(M13:U13)</f>
        <v>457406663509</v>
      </c>
      <c r="V105" s="89">
        <f>SUM(V13:Z13)</f>
        <v>6424398100</v>
      </c>
      <c r="AA105" s="89">
        <f>SUM(AA13:AA13)</f>
        <v>184571400</v>
      </c>
      <c r="AC105" s="89">
        <f>+AC13</f>
        <v>1972350420</v>
      </c>
      <c r="AF105" s="89">
        <f>SUM(AF13:AI13)</f>
        <v>55882071576</v>
      </c>
      <c r="AJ105" s="89">
        <f>SUM(AJ13:AL13)</f>
        <v>12042134547</v>
      </c>
      <c r="AM105" s="89">
        <f>AM13+AN13</f>
        <v>9668205792</v>
      </c>
      <c r="AO105" s="89">
        <f>+AO13</f>
        <v>24061571000</v>
      </c>
      <c r="AP105" s="89">
        <f>AP13</f>
        <v>1314429823</v>
      </c>
      <c r="AQ105" s="89">
        <f>SUM(AQ13:AY13)</f>
        <v>25235148957</v>
      </c>
      <c r="BA105" s="89">
        <f>BA13-BA14-BA65</f>
        <v>30217281873</v>
      </c>
      <c r="CN105" s="106"/>
      <c r="CP105" s="89">
        <f>C105</f>
        <v>125611939829</v>
      </c>
      <c r="CQ105" s="131"/>
      <c r="CR105" s="89">
        <f>CR12-CR93</f>
        <v>46799464409</v>
      </c>
      <c r="CS105" s="89">
        <f>CS12-CS93</f>
        <v>30741533000</v>
      </c>
      <c r="CT105" s="89">
        <f>CT12-CT93</f>
        <v>12303977000</v>
      </c>
      <c r="CU105" s="89">
        <f>CU12-CU93</f>
        <v>2589357000</v>
      </c>
      <c r="CV105" s="89">
        <f>CV12-CV93</f>
        <v>1164597409</v>
      </c>
      <c r="CW105" s="89">
        <f>CW13-CW94</f>
        <v>639788127876</v>
      </c>
      <c r="CX105" s="89">
        <f t="shared" ref="CX105:EP105" si="138">CX13-CX94</f>
        <v>6991600000</v>
      </c>
      <c r="CY105" s="89">
        <f t="shared" si="138"/>
        <v>3249020000</v>
      </c>
      <c r="CZ105" s="89">
        <f>CZ13-CZ94</f>
        <v>381712057509</v>
      </c>
      <c r="DA105" s="89">
        <f t="shared" si="138"/>
        <v>28029225000</v>
      </c>
      <c r="DB105" s="89">
        <f t="shared" si="138"/>
        <v>1615790000</v>
      </c>
      <c r="DC105" s="89">
        <f t="shared" si="138"/>
        <v>29515801000</v>
      </c>
      <c r="DD105" s="89">
        <f t="shared" si="138"/>
        <v>5060180000</v>
      </c>
      <c r="DE105" s="89">
        <f t="shared" si="138"/>
        <v>7279200000</v>
      </c>
      <c r="DF105" s="89">
        <f t="shared" si="138"/>
        <v>1096200000</v>
      </c>
      <c r="DG105" s="89">
        <f t="shared" si="138"/>
        <v>1524000000</v>
      </c>
      <c r="DH105" s="89">
        <f t="shared" si="138"/>
        <v>21714000</v>
      </c>
      <c r="DI105" s="89">
        <f t="shared" si="138"/>
        <v>0</v>
      </c>
      <c r="DJ105" s="89">
        <f t="shared" si="138"/>
        <v>193800000</v>
      </c>
      <c r="DK105" s="89">
        <f t="shared" si="138"/>
        <v>0</v>
      </c>
      <c r="DL105" s="89">
        <f t="shared" si="138"/>
        <v>47080000</v>
      </c>
      <c r="DM105" s="89">
        <f>DM13-DM94</f>
        <v>3995189118</v>
      </c>
      <c r="DN105" s="89">
        <f t="shared" si="138"/>
        <v>184571400</v>
      </c>
      <c r="DO105" s="89">
        <f t="shared" si="138"/>
        <v>315080670</v>
      </c>
      <c r="DP105" s="89">
        <f t="shared" si="138"/>
        <v>1652350420</v>
      </c>
      <c r="DQ105" s="89">
        <f t="shared" si="138"/>
        <v>3658549728</v>
      </c>
      <c r="DR105" s="89">
        <f t="shared" si="138"/>
        <v>616506600</v>
      </c>
      <c r="DS105" s="89">
        <f t="shared" si="138"/>
        <v>5645407000</v>
      </c>
      <c r="DT105" s="89">
        <f t="shared" si="138"/>
        <v>103600000</v>
      </c>
      <c r="DU105" s="89">
        <f t="shared" si="138"/>
        <v>45329040000</v>
      </c>
      <c r="DV105" s="89">
        <f t="shared" si="138"/>
        <v>3962284576</v>
      </c>
      <c r="DW105" s="89">
        <f t="shared" si="138"/>
        <v>3758526000</v>
      </c>
      <c r="DX105" s="89">
        <f t="shared" si="138"/>
        <v>5117032927</v>
      </c>
      <c r="DY105" s="89">
        <f t="shared" si="138"/>
        <v>1388629280</v>
      </c>
      <c r="DZ105" s="89">
        <f t="shared" si="138"/>
        <v>3217746000</v>
      </c>
      <c r="EA105" s="89">
        <f t="shared" si="138"/>
        <v>6409237000</v>
      </c>
      <c r="EB105" s="89">
        <f t="shared" si="138"/>
        <v>22735963000</v>
      </c>
      <c r="EC105" s="89">
        <f t="shared" si="138"/>
        <v>1314429823</v>
      </c>
      <c r="ED105" s="89">
        <f t="shared" si="138"/>
        <v>700000000</v>
      </c>
      <c r="EE105" s="89">
        <f t="shared" si="138"/>
        <v>0</v>
      </c>
      <c r="EF105" s="89">
        <f t="shared" si="138"/>
        <v>920222000</v>
      </c>
      <c r="EG105" s="89">
        <f t="shared" si="138"/>
        <v>3429191152</v>
      </c>
      <c r="EH105" s="89">
        <f t="shared" si="138"/>
        <v>1174088000</v>
      </c>
      <c r="EI105" s="89">
        <f t="shared" si="138"/>
        <v>5611482360</v>
      </c>
      <c r="EJ105" s="89">
        <f t="shared" si="138"/>
        <v>0</v>
      </c>
      <c r="EK105" s="89">
        <f t="shared" si="138"/>
        <v>1318740824</v>
      </c>
      <c r="EL105" s="89">
        <f t="shared" si="138"/>
        <v>1821683710</v>
      </c>
      <c r="EM105" s="89">
        <f t="shared" si="138"/>
        <v>4420850000</v>
      </c>
      <c r="EN105" s="89">
        <f t="shared" si="138"/>
        <v>44022614329</v>
      </c>
      <c r="EO105" s="89">
        <f t="shared" si="138"/>
        <v>459444450</v>
      </c>
      <c r="EP105" s="89">
        <f t="shared" si="138"/>
        <v>170000000</v>
      </c>
      <c r="EQ105" s="89">
        <f>EQ13-EQ94</f>
        <v>0</v>
      </c>
      <c r="ES105" s="89">
        <f>ES12-ES93</f>
        <v>82420412000</v>
      </c>
      <c r="ET105" s="89">
        <f>ET13-ET94</f>
        <v>59753329013</v>
      </c>
      <c r="EU105" s="89">
        <f>EU12-EU93</f>
        <v>0</v>
      </c>
      <c r="EV105" s="89">
        <f>EV12-EV93</f>
        <v>0</v>
      </c>
      <c r="EW105" s="89">
        <f>EW12-EW93</f>
        <v>0</v>
      </c>
      <c r="EX105" s="89">
        <f>EX13-EX94</f>
        <v>0</v>
      </c>
      <c r="EY105" s="89">
        <f>EY12-EY93</f>
        <v>2687805000</v>
      </c>
      <c r="EZ105" s="89">
        <f>EZ12-EZ93</f>
        <v>39996025000</v>
      </c>
      <c r="FA105" s="89">
        <f>FA12-FA93</f>
        <v>31769484000</v>
      </c>
      <c r="FB105" s="89">
        <f t="shared" ref="FB105:FI105" si="139">FB13-FB94</f>
        <v>4191536000</v>
      </c>
      <c r="FC105" s="89">
        <f t="shared" si="139"/>
        <v>34884499547</v>
      </c>
      <c r="FD105" s="89">
        <f t="shared" si="139"/>
        <v>0</v>
      </c>
      <c r="FE105" s="89">
        <f t="shared" si="139"/>
        <v>1323768000</v>
      </c>
      <c r="FF105" s="89">
        <f t="shared" si="139"/>
        <v>685210000</v>
      </c>
      <c r="FG105" s="89">
        <f t="shared" si="139"/>
        <v>340256510</v>
      </c>
      <c r="FH105" s="89">
        <f t="shared" si="139"/>
        <v>255129180</v>
      </c>
      <c r="FI105" s="89">
        <f t="shared" si="139"/>
        <v>1783879000</v>
      </c>
      <c r="FJ105" s="89">
        <f>FJ12-FJ93</f>
        <v>0</v>
      </c>
      <c r="FK105" s="89">
        <f t="shared" ref="FK105:FQ105" si="140">FK13-FK94</f>
        <v>9300129000</v>
      </c>
      <c r="FL105" s="89">
        <f t="shared" si="140"/>
        <v>0</v>
      </c>
      <c r="FM105" s="89">
        <f t="shared" si="140"/>
        <v>1796150000</v>
      </c>
      <c r="FN105" s="89">
        <f t="shared" si="140"/>
        <v>1785544700</v>
      </c>
      <c r="FO105" s="89">
        <f t="shared" si="140"/>
        <v>0</v>
      </c>
      <c r="FP105" s="89">
        <f t="shared" si="140"/>
        <v>2066149600</v>
      </c>
      <c r="FQ105" s="89">
        <f t="shared" si="140"/>
        <v>1104127476</v>
      </c>
      <c r="FR105" s="89">
        <f>FR12-FR93</f>
        <v>7967098000</v>
      </c>
      <c r="FS105" s="89">
        <f t="shared" ref="FS105:FX105" si="141">FS13-FS94</f>
        <v>0</v>
      </c>
      <c r="FT105" s="89">
        <f t="shared" si="141"/>
        <v>200000000</v>
      </c>
      <c r="FU105" s="89">
        <f t="shared" si="141"/>
        <v>36950000</v>
      </c>
      <c r="FV105" s="89">
        <f t="shared" si="141"/>
        <v>95000000</v>
      </c>
      <c r="FW105" s="89">
        <f t="shared" si="141"/>
        <v>0</v>
      </c>
      <c r="FX105" s="89">
        <f t="shared" si="141"/>
        <v>95000000</v>
      </c>
      <c r="FY105" s="89">
        <f>FY12-FY93</f>
        <v>0</v>
      </c>
      <c r="FZ105" s="89">
        <f>FZ13-FZ94</f>
        <v>0</v>
      </c>
      <c r="GA105" s="89">
        <f>GA13-GA94</f>
        <v>95000000</v>
      </c>
    </row>
    <row r="106" spans="1:189" s="89" customFormat="1" ht="14.25" hidden="1" customHeight="1">
      <c r="A106" s="105"/>
      <c r="B106" s="131"/>
      <c r="C106" s="89">
        <f>+C11+C105</f>
        <v>1098844570253</v>
      </c>
      <c r="CN106" s="320"/>
      <c r="CO106" s="90"/>
      <c r="CP106" s="89">
        <f>+CP105+CP11</f>
        <v>1090384444359</v>
      </c>
      <c r="CQ106" s="131"/>
    </row>
    <row r="107" spans="1:189" s="89" customFormat="1" ht="14.25" hidden="1" customHeight="1">
      <c r="A107" s="105"/>
      <c r="B107" s="106"/>
      <c r="C107" s="89">
        <v>1098844570253</v>
      </c>
      <c r="CN107" s="320"/>
      <c r="CO107" s="90"/>
      <c r="CP107" s="89">
        <v>1090384444359</v>
      </c>
      <c r="CQ107" s="131"/>
      <c r="CZ107" s="89">
        <f>SUM(CZ13:DH13)-SUM(CZ94:DH94)</f>
        <v>455854167509</v>
      </c>
      <c r="DI107" s="89">
        <f>SUM(DI13:DM13)-SUM(DI94:DM94)</f>
        <v>4236069118</v>
      </c>
      <c r="DN107" s="89">
        <f>DN13-DN94</f>
        <v>184571400</v>
      </c>
      <c r="DO107" s="89">
        <f>DO13-DO94</f>
        <v>315080670</v>
      </c>
      <c r="DP107" s="89">
        <f>DP13-DP94</f>
        <v>1652350420</v>
      </c>
      <c r="DQ107" s="89">
        <f>DQ13-DQ94</f>
        <v>3658549728</v>
      </c>
      <c r="DR107" s="89">
        <f>DR13-DR94</f>
        <v>616506600</v>
      </c>
      <c r="DS107" s="89">
        <f>SUM(DS13:DV13)-SUM(DS94:DV94)</f>
        <v>55040331576</v>
      </c>
      <c r="DW107" s="89">
        <f>SUM(DW13:DY13)-SUM(DW94:DY94)</f>
        <v>10264188207</v>
      </c>
      <c r="DZ107" s="89">
        <f>DZ13+EA13-DZ94-EA94</f>
        <v>9626983000</v>
      </c>
      <c r="EB107" s="89">
        <f>EB13-EB94</f>
        <v>22735963000</v>
      </c>
      <c r="EC107" s="89">
        <f>EC13-EC94</f>
        <v>1314429823</v>
      </c>
      <c r="ED107" s="89">
        <f>SUM(ED13:EL13)-SUM(ED94:EL94)</f>
        <v>14975408046</v>
      </c>
      <c r="EM107" s="89">
        <f>EM13-EM94</f>
        <v>4420850000</v>
      </c>
      <c r="EN107" s="89">
        <f>EN13-EN14-EN65</f>
        <v>30217281873</v>
      </c>
      <c r="EO107" s="89">
        <f>EO13-EO94</f>
        <v>459444450</v>
      </c>
      <c r="EP107" s="89">
        <f>EP13-EP94</f>
        <v>170000000</v>
      </c>
      <c r="EQ107" s="89">
        <f>EQ13-EQ94</f>
        <v>0</v>
      </c>
      <c r="EY107" s="89">
        <f>+SUM(EY105:FA105)</f>
        <v>74453314000</v>
      </c>
      <c r="FB107" s="89">
        <f>+SUM(FB105:FI105)</f>
        <v>43464278237</v>
      </c>
      <c r="FK107" s="89">
        <f>SUM(FK105:FQ105)</f>
        <v>16052100776</v>
      </c>
    </row>
    <row r="108" spans="1:189" s="89" customFormat="1" ht="14.25" hidden="1" customHeight="1">
      <c r="A108" s="105"/>
      <c r="B108" s="106"/>
      <c r="C108" s="146">
        <f>C106-C107</f>
        <v>0</v>
      </c>
      <c r="CO108" s="90"/>
      <c r="CP108" s="146">
        <f>CP106-CP107</f>
        <v>0</v>
      </c>
    </row>
    <row r="109" spans="1:189" s="146" customFormat="1" ht="12" hidden="1" customHeight="1">
      <c r="A109" s="151"/>
      <c r="B109" s="152"/>
      <c r="CO109" s="344"/>
    </row>
    <row r="110" spans="1:189" s="146" customFormat="1" ht="18.75" hidden="1" customHeight="1">
      <c r="A110" s="151"/>
      <c r="B110" s="152"/>
      <c r="CO110" s="344" t="s">
        <v>136</v>
      </c>
      <c r="CP110" s="146">
        <f>C11-CP11</f>
        <v>8460125894</v>
      </c>
    </row>
    <row r="111" spans="1:189" s="146" customFormat="1" ht="18.75" hidden="1" customHeight="1">
      <c r="A111" s="151"/>
      <c r="B111" s="152"/>
      <c r="CO111" s="152"/>
    </row>
    <row r="112" spans="1:189" s="146" customFormat="1" ht="18.75" hidden="1" customHeight="1">
      <c r="A112" s="151"/>
      <c r="B112" s="152"/>
      <c r="CO112" s="152"/>
    </row>
    <row r="113" spans="1:93" s="146" customFormat="1" ht="18.75" hidden="1" customHeight="1">
      <c r="A113" s="151"/>
      <c r="B113" s="152"/>
      <c r="CO113" s="152"/>
    </row>
    <row r="114" spans="1:93" s="146" customFormat="1" ht="18.75" customHeight="1">
      <c r="A114" s="151"/>
      <c r="B114" s="152"/>
      <c r="CO114" s="152"/>
    </row>
    <row r="115" spans="1:93" s="146" customFormat="1" ht="18.75" customHeight="1">
      <c r="A115" s="151"/>
      <c r="B115" s="152"/>
      <c r="CO115" s="152"/>
    </row>
    <row r="116" spans="1:93" s="146" customFormat="1" ht="18.75" customHeight="1">
      <c r="A116" s="151"/>
      <c r="B116" s="152"/>
      <c r="CO116" s="152"/>
    </row>
    <row r="117" spans="1:93" s="146" customFormat="1" ht="18.75" customHeight="1">
      <c r="A117" s="151"/>
      <c r="B117" s="152"/>
      <c r="CO117" s="152"/>
    </row>
    <row r="118" spans="1:93" s="146" customFormat="1" ht="18.75" customHeight="1">
      <c r="A118" s="151"/>
      <c r="B118" s="152"/>
      <c r="CO118" s="152"/>
    </row>
    <row r="119" spans="1:93" s="146" customFormat="1" ht="18.75" customHeight="1">
      <c r="A119" s="151"/>
      <c r="B119" s="152"/>
      <c r="CO119" s="152"/>
    </row>
    <row r="120" spans="1:93" s="146" customFormat="1" ht="18.75" customHeight="1">
      <c r="A120" s="151"/>
      <c r="B120" s="152"/>
      <c r="CO120" s="152"/>
    </row>
    <row r="121" spans="1:93" s="146" customFormat="1" ht="18.75" customHeight="1">
      <c r="A121" s="151"/>
      <c r="B121" s="152"/>
      <c r="CO121" s="152"/>
    </row>
    <row r="122" spans="1:93" s="146" customFormat="1" ht="18.75" customHeight="1">
      <c r="A122" s="151"/>
      <c r="B122" s="152"/>
      <c r="CO122" s="152"/>
    </row>
    <row r="123" spans="1:93" s="146" customFormat="1" ht="18.75" customHeight="1">
      <c r="A123" s="151"/>
      <c r="B123" s="152"/>
      <c r="CO123" s="152"/>
    </row>
    <row r="124" spans="1:93" s="146" customFormat="1" ht="18.75" customHeight="1">
      <c r="A124" s="151"/>
      <c r="B124" s="152"/>
      <c r="CO124" s="152"/>
    </row>
    <row r="125" spans="1:93" s="146" customFormat="1" ht="18.75" customHeight="1">
      <c r="A125" s="151"/>
      <c r="B125" s="152"/>
      <c r="CO125" s="152"/>
    </row>
    <row r="126" spans="1:93" s="146" customFormat="1" ht="18.75" customHeight="1">
      <c r="A126" s="151"/>
      <c r="B126" s="152"/>
      <c r="CO126" s="152"/>
    </row>
    <row r="127" spans="1:93" s="146" customFormat="1" ht="18.75" customHeight="1">
      <c r="A127" s="151"/>
      <c r="B127" s="152"/>
      <c r="CO127" s="152"/>
    </row>
    <row r="128" spans="1:93" s="146" customFormat="1" ht="18.75" customHeight="1">
      <c r="A128" s="151"/>
      <c r="B128" s="152"/>
      <c r="CO128" s="152"/>
    </row>
    <row r="129" spans="1:93" s="146" customFormat="1" ht="18.75" customHeight="1">
      <c r="A129" s="151"/>
      <c r="B129" s="152"/>
      <c r="CO129" s="152"/>
    </row>
    <row r="130" spans="1:93" s="146" customFormat="1">
      <c r="A130" s="151"/>
      <c r="B130" s="152"/>
      <c r="CO130" s="152"/>
    </row>
    <row r="131" spans="1:93" s="146" customFormat="1">
      <c r="A131" s="151"/>
      <c r="B131" s="152"/>
      <c r="CO131" s="152"/>
    </row>
    <row r="132" spans="1:93" s="146" customFormat="1">
      <c r="A132" s="151"/>
      <c r="B132" s="152"/>
      <c r="CO132" s="152"/>
    </row>
    <row r="133" spans="1:93" s="146" customFormat="1" ht="15.75" customHeight="1">
      <c r="A133" s="151"/>
      <c r="B133" s="152"/>
      <c r="CO133" s="152"/>
    </row>
    <row r="134" spans="1:93" s="146" customFormat="1">
      <c r="A134" s="151"/>
      <c r="B134" s="152"/>
      <c r="CO134" s="152"/>
    </row>
    <row r="135" spans="1:93" s="146" customFormat="1">
      <c r="A135" s="151"/>
      <c r="B135" s="152"/>
      <c r="CO135" s="152"/>
    </row>
    <row r="136" spans="1:93" s="146" customFormat="1">
      <c r="A136" s="151"/>
      <c r="B136" s="152"/>
      <c r="CO136" s="152"/>
    </row>
    <row r="137" spans="1:93" s="146" customFormat="1" ht="15.75" customHeight="1">
      <c r="A137" s="151"/>
      <c r="B137" s="152"/>
      <c r="CO137" s="152"/>
    </row>
    <row r="138" spans="1:93" s="146" customFormat="1">
      <c r="A138" s="151"/>
      <c r="B138" s="152"/>
      <c r="CO138" s="152"/>
    </row>
    <row r="139" spans="1:93" s="146" customFormat="1">
      <c r="A139" s="151"/>
      <c r="B139" s="152"/>
      <c r="CO139" s="152"/>
    </row>
    <row r="140" spans="1:93" s="146" customFormat="1">
      <c r="A140" s="151"/>
      <c r="B140" s="152"/>
      <c r="CO140" s="152"/>
    </row>
    <row r="141" spans="1:93" s="146" customFormat="1" ht="15.75" customHeight="1">
      <c r="A141" s="151"/>
      <c r="B141" s="152"/>
      <c r="CO141" s="152"/>
    </row>
    <row r="142" spans="1:93" s="146" customFormat="1">
      <c r="A142" s="151"/>
      <c r="B142" s="152"/>
      <c r="CO142" s="152"/>
    </row>
    <row r="143" spans="1:93" s="146" customFormat="1">
      <c r="A143" s="151"/>
      <c r="B143" s="152"/>
      <c r="CO143" s="152"/>
    </row>
    <row r="144" spans="1:93" s="146" customFormat="1">
      <c r="A144" s="151"/>
      <c r="B144" s="152"/>
      <c r="CO144" s="152"/>
    </row>
    <row r="145" spans="1:93" s="146" customFormat="1" ht="15.75" customHeight="1">
      <c r="A145" s="151"/>
      <c r="B145" s="152"/>
      <c r="CO145" s="152"/>
    </row>
    <row r="146" spans="1:93" s="146" customFormat="1">
      <c r="A146" s="151"/>
      <c r="B146" s="152"/>
      <c r="CO146" s="152"/>
    </row>
    <row r="147" spans="1:93" s="146" customFormat="1">
      <c r="A147" s="151"/>
      <c r="B147" s="152"/>
      <c r="CO147" s="152"/>
    </row>
    <row r="148" spans="1:93" s="146" customFormat="1">
      <c r="A148" s="151"/>
      <c r="B148" s="152"/>
      <c r="CO148" s="152"/>
    </row>
    <row r="149" spans="1:93" s="146" customFormat="1" ht="15.75" customHeight="1">
      <c r="A149" s="151"/>
      <c r="B149" s="152"/>
      <c r="CO149" s="152"/>
    </row>
    <row r="150" spans="1:93" s="146" customFormat="1">
      <c r="A150" s="151"/>
      <c r="B150" s="152"/>
      <c r="CO150" s="152"/>
    </row>
    <row r="151" spans="1:93" s="146" customFormat="1">
      <c r="A151" s="151"/>
      <c r="B151" s="152"/>
      <c r="CO151" s="152"/>
    </row>
    <row r="152" spans="1:93" s="146" customFormat="1">
      <c r="A152" s="151"/>
      <c r="B152" s="152"/>
      <c r="CO152" s="152"/>
    </row>
    <row r="153" spans="1:93" s="146" customFormat="1" ht="15.75" customHeight="1">
      <c r="A153" s="151"/>
      <c r="B153" s="152"/>
      <c r="CO153" s="152"/>
    </row>
    <row r="154" spans="1:93" s="146" customFormat="1">
      <c r="A154" s="151"/>
      <c r="B154" s="152"/>
      <c r="CO154" s="152"/>
    </row>
    <row r="155" spans="1:93" s="146" customFormat="1">
      <c r="A155" s="151"/>
      <c r="B155" s="152"/>
      <c r="CO155" s="152"/>
    </row>
    <row r="156" spans="1:93" s="146" customFormat="1">
      <c r="A156" s="151"/>
      <c r="B156" s="152"/>
      <c r="CO156" s="152"/>
    </row>
    <row r="157" spans="1:93" s="146" customFormat="1" ht="15.75" customHeight="1">
      <c r="A157" s="151"/>
      <c r="B157" s="152"/>
      <c r="CO157" s="152"/>
    </row>
    <row r="158" spans="1:93" s="146" customFormat="1">
      <c r="A158" s="151"/>
      <c r="B158" s="152"/>
      <c r="CO158" s="152"/>
    </row>
    <row r="159" spans="1:93" s="146" customFormat="1">
      <c r="A159" s="151"/>
      <c r="B159" s="152"/>
      <c r="CO159" s="152"/>
    </row>
    <row r="160" spans="1:93" s="146" customFormat="1">
      <c r="A160" s="151"/>
      <c r="B160" s="152"/>
      <c r="CO160" s="152"/>
    </row>
    <row r="161" spans="1:93" s="146" customFormat="1" ht="15.75" customHeight="1">
      <c r="A161" s="151"/>
      <c r="B161" s="152"/>
      <c r="CO161" s="152"/>
    </row>
    <row r="162" spans="1:93" s="146" customFormat="1">
      <c r="A162" s="151"/>
      <c r="B162" s="152"/>
      <c r="CO162" s="152"/>
    </row>
    <row r="163" spans="1:93" s="146" customFormat="1">
      <c r="A163" s="151"/>
      <c r="B163" s="152"/>
      <c r="CO163" s="152"/>
    </row>
    <row r="164" spans="1:93" s="146" customFormat="1">
      <c r="A164" s="151"/>
      <c r="B164" s="152"/>
      <c r="CO164" s="152"/>
    </row>
    <row r="165" spans="1:93" s="146" customFormat="1" ht="15.75" customHeight="1">
      <c r="A165" s="151"/>
      <c r="B165" s="152"/>
      <c r="CO165" s="152"/>
    </row>
    <row r="166" spans="1:93" s="146" customFormat="1">
      <c r="A166" s="151"/>
      <c r="B166" s="152"/>
      <c r="CO166" s="152"/>
    </row>
    <row r="167" spans="1:93" s="146" customFormat="1">
      <c r="A167" s="151"/>
      <c r="B167" s="152"/>
      <c r="CO167" s="152"/>
    </row>
    <row r="168" spans="1:93" s="146" customFormat="1">
      <c r="A168" s="151"/>
      <c r="B168" s="152"/>
      <c r="CO168" s="152"/>
    </row>
    <row r="169" spans="1:93" s="146" customFormat="1" ht="15.75" customHeight="1">
      <c r="A169" s="151"/>
      <c r="B169" s="152"/>
      <c r="CO169" s="152"/>
    </row>
    <row r="170" spans="1:93" s="146" customFormat="1">
      <c r="A170" s="151"/>
      <c r="B170" s="152"/>
      <c r="CO170" s="152"/>
    </row>
    <row r="171" spans="1:93" s="146" customFormat="1">
      <c r="A171" s="151"/>
      <c r="B171" s="152"/>
      <c r="CO171" s="152"/>
    </row>
    <row r="172" spans="1:93" s="146" customFormat="1">
      <c r="A172" s="151"/>
      <c r="B172" s="152"/>
      <c r="CO172" s="152"/>
    </row>
    <row r="173" spans="1:93" s="146" customFormat="1" ht="15.75" customHeight="1">
      <c r="A173" s="151"/>
      <c r="B173" s="152"/>
      <c r="CO173" s="152"/>
    </row>
    <row r="174" spans="1:93" s="146" customFormat="1">
      <c r="A174" s="151"/>
      <c r="B174" s="152"/>
      <c r="CO174" s="152"/>
    </row>
    <row r="175" spans="1:93" s="146" customFormat="1">
      <c r="A175" s="151"/>
      <c r="B175" s="152"/>
      <c r="CO175" s="152"/>
    </row>
    <row r="176" spans="1:93" s="146" customFormat="1">
      <c r="A176" s="151"/>
      <c r="B176" s="152"/>
      <c r="CO176" s="152"/>
    </row>
    <row r="177" spans="1:93" s="146" customFormat="1" ht="15.75" customHeight="1">
      <c r="A177" s="151"/>
      <c r="B177" s="152"/>
      <c r="CO177" s="152"/>
    </row>
    <row r="178" spans="1:93" s="146" customFormat="1">
      <c r="A178" s="151"/>
      <c r="B178" s="152"/>
      <c r="CO178" s="152"/>
    </row>
    <row r="179" spans="1:93" s="146" customFormat="1">
      <c r="A179" s="151"/>
      <c r="B179" s="152"/>
      <c r="CO179" s="152"/>
    </row>
    <row r="180" spans="1:93" s="146" customFormat="1">
      <c r="A180" s="151"/>
      <c r="B180" s="152"/>
      <c r="CO180" s="152"/>
    </row>
    <row r="181" spans="1:93" s="146" customFormat="1" ht="15.75" customHeight="1">
      <c r="A181" s="151"/>
      <c r="B181" s="152"/>
      <c r="CO181" s="152"/>
    </row>
    <row r="182" spans="1:93" s="146" customFormat="1">
      <c r="A182" s="151"/>
      <c r="B182" s="152"/>
      <c r="CO182" s="152"/>
    </row>
    <row r="183" spans="1:93" s="146" customFormat="1">
      <c r="A183" s="151"/>
      <c r="B183" s="152"/>
      <c r="CO183" s="152"/>
    </row>
    <row r="184" spans="1:93" s="146" customFormat="1">
      <c r="A184" s="151"/>
      <c r="B184" s="152"/>
      <c r="CO184" s="152"/>
    </row>
    <row r="185" spans="1:93" s="146" customFormat="1" ht="15.75" customHeight="1">
      <c r="A185" s="151"/>
      <c r="B185" s="152"/>
      <c r="CO185" s="152"/>
    </row>
    <row r="186" spans="1:93" s="146" customFormat="1">
      <c r="A186" s="151"/>
      <c r="B186" s="152"/>
      <c r="CO186" s="152"/>
    </row>
    <row r="187" spans="1:93" s="146" customFormat="1">
      <c r="A187" s="151"/>
      <c r="B187" s="152"/>
      <c r="CO187" s="152"/>
    </row>
    <row r="188" spans="1:93" s="146" customFormat="1">
      <c r="A188" s="151"/>
      <c r="B188" s="152"/>
      <c r="CO188" s="152"/>
    </row>
    <row r="189" spans="1:93" s="146" customFormat="1" ht="15.75" customHeight="1">
      <c r="A189" s="151"/>
      <c r="B189" s="152"/>
      <c r="CO189" s="152"/>
    </row>
    <row r="190" spans="1:93" s="146" customFormat="1">
      <c r="A190" s="151"/>
      <c r="B190" s="152"/>
      <c r="CO190" s="152"/>
    </row>
    <row r="191" spans="1:93" s="146" customFormat="1">
      <c r="A191" s="151"/>
      <c r="B191" s="152"/>
      <c r="CO191" s="152"/>
    </row>
    <row r="192" spans="1:93" s="146" customFormat="1">
      <c r="A192" s="151"/>
      <c r="B192" s="152"/>
      <c r="CO192" s="152"/>
    </row>
    <row r="193" spans="1:93" s="146" customFormat="1" ht="15.75" customHeight="1">
      <c r="A193" s="151"/>
      <c r="B193" s="152"/>
      <c r="CO193" s="152"/>
    </row>
    <row r="194" spans="1:93" s="146" customFormat="1">
      <c r="A194" s="151"/>
      <c r="B194" s="152"/>
      <c r="CO194" s="152"/>
    </row>
    <row r="195" spans="1:93" s="146" customFormat="1">
      <c r="A195" s="151"/>
      <c r="B195" s="152"/>
      <c r="CO195" s="152"/>
    </row>
    <row r="196" spans="1:93" s="146" customFormat="1">
      <c r="A196" s="151"/>
      <c r="B196" s="152"/>
      <c r="CO196" s="152"/>
    </row>
    <row r="197" spans="1:93" s="146" customFormat="1" ht="15.75" customHeight="1">
      <c r="A197" s="151"/>
      <c r="B197" s="152"/>
      <c r="CO197" s="152"/>
    </row>
    <row r="198" spans="1:93" s="146" customFormat="1">
      <c r="A198" s="151"/>
      <c r="B198" s="152"/>
      <c r="CO198" s="152"/>
    </row>
    <row r="199" spans="1:93" s="146" customFormat="1">
      <c r="A199" s="151"/>
      <c r="B199" s="152"/>
      <c r="CO199" s="152"/>
    </row>
    <row r="200" spans="1:93" s="146" customFormat="1">
      <c r="A200" s="151"/>
      <c r="B200" s="152"/>
      <c r="CO200" s="152"/>
    </row>
    <row r="201" spans="1:93" s="146" customFormat="1" ht="15.75" customHeight="1">
      <c r="A201" s="151"/>
      <c r="B201" s="152"/>
      <c r="CO201" s="152"/>
    </row>
    <row r="202" spans="1:93" s="146" customFormat="1">
      <c r="A202" s="151"/>
      <c r="B202" s="152"/>
      <c r="CO202" s="152"/>
    </row>
    <row r="203" spans="1:93" s="146" customFormat="1">
      <c r="A203" s="151"/>
      <c r="B203" s="152"/>
      <c r="CO203" s="152"/>
    </row>
    <row r="204" spans="1:93" s="146" customFormat="1">
      <c r="A204" s="151"/>
      <c r="B204" s="152"/>
      <c r="CO204" s="152"/>
    </row>
    <row r="205" spans="1:93" s="146" customFormat="1" ht="15.75" customHeight="1">
      <c r="A205" s="151"/>
      <c r="B205" s="152"/>
      <c r="CO205" s="152"/>
    </row>
    <row r="206" spans="1:93" s="146" customFormat="1">
      <c r="A206" s="151"/>
      <c r="B206" s="152"/>
      <c r="CO206" s="152"/>
    </row>
    <row r="207" spans="1:93" s="146" customFormat="1">
      <c r="A207" s="151"/>
      <c r="B207" s="152"/>
      <c r="CO207" s="152"/>
    </row>
    <row r="208" spans="1:93" s="146" customFormat="1">
      <c r="A208" s="151"/>
      <c r="B208" s="152"/>
      <c r="CO208" s="152"/>
    </row>
    <row r="209" spans="1:93" s="146" customFormat="1" ht="15.75" customHeight="1">
      <c r="A209" s="151"/>
      <c r="B209" s="152"/>
      <c r="CO209" s="152"/>
    </row>
    <row r="210" spans="1:93" s="146" customFormat="1">
      <c r="A210" s="151"/>
      <c r="B210" s="152"/>
      <c r="CO210" s="152"/>
    </row>
    <row r="211" spans="1:93" s="146" customFormat="1">
      <c r="A211" s="151"/>
      <c r="B211" s="152"/>
      <c r="CO211" s="152"/>
    </row>
    <row r="212" spans="1:93" s="146" customFormat="1">
      <c r="A212" s="151"/>
      <c r="B212" s="152"/>
      <c r="CO212" s="152"/>
    </row>
    <row r="213" spans="1:93" s="146" customFormat="1" ht="15.75" customHeight="1">
      <c r="A213" s="151"/>
      <c r="B213" s="152"/>
      <c r="CO213" s="152"/>
    </row>
    <row r="214" spans="1:93" s="146" customFormat="1">
      <c r="A214" s="151"/>
      <c r="B214" s="152"/>
      <c r="CO214" s="152"/>
    </row>
    <row r="215" spans="1:93" s="146" customFormat="1">
      <c r="A215" s="151"/>
      <c r="B215" s="152"/>
      <c r="CO215" s="152"/>
    </row>
    <row r="216" spans="1:93" s="146" customFormat="1">
      <c r="A216" s="151"/>
      <c r="B216" s="152"/>
      <c r="CO216" s="152"/>
    </row>
    <row r="217" spans="1:93" s="146" customFormat="1" ht="15.75" customHeight="1">
      <c r="A217" s="151"/>
      <c r="B217" s="152"/>
      <c r="CO217" s="152"/>
    </row>
    <row r="218" spans="1:93" s="146" customFormat="1">
      <c r="A218" s="151"/>
      <c r="B218" s="152"/>
      <c r="CO218" s="152"/>
    </row>
    <row r="219" spans="1:93" s="146" customFormat="1">
      <c r="A219" s="151"/>
      <c r="B219" s="152"/>
      <c r="CO219" s="152"/>
    </row>
    <row r="220" spans="1:93" s="146" customFormat="1">
      <c r="A220" s="151"/>
      <c r="B220" s="152"/>
      <c r="CO220" s="152"/>
    </row>
    <row r="221" spans="1:93" s="146" customFormat="1" ht="15.75" customHeight="1">
      <c r="A221" s="151"/>
      <c r="B221" s="152"/>
      <c r="CO221" s="152"/>
    </row>
    <row r="222" spans="1:93" s="146" customFormat="1">
      <c r="A222" s="151"/>
      <c r="B222" s="152"/>
      <c r="CO222" s="152"/>
    </row>
    <row r="223" spans="1:93" s="146" customFormat="1">
      <c r="A223" s="151"/>
      <c r="B223" s="152"/>
      <c r="CO223" s="152"/>
    </row>
    <row r="224" spans="1:93" s="146" customFormat="1">
      <c r="A224" s="151"/>
      <c r="B224" s="152"/>
      <c r="CO224" s="152"/>
    </row>
    <row r="225" spans="1:93" s="146" customFormat="1" ht="15.75" customHeight="1">
      <c r="A225" s="151"/>
      <c r="B225" s="152"/>
      <c r="CO225" s="152"/>
    </row>
    <row r="226" spans="1:93" s="146" customFormat="1">
      <c r="A226" s="151"/>
      <c r="B226" s="152"/>
      <c r="CO226" s="152"/>
    </row>
    <row r="227" spans="1:93" s="146" customFormat="1">
      <c r="A227" s="151"/>
      <c r="B227" s="152"/>
      <c r="CO227" s="152"/>
    </row>
    <row r="228" spans="1:93" s="146" customFormat="1">
      <c r="A228" s="151"/>
      <c r="B228" s="152"/>
      <c r="CO228" s="152"/>
    </row>
    <row r="229" spans="1:93" s="146" customFormat="1" ht="15.75" customHeight="1">
      <c r="A229" s="151"/>
      <c r="B229" s="152"/>
      <c r="CO229" s="152"/>
    </row>
    <row r="230" spans="1:93" s="146" customFormat="1">
      <c r="A230" s="151"/>
      <c r="B230" s="152"/>
      <c r="CO230" s="152"/>
    </row>
    <row r="231" spans="1:93" s="146" customFormat="1">
      <c r="A231" s="151"/>
      <c r="B231" s="152"/>
      <c r="CO231" s="152"/>
    </row>
    <row r="232" spans="1:93" s="146" customFormat="1">
      <c r="A232" s="151"/>
      <c r="B232" s="152"/>
      <c r="CO232" s="152"/>
    </row>
    <row r="233" spans="1:93" s="146" customFormat="1" ht="15.75" customHeight="1">
      <c r="A233" s="151"/>
      <c r="B233" s="152"/>
      <c r="CO233" s="152"/>
    </row>
    <row r="234" spans="1:93" s="146" customFormat="1">
      <c r="A234" s="151"/>
      <c r="B234" s="152"/>
      <c r="CO234" s="152"/>
    </row>
    <row r="235" spans="1:93" s="146" customFormat="1">
      <c r="A235" s="151"/>
      <c r="B235" s="152"/>
      <c r="CO235" s="152"/>
    </row>
    <row r="236" spans="1:93" s="146" customFormat="1">
      <c r="A236" s="151"/>
      <c r="B236" s="152"/>
      <c r="CO236" s="152"/>
    </row>
    <row r="237" spans="1:93" s="146" customFormat="1" ht="15.75" customHeight="1">
      <c r="A237" s="151"/>
      <c r="B237" s="152"/>
      <c r="CO237" s="152"/>
    </row>
    <row r="238" spans="1:93" s="146" customFormat="1">
      <c r="A238" s="151"/>
      <c r="B238" s="152"/>
      <c r="CO238" s="152"/>
    </row>
    <row r="239" spans="1:93" s="146" customFormat="1">
      <c r="A239" s="151"/>
      <c r="B239" s="152"/>
      <c r="CO239" s="152"/>
    </row>
    <row r="240" spans="1:93" s="146" customFormat="1">
      <c r="A240" s="151"/>
      <c r="B240" s="152"/>
      <c r="CO240" s="152"/>
    </row>
    <row r="241" spans="1:93" s="146" customFormat="1" ht="15.75" customHeight="1">
      <c r="A241" s="151"/>
      <c r="B241" s="152"/>
      <c r="CO241" s="152"/>
    </row>
    <row r="242" spans="1:93" s="146" customFormat="1">
      <c r="A242" s="151"/>
      <c r="B242" s="152"/>
      <c r="CO242" s="152"/>
    </row>
    <row r="243" spans="1:93" s="146" customFormat="1">
      <c r="A243" s="151"/>
      <c r="B243" s="152"/>
      <c r="CO243" s="152"/>
    </row>
    <row r="244" spans="1:93" s="146" customFormat="1">
      <c r="A244" s="151"/>
      <c r="B244" s="152"/>
      <c r="CO244" s="152"/>
    </row>
    <row r="245" spans="1:93" s="146" customFormat="1" ht="15.75" customHeight="1">
      <c r="A245" s="151"/>
      <c r="B245" s="152"/>
      <c r="CO245" s="152"/>
    </row>
    <row r="246" spans="1:93" s="146" customFormat="1">
      <c r="A246" s="151"/>
      <c r="B246" s="152"/>
      <c r="CO246" s="152"/>
    </row>
    <row r="247" spans="1:93" s="146" customFormat="1">
      <c r="A247" s="151"/>
      <c r="B247" s="152"/>
      <c r="CO247" s="152"/>
    </row>
    <row r="248" spans="1:93" s="146" customFormat="1">
      <c r="A248" s="151"/>
      <c r="B248" s="152"/>
      <c r="CO248" s="152"/>
    </row>
    <row r="249" spans="1:93" s="146" customFormat="1" ht="15.75" customHeight="1">
      <c r="A249" s="151"/>
      <c r="B249" s="152"/>
      <c r="CO249" s="152"/>
    </row>
    <row r="250" spans="1:93" s="146" customFormat="1">
      <c r="A250" s="151"/>
      <c r="B250" s="152"/>
      <c r="CO250" s="152"/>
    </row>
    <row r="251" spans="1:93" s="146" customFormat="1">
      <c r="A251" s="151"/>
      <c r="B251" s="152"/>
      <c r="CO251" s="152"/>
    </row>
    <row r="252" spans="1:93" s="146" customFormat="1">
      <c r="A252" s="151"/>
      <c r="B252" s="152"/>
      <c r="CO252" s="152"/>
    </row>
    <row r="253" spans="1:93" s="146" customFormat="1" ht="15.75" customHeight="1">
      <c r="A253" s="151"/>
      <c r="B253" s="152"/>
      <c r="CO253" s="152"/>
    </row>
    <row r="254" spans="1:93" s="146" customFormat="1">
      <c r="A254" s="151"/>
      <c r="B254" s="152"/>
      <c r="CO254" s="152"/>
    </row>
    <row r="255" spans="1:93" s="146" customFormat="1">
      <c r="A255" s="151"/>
      <c r="B255" s="152"/>
      <c r="CO255" s="152"/>
    </row>
    <row r="256" spans="1:93" s="146" customFormat="1">
      <c r="A256" s="151"/>
      <c r="B256" s="152"/>
      <c r="CO256" s="152"/>
    </row>
    <row r="257" spans="1:93" s="146" customFormat="1" ht="15.75" customHeight="1">
      <c r="A257" s="151"/>
      <c r="B257" s="152"/>
      <c r="CO257" s="152"/>
    </row>
    <row r="258" spans="1:93" s="146" customFormat="1">
      <c r="A258" s="151"/>
      <c r="B258" s="152"/>
      <c r="CO258" s="152"/>
    </row>
    <row r="259" spans="1:93" s="146" customFormat="1">
      <c r="A259" s="151"/>
      <c r="B259" s="152"/>
      <c r="CO259" s="152"/>
    </row>
    <row r="260" spans="1:93" s="146" customFormat="1">
      <c r="A260" s="151"/>
      <c r="B260" s="152"/>
      <c r="CO260" s="152"/>
    </row>
    <row r="261" spans="1:93" s="146" customFormat="1" ht="15.75" customHeight="1">
      <c r="A261" s="151"/>
      <c r="B261" s="152"/>
      <c r="CO261" s="152"/>
    </row>
    <row r="262" spans="1:93" s="146" customFormat="1">
      <c r="A262" s="151"/>
      <c r="B262" s="152"/>
      <c r="CO262" s="152"/>
    </row>
    <row r="263" spans="1:93" s="146" customFormat="1">
      <c r="A263" s="151"/>
      <c r="B263" s="152"/>
      <c r="CO263" s="152"/>
    </row>
    <row r="264" spans="1:93" s="146" customFormat="1">
      <c r="A264" s="151"/>
      <c r="B264" s="152"/>
      <c r="CO264" s="152"/>
    </row>
    <row r="265" spans="1:93" s="146" customFormat="1" ht="15.75" customHeight="1">
      <c r="A265" s="151"/>
      <c r="B265" s="152"/>
      <c r="CO265" s="152"/>
    </row>
    <row r="266" spans="1:93" s="146" customFormat="1">
      <c r="A266" s="151"/>
      <c r="B266" s="152"/>
      <c r="CO266" s="152"/>
    </row>
    <row r="267" spans="1:93" s="146" customFormat="1">
      <c r="A267" s="151"/>
      <c r="B267" s="152"/>
      <c r="CO267" s="152"/>
    </row>
    <row r="268" spans="1:93" s="146" customFormat="1">
      <c r="A268" s="151"/>
      <c r="B268" s="152"/>
      <c r="CO268" s="152"/>
    </row>
    <row r="269" spans="1:93" s="146" customFormat="1" ht="15.75" customHeight="1">
      <c r="A269" s="151"/>
      <c r="B269" s="152"/>
      <c r="CO269" s="152"/>
    </row>
    <row r="270" spans="1:93" s="146" customFormat="1">
      <c r="A270" s="151"/>
      <c r="B270" s="152"/>
      <c r="CO270" s="152"/>
    </row>
    <row r="271" spans="1:93" s="146" customFormat="1">
      <c r="A271" s="151"/>
      <c r="B271" s="152"/>
      <c r="CO271" s="152"/>
    </row>
    <row r="272" spans="1:93" s="146" customFormat="1">
      <c r="A272" s="151"/>
      <c r="B272" s="152"/>
      <c r="CO272" s="152"/>
    </row>
    <row r="273" spans="1:93" s="146" customFormat="1" ht="15.75" customHeight="1">
      <c r="A273" s="151"/>
      <c r="B273" s="152"/>
      <c r="CO273" s="152"/>
    </row>
    <row r="274" spans="1:93" s="146" customFormat="1">
      <c r="A274" s="151"/>
      <c r="B274" s="152"/>
      <c r="CO274" s="152"/>
    </row>
    <row r="275" spans="1:93" s="146" customFormat="1">
      <c r="A275" s="151"/>
      <c r="B275" s="152"/>
      <c r="CO275" s="152"/>
    </row>
    <row r="276" spans="1:93" s="146" customFormat="1">
      <c r="A276" s="151"/>
      <c r="B276" s="152"/>
      <c r="CO276" s="152"/>
    </row>
    <row r="277" spans="1:93" s="146" customFormat="1" ht="15.75" customHeight="1">
      <c r="A277" s="151"/>
      <c r="B277" s="152"/>
      <c r="CO277" s="152"/>
    </row>
  </sheetData>
  <mergeCells count="231">
    <mergeCell ref="FU8:FU9"/>
    <mergeCell ref="EZ8:EZ9"/>
    <mergeCell ref="EB8:EB9"/>
    <mergeCell ref="FW8:FW9"/>
    <mergeCell ref="BE8:BE9"/>
    <mergeCell ref="BU8:BU9"/>
    <mergeCell ref="BF8:BF9"/>
    <mergeCell ref="EY8:EY9"/>
    <mergeCell ref="EL8:EL9"/>
    <mergeCell ref="FR8:FR9"/>
    <mergeCell ref="FS8:FS9"/>
    <mergeCell ref="FJ8:FJ9"/>
    <mergeCell ref="FB8:FB9"/>
    <mergeCell ref="DV7:DV9"/>
    <mergeCell ref="DD8:DD9"/>
    <mergeCell ref="FV8:FV9"/>
    <mergeCell ref="CX6:CX9"/>
    <mergeCell ref="CY6:CY9"/>
    <mergeCell ref="CZ6:DM6"/>
    <mergeCell ref="DN6:DN9"/>
    <mergeCell ref="CF7:CH7"/>
    <mergeCell ref="CL7:CL9"/>
    <mergeCell ref="CF8:CF9"/>
    <mergeCell ref="CR8:CR9"/>
    <mergeCell ref="DM8:DM9"/>
    <mergeCell ref="BX8:BX9"/>
    <mergeCell ref="EW8:EW9"/>
    <mergeCell ref="I8:I9"/>
    <mergeCell ref="J8:J9"/>
    <mergeCell ref="ER8:ER9"/>
    <mergeCell ref="AF7:AF9"/>
    <mergeCell ref="BO8:BO9"/>
    <mergeCell ref="ES8:ES9"/>
    <mergeCell ref="EC8:EC9"/>
    <mergeCell ref="EU8:EU9"/>
    <mergeCell ref="CK8:CK9"/>
    <mergeCell ref="CC8:CC9"/>
    <mergeCell ref="CG8:CG9"/>
    <mergeCell ref="CE8:CE9"/>
    <mergeCell ref="DC8:DC9"/>
    <mergeCell ref="BL8:BL9"/>
    <mergeCell ref="CH8:CH9"/>
    <mergeCell ref="BR8:BR9"/>
    <mergeCell ref="AU8:AU9"/>
    <mergeCell ref="AT8:AT9"/>
    <mergeCell ref="AX8:AX9"/>
    <mergeCell ref="BQ8:BQ9"/>
    <mergeCell ref="CN7:CN9"/>
    <mergeCell ref="BL6:BV6"/>
    <mergeCell ref="E8:E9"/>
    <mergeCell ref="D8:D9"/>
    <mergeCell ref="F8:F9"/>
    <mergeCell ref="BA6:BA9"/>
    <mergeCell ref="DL8:DL9"/>
    <mergeCell ref="A5:A9"/>
    <mergeCell ref="B5:B9"/>
    <mergeCell ref="M8:M9"/>
    <mergeCell ref="R8:T8"/>
    <mergeCell ref="P8:P9"/>
    <mergeCell ref="G8:G9"/>
    <mergeCell ref="M7:U7"/>
    <mergeCell ref="C6:C9"/>
    <mergeCell ref="N8:O8"/>
    <mergeCell ref="D6:J7"/>
    <mergeCell ref="K6:K9"/>
    <mergeCell ref="L6:L9"/>
    <mergeCell ref="H8:H9"/>
    <mergeCell ref="U8:U9"/>
    <mergeCell ref="BW8:BW9"/>
    <mergeCell ref="DP6:DP9"/>
    <mergeCell ref="DQ6:DQ9"/>
    <mergeCell ref="DJ8:DK8"/>
    <mergeCell ref="BY8:BY9"/>
    <mergeCell ref="AR8:AR9"/>
    <mergeCell ref="BG8:BG9"/>
    <mergeCell ref="V8:V9"/>
    <mergeCell ref="Y8:Y9"/>
    <mergeCell ref="W8:X8"/>
    <mergeCell ref="BT8:BT9"/>
    <mergeCell ref="CQ8:CQ9"/>
    <mergeCell ref="Z8:Z9"/>
    <mergeCell ref="CD8:CD9"/>
    <mergeCell ref="BZ8:BZ9"/>
    <mergeCell ref="CA8:CA9"/>
    <mergeCell ref="CB8:CB9"/>
    <mergeCell ref="AM8:AM9"/>
    <mergeCell ref="BV8:BV9"/>
    <mergeCell ref="AV8:AV9"/>
    <mergeCell ref="AS8:AS9"/>
    <mergeCell ref="DO6:DO9"/>
    <mergeCell ref="CJ8:CJ9"/>
    <mergeCell ref="CI8:CI9"/>
    <mergeCell ref="CQ6:CW7"/>
    <mergeCell ref="DR6:DR9"/>
    <mergeCell ref="DS6:DV6"/>
    <mergeCell ref="FO8:FO9"/>
    <mergeCell ref="FK8:FK9"/>
    <mergeCell ref="EY6:FI6"/>
    <mergeCell ref="FJ6:FQ6"/>
    <mergeCell ref="M6:Z6"/>
    <mergeCell ref="AA6:AA9"/>
    <mergeCell ref="AB6:AB9"/>
    <mergeCell ref="BP8:BP9"/>
    <mergeCell ref="BN8:BN9"/>
    <mergeCell ref="BS8:BS9"/>
    <mergeCell ref="Q8:Q9"/>
    <mergeCell ref="BH8:BH9"/>
    <mergeCell ref="AW8:AW9"/>
    <mergeCell ref="AY8:AY9"/>
    <mergeCell ref="AK8:AK9"/>
    <mergeCell ref="AL8:AL9"/>
    <mergeCell ref="CZ8:CZ9"/>
    <mergeCell ref="DW6:EL6"/>
    <mergeCell ref="EM6:EM9"/>
    <mergeCell ref="EN6:EN9"/>
    <mergeCell ref="EO6:EO9"/>
    <mergeCell ref="EP6:EP9"/>
    <mergeCell ref="FR6:FU6"/>
    <mergeCell ref="FV6:FX7"/>
    <mergeCell ref="FT8:FT9"/>
    <mergeCell ref="FX8:FX9"/>
    <mergeCell ref="FQ8:FQ9"/>
    <mergeCell ref="FH8:FH9"/>
    <mergeCell ref="ET8:ET9"/>
    <mergeCell ref="FM8:FM9"/>
    <mergeCell ref="FA8:FA9"/>
    <mergeCell ref="ER6:ET7"/>
    <mergeCell ref="EU6:EV6"/>
    <mergeCell ref="EW6:EX6"/>
    <mergeCell ref="EU7:EV7"/>
    <mergeCell ref="EY7:FA7"/>
    <mergeCell ref="FB7:FI7"/>
    <mergeCell ref="FK7:FQ7"/>
    <mergeCell ref="FS7:FU7"/>
    <mergeCell ref="FC8:FC9"/>
    <mergeCell ref="EV8:EV9"/>
    <mergeCell ref="FP8:FP9"/>
    <mergeCell ref="FL8:FL9"/>
    <mergeCell ref="FN8:FN9"/>
    <mergeCell ref="EX8:EX9"/>
    <mergeCell ref="FI8:FI9"/>
    <mergeCell ref="A2:GG2"/>
    <mergeCell ref="A3:GG3"/>
    <mergeCell ref="CJ4:CK4"/>
    <mergeCell ref="C5:CN5"/>
    <mergeCell ref="CO5:CO9"/>
    <mergeCell ref="CP5:GB5"/>
    <mergeCell ref="GC5:GG5"/>
    <mergeCell ref="BH6:BI6"/>
    <mergeCell ref="BJ6:BK6"/>
    <mergeCell ref="BK8:BK9"/>
    <mergeCell ref="AC6:AC9"/>
    <mergeCell ref="AD6:AD9"/>
    <mergeCell ref="AE6:AE9"/>
    <mergeCell ref="AF6:AI6"/>
    <mergeCell ref="AJ6:AY6"/>
    <mergeCell ref="AZ6:AZ9"/>
    <mergeCell ref="AJ8:AJ9"/>
    <mergeCell ref="BW6:CD6"/>
    <mergeCell ref="CE6:CH6"/>
    <mergeCell ref="CI6:CK7"/>
    <mergeCell ref="CM6:CN6"/>
    <mergeCell ref="CP6:CP9"/>
    <mergeCell ref="BO7:BV7"/>
    <mergeCell ref="BX7:CD7"/>
    <mergeCell ref="EQ6:EQ9"/>
    <mergeCell ref="EA8:EA9"/>
    <mergeCell ref="ED8:ED9"/>
    <mergeCell ref="EE8:EE9"/>
    <mergeCell ref="EF8:EF9"/>
    <mergeCell ref="DU7:DU9"/>
    <mergeCell ref="DW7:DY7"/>
    <mergeCell ref="DZ7:EA7"/>
    <mergeCell ref="ED7:EL7"/>
    <mergeCell ref="DW8:DW9"/>
    <mergeCell ref="DX8:DX9"/>
    <mergeCell ref="DY8:DY9"/>
    <mergeCell ref="DZ8:DZ9"/>
    <mergeCell ref="EG8:EG9"/>
    <mergeCell ref="EH8:EH9"/>
    <mergeCell ref="EI8:EI9"/>
    <mergeCell ref="EJ8:EJ9"/>
    <mergeCell ref="EK8:EK9"/>
    <mergeCell ref="FZ6:GA6"/>
    <mergeCell ref="GB6:GB9"/>
    <mergeCell ref="GC6:GC9"/>
    <mergeCell ref="GD6:GD9"/>
    <mergeCell ref="GE6:GE9"/>
    <mergeCell ref="GF6:GF9"/>
    <mergeCell ref="GG6:GG9"/>
    <mergeCell ref="V7:Z7"/>
    <mergeCell ref="AG7:AG9"/>
    <mergeCell ref="AH7:AH9"/>
    <mergeCell ref="AI7:AI9"/>
    <mergeCell ref="AJ7:AL7"/>
    <mergeCell ref="AM7:AN7"/>
    <mergeCell ref="AQ7:AY7"/>
    <mergeCell ref="BH7:BI7"/>
    <mergeCell ref="BL7:BN7"/>
    <mergeCell ref="CZ7:DH7"/>
    <mergeCell ref="DI7:DM7"/>
    <mergeCell ref="DS7:DS9"/>
    <mergeCell ref="DT7:DT9"/>
    <mergeCell ref="DA8:DB8"/>
    <mergeCell ref="DE8:DG8"/>
    <mergeCell ref="DH8:DH9"/>
    <mergeCell ref="DI8:DI9"/>
    <mergeCell ref="FY7:FY9"/>
    <mergeCell ref="FZ7:FZ8"/>
    <mergeCell ref="GA7:GA9"/>
    <mergeCell ref="FD8:FD9"/>
    <mergeCell ref="FE8:FE9"/>
    <mergeCell ref="FG8:FG9"/>
    <mergeCell ref="FF8:FF9"/>
    <mergeCell ref="AN8:AN9"/>
    <mergeCell ref="AO8:AO9"/>
    <mergeCell ref="AP8:AP9"/>
    <mergeCell ref="AQ8:AQ9"/>
    <mergeCell ref="BI8:BI9"/>
    <mergeCell ref="BJ8:BJ9"/>
    <mergeCell ref="BB6:BB9"/>
    <mergeCell ref="BC6:BC9"/>
    <mergeCell ref="BD6:BD9"/>
    <mergeCell ref="BE6:BG7"/>
    <mergeCell ref="BM8:BM9"/>
    <mergeCell ref="CS8:CS9"/>
    <mergeCell ref="CT8:CT9"/>
    <mergeCell ref="CU8:CU9"/>
    <mergeCell ref="CV8:CV9"/>
    <mergeCell ref="CW8:CW9"/>
    <mergeCell ref="CM7:CM8"/>
  </mergeCells>
  <pageMargins left="0.23622047244094491" right="0.19685039370078741" top="0.62992125984251968" bottom="1.1811023622047245" header="0.31496062992125984" footer="0.31496062992125984"/>
  <pageSetup paperSize="9" scale="43"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GG277"/>
  <sheetViews>
    <sheetView topLeftCell="A5" zoomScaleNormal="100" workbookViewId="0">
      <pane xSplit="3" ySplit="9" topLeftCell="ET14" activePane="bottomRight" state="frozen"/>
      <selection activeCell="A5" sqref="A5"/>
      <selection pane="topRight" activeCell="D5" sqref="D5"/>
      <selection pane="bottomLeft" activeCell="A14" sqref="A14"/>
      <selection pane="bottomRight" activeCell="FI13" sqref="FB13:FI13"/>
    </sheetView>
  </sheetViews>
  <sheetFormatPr defaultColWidth="7.875" defaultRowHeight="12.75"/>
  <cols>
    <col min="1" max="1" width="5" style="102" customWidth="1"/>
    <col min="2" max="2" width="19" style="145" customWidth="1"/>
    <col min="3" max="4" width="13.125" style="201" customWidth="1"/>
    <col min="5" max="5" width="12.25" style="201" customWidth="1"/>
    <col min="6" max="6" width="11.875" style="146" customWidth="1"/>
    <col min="7" max="7" width="11.625" style="146" customWidth="1"/>
    <col min="8" max="8" width="12.125" style="146" customWidth="1"/>
    <col min="9" max="9" width="10.625" style="146" customWidth="1"/>
    <col min="10" max="10" width="13.375" style="201" customWidth="1"/>
    <col min="11" max="12" width="11.375" style="146" customWidth="1"/>
    <col min="13" max="13" width="13.5" style="146" customWidth="1"/>
    <col min="14" max="14" width="12.75" style="146" customWidth="1"/>
    <col min="15" max="15" width="11.75" style="146" customWidth="1"/>
    <col min="16" max="16" width="12.625" style="146" customWidth="1"/>
    <col min="17" max="18" width="11.25" style="146" customWidth="1"/>
    <col min="19" max="19" width="12.125" style="146" customWidth="1"/>
    <col min="20" max="20" width="11.75" style="146" customWidth="1"/>
    <col min="21" max="21" width="10.125" style="146" customWidth="1"/>
    <col min="22" max="22" width="11.375" style="146" customWidth="1"/>
    <col min="23" max="23" width="10.25" style="146" customWidth="1"/>
    <col min="24" max="24" width="9.625" style="146" customWidth="1"/>
    <col min="25" max="25" width="9.125" style="146" customWidth="1"/>
    <col min="26" max="26" width="11" style="146" customWidth="1"/>
    <col min="27" max="27" width="10.875" style="146" customWidth="1"/>
    <col min="28" max="28" width="12" style="146" customWidth="1"/>
    <col min="29" max="29" width="11.5" style="146" customWidth="1"/>
    <col min="30" max="30" width="11.375" style="146" customWidth="1"/>
    <col min="31" max="31" width="9.625" style="146" customWidth="1"/>
    <col min="32" max="32" width="11.5" style="146" customWidth="1"/>
    <col min="33" max="33" width="10.375" style="146" customWidth="1"/>
    <col min="34" max="34" width="12.625" style="146" customWidth="1"/>
    <col min="35" max="35" width="11.875" style="146" customWidth="1"/>
    <col min="36" max="36" width="11.25" style="146" customWidth="1"/>
    <col min="37" max="37" width="11.5" style="146" customWidth="1"/>
    <col min="38" max="38" width="11.125" style="146" customWidth="1"/>
    <col min="39" max="39" width="11.875" style="146" customWidth="1"/>
    <col min="40" max="40" width="12.625" style="146" customWidth="1"/>
    <col min="41" max="41" width="12.875" style="146" customWidth="1"/>
    <col min="42" max="42" width="11.25" style="146" customWidth="1"/>
    <col min="43" max="43" width="12.25" style="146" customWidth="1"/>
    <col min="44" max="44" width="11.75" style="146" customWidth="1"/>
    <col min="45" max="45" width="13.875" style="146" customWidth="1"/>
    <col min="46" max="46" width="12.5" style="146" customWidth="1"/>
    <col min="47" max="47" width="11.75" style="146" customWidth="1"/>
    <col min="48" max="48" width="12.5" style="146" customWidth="1"/>
    <col min="49" max="49" width="11.75" style="146" customWidth="1"/>
    <col min="50" max="50" width="13.875" style="146" customWidth="1"/>
    <col min="51" max="51" width="13.5" style="146" customWidth="1"/>
    <col min="52" max="53" width="12.125" style="146" customWidth="1"/>
    <col min="54" max="54" width="11.75" style="146" customWidth="1"/>
    <col min="55" max="55" width="11.375" style="146" customWidth="1"/>
    <col min="56" max="56" width="12.25" style="146" customWidth="1"/>
    <col min="57" max="59" width="12.875" style="201" customWidth="1"/>
    <col min="60" max="62" width="10.375" style="146" customWidth="1"/>
    <col min="63" max="63" width="8.625" style="146" customWidth="1"/>
    <col min="64" max="66" width="12" style="146" customWidth="1"/>
    <col min="67" max="67" width="12.375" style="146" customWidth="1"/>
    <col min="68" max="68" width="13.125" style="146" customWidth="1"/>
    <col min="69" max="69" width="9.625" style="146" customWidth="1"/>
    <col min="70" max="70" width="13.125" style="146" customWidth="1"/>
    <col min="71" max="71" width="10.625" style="146" customWidth="1"/>
    <col min="72" max="72" width="12.25" style="146" customWidth="1"/>
    <col min="73" max="73" width="12.5" style="146" customWidth="1"/>
    <col min="74" max="74" width="13.375" style="146" customWidth="1"/>
    <col min="75" max="75" width="10.25" style="146" customWidth="1"/>
    <col min="76" max="76" width="11.5" style="146" customWidth="1"/>
    <col min="77" max="77" width="11.875" style="146" customWidth="1"/>
    <col min="78" max="78" width="14.125" style="146" customWidth="1"/>
    <col min="79" max="79" width="12.25" style="146" customWidth="1"/>
    <col min="80" max="80" width="9.625" style="146" customWidth="1"/>
    <col min="81" max="81" width="10.875" style="146" customWidth="1"/>
    <col min="82" max="82" width="10.75" style="146" customWidth="1"/>
    <col min="83" max="83" width="13.625" style="146" customWidth="1"/>
    <col min="84" max="86" width="9.625" style="146" customWidth="1"/>
    <col min="87" max="87" width="12" style="201" customWidth="1"/>
    <col min="88" max="88" width="12.125" style="201" customWidth="1"/>
    <col min="89" max="89" width="11.125" style="201" customWidth="1"/>
    <col min="90" max="90" width="11.875" style="146" customWidth="1"/>
    <col min="91" max="91" width="15.25" style="146" customWidth="1"/>
    <col min="92" max="92" width="12.25" style="146" customWidth="1"/>
    <col min="93" max="93" width="19.125" style="284" customWidth="1"/>
    <col min="94" max="95" width="13.375" style="331" customWidth="1"/>
    <col min="96" max="96" width="11.875" style="330" customWidth="1"/>
    <col min="97" max="97" width="11.875" style="285" customWidth="1"/>
    <col min="98" max="98" width="12" style="285" customWidth="1"/>
    <col min="99" max="100" width="11.625" style="285" customWidth="1"/>
    <col min="101" max="101" width="13.875" style="330" customWidth="1"/>
    <col min="102" max="103" width="11.75" style="285" customWidth="1"/>
    <col min="104" max="104" width="14.25" style="285" customWidth="1"/>
    <col min="105" max="107" width="12.5" style="285" customWidth="1"/>
    <col min="108" max="108" width="11.625" style="285" customWidth="1"/>
    <col min="109" max="110" width="12.125" style="285" customWidth="1"/>
    <col min="111" max="111" width="13.25" style="285" customWidth="1"/>
    <col min="112" max="112" width="9.75" style="285" customWidth="1"/>
    <col min="113" max="113" width="11.75" style="285" customWidth="1"/>
    <col min="114" max="116" width="11.125" style="285" customWidth="1"/>
    <col min="117" max="117" width="12.625" style="285" customWidth="1"/>
    <col min="118" max="118" width="10.5" style="285" customWidth="1"/>
    <col min="119" max="119" width="11.5" style="285" customWidth="1"/>
    <col min="120" max="121" width="12.25" style="285" customWidth="1"/>
    <col min="122" max="122" width="10.625" style="285" customWidth="1"/>
    <col min="123" max="123" width="12.25" style="285" customWidth="1"/>
    <col min="124" max="124" width="10.375" style="285" customWidth="1"/>
    <col min="125" max="126" width="12.25" style="285" customWidth="1"/>
    <col min="127" max="127" width="11.875" style="285" customWidth="1"/>
    <col min="128" max="128" width="13" style="285" customWidth="1"/>
    <col min="129" max="129" width="12.125" style="285" customWidth="1"/>
    <col min="130" max="130" width="12.25" style="285" customWidth="1"/>
    <col min="131" max="132" width="13" style="285" customWidth="1"/>
    <col min="133" max="133" width="12.375" style="285" customWidth="1"/>
    <col min="134" max="134" width="11.625" style="285" customWidth="1"/>
    <col min="135" max="135" width="12.125" style="285" customWidth="1"/>
    <col min="136" max="136" width="16" style="285" customWidth="1"/>
    <col min="137" max="137" width="11.625" style="285" customWidth="1"/>
    <col min="138" max="138" width="12" style="285" customWidth="1"/>
    <col min="139" max="139" width="11.75" style="285" customWidth="1"/>
    <col min="140" max="140" width="10.625" style="285" customWidth="1"/>
    <col min="141" max="141" width="14.875" style="285" customWidth="1"/>
    <col min="142" max="142" width="11.625" style="285" customWidth="1"/>
    <col min="143" max="143" width="11.875" style="285" customWidth="1"/>
    <col min="144" max="144" width="12.75" style="285" customWidth="1"/>
    <col min="145" max="146" width="12" style="285" customWidth="1"/>
    <col min="147" max="147" width="13" style="285" customWidth="1"/>
    <col min="148" max="148" width="14.375" style="330" customWidth="1"/>
    <col min="149" max="149" width="12.875" style="330" customWidth="1"/>
    <col min="150" max="150" width="13.625" style="330" customWidth="1"/>
    <col min="151" max="151" width="12.25" style="285" customWidth="1"/>
    <col min="152" max="152" width="11.875" style="285" customWidth="1"/>
    <col min="153" max="155" width="11" style="285" customWidth="1"/>
    <col min="156" max="156" width="12.5" style="285" customWidth="1"/>
    <col min="157" max="157" width="12.375" style="285" customWidth="1"/>
    <col min="158" max="158" width="11" style="285" customWidth="1"/>
    <col min="159" max="159" width="12.375" style="285" customWidth="1"/>
    <col min="160" max="160" width="11" style="285" customWidth="1"/>
    <col min="161" max="161" width="12.875" style="285" customWidth="1"/>
    <col min="162" max="162" width="11" style="285" customWidth="1"/>
    <col min="163" max="163" width="12" style="285" customWidth="1"/>
    <col min="164" max="165" width="12.25" style="285" customWidth="1"/>
    <col min="166" max="166" width="10" style="285" customWidth="1"/>
    <col min="167" max="168" width="11.875" style="285" customWidth="1"/>
    <col min="169" max="169" width="12.125" style="285" customWidth="1"/>
    <col min="170" max="170" width="13.25" style="285" customWidth="1"/>
    <col min="171" max="171" width="12" style="285" customWidth="1"/>
    <col min="172" max="172" width="10.625" style="285" customWidth="1"/>
    <col min="173" max="173" width="10.5" style="285" customWidth="1"/>
    <col min="174" max="174" width="13.375" style="285" customWidth="1"/>
    <col min="175" max="177" width="10.5" style="285" customWidth="1"/>
    <col min="178" max="180" width="10.5" style="330" customWidth="1"/>
    <col min="181" max="181" width="10.5" style="285" customWidth="1"/>
    <col min="182" max="182" width="11.375" style="285" customWidth="1"/>
    <col min="183" max="183" width="10.5" style="285" customWidth="1"/>
    <col min="184" max="184" width="13.125" style="331" customWidth="1"/>
    <col min="185" max="185" width="6.625" style="331" customWidth="1"/>
    <col min="186" max="186" width="7.875" style="331" customWidth="1"/>
    <col min="187" max="187" width="6.875" style="331" customWidth="1"/>
    <col min="188" max="188" width="6.125" style="331" customWidth="1"/>
    <col min="189" max="189" width="7.375" style="331" customWidth="1"/>
    <col min="190" max="16384" width="7.875" style="147"/>
  </cols>
  <sheetData>
    <row r="1" spans="1:189" ht="16.5" hidden="1" customHeight="1">
      <c r="GE1" s="338" t="s">
        <v>334</v>
      </c>
      <c r="GF1" s="338"/>
      <c r="GG1" s="338"/>
    </row>
    <row r="2" spans="1:189" ht="23.25" hidden="1" customHeight="1">
      <c r="A2" s="954" t="s">
        <v>739</v>
      </c>
      <c r="B2" s="954"/>
      <c r="C2" s="954"/>
      <c r="D2" s="954"/>
      <c r="E2" s="954"/>
      <c r="F2" s="954"/>
      <c r="G2" s="954"/>
      <c r="H2" s="954"/>
      <c r="I2" s="954"/>
      <c r="J2" s="954"/>
      <c r="K2" s="954"/>
      <c r="L2" s="954"/>
      <c r="M2" s="954"/>
      <c r="N2" s="954"/>
      <c r="O2" s="954"/>
      <c r="P2" s="954"/>
      <c r="Q2" s="954"/>
      <c r="R2" s="954"/>
      <c r="S2" s="954"/>
      <c r="T2" s="954"/>
      <c r="U2" s="954"/>
      <c r="V2" s="954"/>
      <c r="W2" s="954"/>
      <c r="X2" s="954"/>
      <c r="Y2" s="954"/>
      <c r="Z2" s="954"/>
      <c r="AA2" s="954"/>
      <c r="AB2" s="954"/>
      <c r="AC2" s="954"/>
      <c r="AD2" s="954"/>
      <c r="AE2" s="954"/>
      <c r="AF2" s="954"/>
      <c r="AG2" s="954"/>
      <c r="AH2" s="954"/>
      <c r="AI2" s="954"/>
      <c r="AJ2" s="954"/>
      <c r="AK2" s="954"/>
      <c r="AL2" s="954"/>
      <c r="AM2" s="954"/>
      <c r="AN2" s="954"/>
      <c r="AO2" s="954"/>
      <c r="AP2" s="954"/>
      <c r="AQ2" s="954"/>
      <c r="AR2" s="954"/>
      <c r="AS2" s="954"/>
      <c r="AT2" s="954"/>
      <c r="AU2" s="954"/>
      <c r="AV2" s="954"/>
      <c r="AW2" s="954"/>
      <c r="AX2" s="954"/>
      <c r="AY2" s="954"/>
      <c r="AZ2" s="954"/>
      <c r="BA2" s="954"/>
      <c r="BB2" s="954"/>
      <c r="BC2" s="954"/>
      <c r="BD2" s="954"/>
      <c r="BE2" s="954"/>
      <c r="BF2" s="954"/>
      <c r="BG2" s="954"/>
      <c r="BH2" s="954"/>
      <c r="BI2" s="954"/>
      <c r="BJ2" s="954"/>
      <c r="BK2" s="954"/>
      <c r="BL2" s="954"/>
      <c r="BM2" s="954"/>
      <c r="BN2" s="954"/>
      <c r="BO2" s="954"/>
      <c r="BP2" s="954"/>
      <c r="BQ2" s="954"/>
      <c r="BR2" s="954"/>
      <c r="BS2" s="954"/>
      <c r="BT2" s="954"/>
      <c r="BU2" s="954"/>
      <c r="BV2" s="954"/>
      <c r="BW2" s="954"/>
      <c r="BX2" s="954"/>
      <c r="BY2" s="954"/>
      <c r="BZ2" s="954"/>
      <c r="CA2" s="954"/>
      <c r="CB2" s="954"/>
      <c r="CC2" s="954"/>
      <c r="CD2" s="954"/>
      <c r="CE2" s="954"/>
      <c r="CF2" s="954"/>
      <c r="CG2" s="954"/>
      <c r="CH2" s="954"/>
      <c r="CI2" s="954"/>
      <c r="CJ2" s="954"/>
      <c r="CK2" s="954"/>
      <c r="CL2" s="954"/>
      <c r="CM2" s="954"/>
      <c r="CN2" s="954"/>
      <c r="CO2" s="954"/>
      <c r="CP2" s="954"/>
      <c r="CQ2" s="954"/>
      <c r="CR2" s="954"/>
      <c r="CS2" s="954"/>
      <c r="CT2" s="954"/>
      <c r="CU2" s="954"/>
      <c r="CV2" s="954"/>
      <c r="CW2" s="954"/>
      <c r="CX2" s="954"/>
      <c r="CY2" s="954"/>
      <c r="CZ2" s="954"/>
      <c r="DA2" s="954"/>
      <c r="DB2" s="954"/>
      <c r="DC2" s="954"/>
      <c r="DD2" s="954"/>
      <c r="DE2" s="954"/>
      <c r="DF2" s="954"/>
      <c r="DG2" s="954"/>
      <c r="DH2" s="954"/>
      <c r="DI2" s="954"/>
      <c r="DJ2" s="954"/>
      <c r="DK2" s="954"/>
      <c r="DL2" s="954"/>
      <c r="DM2" s="954"/>
      <c r="DN2" s="954"/>
      <c r="DO2" s="954"/>
      <c r="DP2" s="954"/>
      <c r="DQ2" s="954"/>
      <c r="DR2" s="954"/>
      <c r="DS2" s="954"/>
      <c r="DT2" s="954"/>
      <c r="DU2" s="954"/>
      <c r="DV2" s="954"/>
      <c r="DW2" s="954"/>
      <c r="DX2" s="954"/>
      <c r="DY2" s="954"/>
      <c r="DZ2" s="954"/>
      <c r="EA2" s="954"/>
      <c r="EB2" s="954"/>
      <c r="EC2" s="954"/>
      <c r="ED2" s="954"/>
      <c r="EE2" s="954"/>
      <c r="EF2" s="954"/>
      <c r="EG2" s="954"/>
      <c r="EH2" s="954"/>
      <c r="EI2" s="954"/>
      <c r="EJ2" s="954"/>
      <c r="EK2" s="954"/>
      <c r="EL2" s="954"/>
      <c r="EM2" s="954"/>
      <c r="EN2" s="954"/>
      <c r="EO2" s="954"/>
      <c r="EP2" s="954"/>
      <c r="EQ2" s="954"/>
      <c r="ER2" s="954"/>
      <c r="ES2" s="954"/>
      <c r="ET2" s="954"/>
      <c r="EU2" s="954"/>
      <c r="EV2" s="954"/>
      <c r="EW2" s="954"/>
      <c r="EX2" s="954"/>
      <c r="EY2" s="954"/>
      <c r="EZ2" s="954"/>
      <c r="FA2" s="954"/>
      <c r="FB2" s="954"/>
      <c r="FC2" s="954"/>
      <c r="FD2" s="954"/>
      <c r="FE2" s="954"/>
      <c r="FF2" s="954"/>
      <c r="FG2" s="954"/>
      <c r="FH2" s="954"/>
      <c r="FI2" s="954"/>
      <c r="FJ2" s="954"/>
      <c r="FK2" s="954"/>
      <c r="FL2" s="954"/>
      <c r="FM2" s="954"/>
      <c r="FN2" s="954"/>
      <c r="FO2" s="954"/>
      <c r="FP2" s="954"/>
      <c r="FQ2" s="954"/>
      <c r="FR2" s="954"/>
      <c r="FS2" s="954"/>
      <c r="FT2" s="954"/>
      <c r="FU2" s="954"/>
      <c r="FV2" s="954"/>
      <c r="FW2" s="954"/>
      <c r="FX2" s="954"/>
      <c r="FY2" s="954"/>
      <c r="FZ2" s="954"/>
      <c r="GA2" s="954"/>
      <c r="GB2" s="954"/>
      <c r="GC2" s="954"/>
      <c r="GD2" s="954"/>
      <c r="GE2" s="954"/>
      <c r="GF2" s="954"/>
      <c r="GG2" s="954"/>
    </row>
    <row r="3" spans="1:189" ht="20.25" hidden="1" customHeight="1">
      <c r="A3" s="955" t="str">
        <f>'B48'!A3</f>
        <v>(Kèm theo Báo cáo số  289/BC-UBND ngày  17 /6 /2024 của UBND huyện Tuần Giáo)</v>
      </c>
      <c r="B3" s="955"/>
      <c r="C3" s="955"/>
      <c r="D3" s="955"/>
      <c r="E3" s="955"/>
      <c r="F3" s="955"/>
      <c r="G3" s="955"/>
      <c r="H3" s="955"/>
      <c r="I3" s="955"/>
      <c r="J3" s="955"/>
      <c r="K3" s="955"/>
      <c r="L3" s="955"/>
      <c r="M3" s="955"/>
      <c r="N3" s="955"/>
      <c r="O3" s="955"/>
      <c r="P3" s="955"/>
      <c r="Q3" s="955"/>
      <c r="R3" s="955"/>
      <c r="S3" s="955"/>
      <c r="T3" s="955"/>
      <c r="U3" s="955"/>
      <c r="V3" s="955"/>
      <c r="W3" s="955"/>
      <c r="X3" s="955"/>
      <c r="Y3" s="955"/>
      <c r="Z3" s="955"/>
      <c r="AA3" s="955"/>
      <c r="AB3" s="955"/>
      <c r="AC3" s="955"/>
      <c r="AD3" s="955"/>
      <c r="AE3" s="955"/>
      <c r="AF3" s="955"/>
      <c r="AG3" s="955"/>
      <c r="AH3" s="955"/>
      <c r="AI3" s="955"/>
      <c r="AJ3" s="955"/>
      <c r="AK3" s="955"/>
      <c r="AL3" s="955"/>
      <c r="AM3" s="955"/>
      <c r="AN3" s="955"/>
      <c r="AO3" s="955"/>
      <c r="AP3" s="955"/>
      <c r="AQ3" s="955"/>
      <c r="AR3" s="955"/>
      <c r="AS3" s="955"/>
      <c r="AT3" s="955"/>
      <c r="AU3" s="955"/>
      <c r="AV3" s="955"/>
      <c r="AW3" s="955"/>
      <c r="AX3" s="955"/>
      <c r="AY3" s="955"/>
      <c r="AZ3" s="955"/>
      <c r="BA3" s="955"/>
      <c r="BB3" s="955"/>
      <c r="BC3" s="955"/>
      <c r="BD3" s="955"/>
      <c r="BE3" s="955"/>
      <c r="BF3" s="955"/>
      <c r="BG3" s="955"/>
      <c r="BH3" s="955"/>
      <c r="BI3" s="955"/>
      <c r="BJ3" s="955"/>
      <c r="BK3" s="955"/>
      <c r="BL3" s="955"/>
      <c r="BM3" s="955"/>
      <c r="BN3" s="955"/>
      <c r="BO3" s="955"/>
      <c r="BP3" s="955"/>
      <c r="BQ3" s="955"/>
      <c r="BR3" s="955"/>
      <c r="BS3" s="955"/>
      <c r="BT3" s="955"/>
      <c r="BU3" s="955"/>
      <c r="BV3" s="955"/>
      <c r="BW3" s="955"/>
      <c r="BX3" s="955"/>
      <c r="BY3" s="955"/>
      <c r="BZ3" s="955"/>
      <c r="CA3" s="955"/>
      <c r="CB3" s="955"/>
      <c r="CC3" s="955"/>
      <c r="CD3" s="955"/>
      <c r="CE3" s="955"/>
      <c r="CF3" s="955"/>
      <c r="CG3" s="955"/>
      <c r="CH3" s="955"/>
      <c r="CI3" s="955"/>
      <c r="CJ3" s="955"/>
      <c r="CK3" s="955"/>
      <c r="CL3" s="955"/>
      <c r="CM3" s="955"/>
      <c r="CN3" s="955"/>
      <c r="CO3" s="955"/>
      <c r="CP3" s="955"/>
      <c r="CQ3" s="955"/>
      <c r="CR3" s="955"/>
      <c r="CS3" s="955"/>
      <c r="CT3" s="955"/>
      <c r="CU3" s="955"/>
      <c r="CV3" s="955"/>
      <c r="CW3" s="955"/>
      <c r="CX3" s="955"/>
      <c r="CY3" s="955"/>
      <c r="CZ3" s="955"/>
      <c r="DA3" s="955"/>
      <c r="DB3" s="955"/>
      <c r="DC3" s="955"/>
      <c r="DD3" s="955"/>
      <c r="DE3" s="955"/>
      <c r="DF3" s="955"/>
      <c r="DG3" s="955"/>
      <c r="DH3" s="955"/>
      <c r="DI3" s="955"/>
      <c r="DJ3" s="955"/>
      <c r="DK3" s="955"/>
      <c r="DL3" s="955"/>
      <c r="DM3" s="955"/>
      <c r="DN3" s="955"/>
      <c r="DO3" s="955"/>
      <c r="DP3" s="955"/>
      <c r="DQ3" s="955"/>
      <c r="DR3" s="955"/>
      <c r="DS3" s="955"/>
      <c r="DT3" s="955"/>
      <c r="DU3" s="955"/>
      <c r="DV3" s="955"/>
      <c r="DW3" s="955"/>
      <c r="DX3" s="955"/>
      <c r="DY3" s="955"/>
      <c r="DZ3" s="955"/>
      <c r="EA3" s="955"/>
      <c r="EB3" s="955"/>
      <c r="EC3" s="955"/>
      <c r="ED3" s="955"/>
      <c r="EE3" s="955"/>
      <c r="EF3" s="955"/>
      <c r="EG3" s="955"/>
      <c r="EH3" s="955"/>
      <c r="EI3" s="955"/>
      <c r="EJ3" s="955"/>
      <c r="EK3" s="955"/>
      <c r="EL3" s="955"/>
      <c r="EM3" s="955"/>
      <c r="EN3" s="955"/>
      <c r="EO3" s="955"/>
      <c r="EP3" s="955"/>
      <c r="EQ3" s="955"/>
      <c r="ER3" s="955"/>
      <c r="ES3" s="955"/>
      <c r="ET3" s="955"/>
      <c r="EU3" s="955"/>
      <c r="EV3" s="955"/>
      <c r="EW3" s="955"/>
      <c r="EX3" s="955"/>
      <c r="EY3" s="955"/>
      <c r="EZ3" s="955"/>
      <c r="FA3" s="955"/>
      <c r="FB3" s="955"/>
      <c r="FC3" s="955"/>
      <c r="FD3" s="955"/>
      <c r="FE3" s="955"/>
      <c r="FF3" s="955"/>
      <c r="FG3" s="955"/>
      <c r="FH3" s="955"/>
      <c r="FI3" s="955"/>
      <c r="FJ3" s="955"/>
      <c r="FK3" s="955"/>
      <c r="FL3" s="955"/>
      <c r="FM3" s="955"/>
      <c r="FN3" s="955"/>
      <c r="FO3" s="955"/>
      <c r="FP3" s="955"/>
      <c r="FQ3" s="955"/>
      <c r="FR3" s="955"/>
      <c r="FS3" s="955"/>
      <c r="FT3" s="955"/>
      <c r="FU3" s="955"/>
      <c r="FV3" s="955"/>
      <c r="FW3" s="955"/>
      <c r="FX3" s="955"/>
      <c r="FY3" s="955"/>
      <c r="FZ3" s="955"/>
      <c r="GA3" s="955"/>
      <c r="GB3" s="955"/>
      <c r="GC3" s="955"/>
      <c r="GD3" s="955"/>
      <c r="GE3" s="955"/>
      <c r="GF3" s="955"/>
      <c r="GG3" s="955"/>
    </row>
    <row r="4" spans="1:189" ht="18" hidden="1" customHeight="1">
      <c r="L4" s="148"/>
      <c r="Q4" s="149"/>
      <c r="R4" s="149"/>
      <c r="S4" s="149"/>
      <c r="U4" s="149"/>
      <c r="V4" s="147"/>
      <c r="W4" s="150"/>
      <c r="X4" s="150"/>
      <c r="Y4" s="150"/>
      <c r="Z4" s="150"/>
      <c r="CJ4" s="956"/>
      <c r="CK4" s="956"/>
      <c r="GD4" s="339"/>
      <c r="GE4" s="340" t="s">
        <v>427</v>
      </c>
    </row>
    <row r="5" spans="1:189" s="102" customFormat="1" ht="14.25" customHeight="1">
      <c r="A5" s="910" t="s">
        <v>51</v>
      </c>
      <c r="B5" s="910" t="s">
        <v>151</v>
      </c>
      <c r="C5" s="934" t="s">
        <v>359</v>
      </c>
      <c r="D5" s="935"/>
      <c r="E5" s="957"/>
      <c r="F5" s="957"/>
      <c r="G5" s="957"/>
      <c r="H5" s="957"/>
      <c r="I5" s="957"/>
      <c r="J5" s="957"/>
      <c r="K5" s="957"/>
      <c r="L5" s="957"/>
      <c r="M5" s="957"/>
      <c r="N5" s="957"/>
      <c r="O5" s="957"/>
      <c r="P5" s="957"/>
      <c r="Q5" s="957"/>
      <c r="R5" s="957"/>
      <c r="S5" s="957"/>
      <c r="T5" s="957"/>
      <c r="U5" s="957"/>
      <c r="V5" s="957"/>
      <c r="W5" s="957"/>
      <c r="X5" s="957"/>
      <c r="Y5" s="957"/>
      <c r="Z5" s="957"/>
      <c r="AA5" s="957"/>
      <c r="AB5" s="957"/>
      <c r="AC5" s="957"/>
      <c r="AD5" s="957"/>
      <c r="AE5" s="957"/>
      <c r="AF5" s="957"/>
      <c r="AG5" s="957"/>
      <c r="AH5" s="957"/>
      <c r="AI5" s="957"/>
      <c r="AJ5" s="957"/>
      <c r="AK5" s="957"/>
      <c r="AL5" s="957"/>
      <c r="AM5" s="957"/>
      <c r="AN5" s="957"/>
      <c r="AO5" s="957"/>
      <c r="AP5" s="957"/>
      <c r="AQ5" s="957"/>
      <c r="AR5" s="957"/>
      <c r="AS5" s="957"/>
      <c r="AT5" s="957"/>
      <c r="AU5" s="957"/>
      <c r="AV5" s="957"/>
      <c r="AW5" s="957"/>
      <c r="AX5" s="957"/>
      <c r="AY5" s="957"/>
      <c r="AZ5" s="957"/>
      <c r="BA5" s="957"/>
      <c r="BB5" s="957"/>
      <c r="BC5" s="957"/>
      <c r="BD5" s="957"/>
      <c r="BE5" s="957"/>
      <c r="BF5" s="957"/>
      <c r="BG5" s="957"/>
      <c r="BH5" s="957"/>
      <c r="BI5" s="957"/>
      <c r="BJ5" s="957"/>
      <c r="BK5" s="957"/>
      <c r="BL5" s="957"/>
      <c r="BM5" s="957"/>
      <c r="BN5" s="957"/>
      <c r="BO5" s="957"/>
      <c r="BP5" s="957"/>
      <c r="BQ5" s="957"/>
      <c r="BR5" s="957"/>
      <c r="BS5" s="957"/>
      <c r="BT5" s="957"/>
      <c r="BU5" s="957"/>
      <c r="BV5" s="957"/>
      <c r="BW5" s="957"/>
      <c r="BX5" s="957"/>
      <c r="BY5" s="957"/>
      <c r="BZ5" s="957"/>
      <c r="CA5" s="957"/>
      <c r="CB5" s="957"/>
      <c r="CC5" s="957"/>
      <c r="CD5" s="957"/>
      <c r="CE5" s="957"/>
      <c r="CF5" s="957"/>
      <c r="CG5" s="957"/>
      <c r="CH5" s="957"/>
      <c r="CI5" s="957"/>
      <c r="CJ5" s="957"/>
      <c r="CK5" s="957"/>
      <c r="CL5" s="957"/>
      <c r="CM5" s="957"/>
      <c r="CN5" s="958"/>
      <c r="CO5" s="959" t="s">
        <v>151</v>
      </c>
      <c r="CP5" s="961" t="s">
        <v>360</v>
      </c>
      <c r="CQ5" s="962"/>
      <c r="CR5" s="962"/>
      <c r="CS5" s="962"/>
      <c r="CT5" s="962"/>
      <c r="CU5" s="962"/>
      <c r="CV5" s="962"/>
      <c r="CW5" s="962"/>
      <c r="CX5" s="962"/>
      <c r="CY5" s="962"/>
      <c r="CZ5" s="962"/>
      <c r="DA5" s="962"/>
      <c r="DB5" s="962"/>
      <c r="DC5" s="962"/>
      <c r="DD5" s="962"/>
      <c r="DE5" s="962"/>
      <c r="DF5" s="962"/>
      <c r="DG5" s="962"/>
      <c r="DH5" s="962"/>
      <c r="DI5" s="962"/>
      <c r="DJ5" s="962"/>
      <c r="DK5" s="962"/>
      <c r="DL5" s="962"/>
      <c r="DM5" s="962"/>
      <c r="DN5" s="962"/>
      <c r="DO5" s="962"/>
      <c r="DP5" s="962"/>
      <c r="DQ5" s="962"/>
      <c r="DR5" s="962"/>
      <c r="DS5" s="962"/>
      <c r="DT5" s="962"/>
      <c r="DU5" s="962"/>
      <c r="DV5" s="962"/>
      <c r="DW5" s="962"/>
      <c r="DX5" s="962"/>
      <c r="DY5" s="962"/>
      <c r="DZ5" s="962"/>
      <c r="EA5" s="962"/>
      <c r="EB5" s="962"/>
      <c r="EC5" s="962"/>
      <c r="ED5" s="962"/>
      <c r="EE5" s="962"/>
      <c r="EF5" s="962"/>
      <c r="EG5" s="962"/>
      <c r="EH5" s="962"/>
      <c r="EI5" s="962"/>
      <c r="EJ5" s="962"/>
      <c r="EK5" s="962"/>
      <c r="EL5" s="962"/>
      <c r="EM5" s="962"/>
      <c r="EN5" s="962"/>
      <c r="EO5" s="962"/>
      <c r="EP5" s="962"/>
      <c r="EQ5" s="962"/>
      <c r="ER5" s="962"/>
      <c r="ES5" s="962"/>
      <c r="ET5" s="962"/>
      <c r="EU5" s="962"/>
      <c r="EV5" s="962"/>
      <c r="EW5" s="962"/>
      <c r="EX5" s="962"/>
      <c r="EY5" s="962"/>
      <c r="EZ5" s="962"/>
      <c r="FA5" s="962"/>
      <c r="FB5" s="962"/>
      <c r="FC5" s="962"/>
      <c r="FD5" s="962"/>
      <c r="FE5" s="962"/>
      <c r="FF5" s="962"/>
      <c r="FG5" s="962"/>
      <c r="FH5" s="962"/>
      <c r="FI5" s="962"/>
      <c r="FJ5" s="962"/>
      <c r="FK5" s="962"/>
      <c r="FL5" s="962"/>
      <c r="FM5" s="962"/>
      <c r="FN5" s="962"/>
      <c r="FO5" s="962"/>
      <c r="FP5" s="962"/>
      <c r="FQ5" s="962"/>
      <c r="FR5" s="962"/>
      <c r="FS5" s="962"/>
      <c r="FT5" s="962"/>
      <c r="FU5" s="962"/>
      <c r="FV5" s="962"/>
      <c r="FW5" s="962"/>
      <c r="FX5" s="962"/>
      <c r="FY5" s="962"/>
      <c r="FZ5" s="962"/>
      <c r="GA5" s="962"/>
      <c r="GB5" s="963"/>
      <c r="GC5" s="964" t="s">
        <v>75</v>
      </c>
      <c r="GD5" s="964"/>
      <c r="GE5" s="964"/>
      <c r="GF5" s="964"/>
      <c r="GG5" s="964"/>
    </row>
    <row r="6" spans="1:189" s="103" customFormat="1" ht="25.5" customHeight="1">
      <c r="A6" s="911"/>
      <c r="B6" s="911"/>
      <c r="C6" s="965" t="s">
        <v>382</v>
      </c>
      <c r="D6" s="948" t="s">
        <v>542</v>
      </c>
      <c r="E6" s="949"/>
      <c r="F6" s="949"/>
      <c r="G6" s="949"/>
      <c r="H6" s="949"/>
      <c r="I6" s="949"/>
      <c r="J6" s="950"/>
      <c r="K6" s="916" t="s">
        <v>310</v>
      </c>
      <c r="L6" s="916" t="s">
        <v>311</v>
      </c>
      <c r="M6" s="916" t="s">
        <v>152</v>
      </c>
      <c r="N6" s="916"/>
      <c r="O6" s="916"/>
      <c r="P6" s="916"/>
      <c r="Q6" s="916"/>
      <c r="R6" s="916"/>
      <c r="S6" s="916"/>
      <c r="T6" s="916"/>
      <c r="U6" s="916"/>
      <c r="V6" s="916"/>
      <c r="W6" s="916"/>
      <c r="X6" s="916"/>
      <c r="Y6" s="916"/>
      <c r="Z6" s="916"/>
      <c r="AA6" s="910" t="s">
        <v>746</v>
      </c>
      <c r="AB6" s="910" t="s">
        <v>202</v>
      </c>
      <c r="AC6" s="910" t="s">
        <v>153</v>
      </c>
      <c r="AD6" s="910" t="s">
        <v>154</v>
      </c>
      <c r="AE6" s="910" t="s">
        <v>155</v>
      </c>
      <c r="AF6" s="916" t="s">
        <v>384</v>
      </c>
      <c r="AG6" s="916"/>
      <c r="AH6" s="916"/>
      <c r="AI6" s="916"/>
      <c r="AJ6" s="916" t="s">
        <v>156</v>
      </c>
      <c r="AK6" s="916"/>
      <c r="AL6" s="916"/>
      <c r="AM6" s="916"/>
      <c r="AN6" s="916"/>
      <c r="AO6" s="916"/>
      <c r="AP6" s="916"/>
      <c r="AQ6" s="916"/>
      <c r="AR6" s="916"/>
      <c r="AS6" s="916"/>
      <c r="AT6" s="916"/>
      <c r="AU6" s="916"/>
      <c r="AV6" s="916"/>
      <c r="AW6" s="916"/>
      <c r="AX6" s="916"/>
      <c r="AY6" s="916"/>
      <c r="AZ6" s="910" t="s">
        <v>157</v>
      </c>
      <c r="BA6" s="910" t="s">
        <v>515</v>
      </c>
      <c r="BB6" s="910" t="s">
        <v>313</v>
      </c>
      <c r="BC6" s="910" t="s">
        <v>742</v>
      </c>
      <c r="BD6" s="910" t="s">
        <v>747</v>
      </c>
      <c r="BE6" s="1010" t="s">
        <v>363</v>
      </c>
      <c r="BF6" s="1010"/>
      <c r="BG6" s="1010"/>
      <c r="BH6" s="916" t="s">
        <v>493</v>
      </c>
      <c r="BI6" s="916"/>
      <c r="BJ6" s="916" t="s">
        <v>516</v>
      </c>
      <c r="BK6" s="916"/>
      <c r="BL6" s="927" t="s">
        <v>533</v>
      </c>
      <c r="BM6" s="928"/>
      <c r="BN6" s="928"/>
      <c r="BO6" s="928"/>
      <c r="BP6" s="928"/>
      <c r="BQ6" s="928"/>
      <c r="BR6" s="928"/>
      <c r="BS6" s="928"/>
      <c r="BT6" s="928"/>
      <c r="BU6" s="928"/>
      <c r="BV6" s="947"/>
      <c r="BW6" s="916" t="s">
        <v>535</v>
      </c>
      <c r="BX6" s="916"/>
      <c r="BY6" s="916"/>
      <c r="BZ6" s="916"/>
      <c r="CA6" s="916"/>
      <c r="CB6" s="916"/>
      <c r="CC6" s="916"/>
      <c r="CD6" s="916"/>
      <c r="CE6" s="916" t="s">
        <v>536</v>
      </c>
      <c r="CF6" s="916"/>
      <c r="CG6" s="916"/>
      <c r="CH6" s="916"/>
      <c r="CI6" s="968" t="s">
        <v>362</v>
      </c>
      <c r="CJ6" s="969"/>
      <c r="CK6" s="970"/>
      <c r="CL6" s="153" t="s">
        <v>308</v>
      </c>
      <c r="CM6" s="919" t="s">
        <v>309</v>
      </c>
      <c r="CN6" s="919"/>
      <c r="CO6" s="960"/>
      <c r="CP6" s="1017" t="s">
        <v>382</v>
      </c>
      <c r="CQ6" s="1011" t="s">
        <v>542</v>
      </c>
      <c r="CR6" s="1012"/>
      <c r="CS6" s="1012"/>
      <c r="CT6" s="1012"/>
      <c r="CU6" s="1012"/>
      <c r="CV6" s="1012"/>
      <c r="CW6" s="1013"/>
      <c r="CX6" s="979" t="s">
        <v>310</v>
      </c>
      <c r="CY6" s="979" t="s">
        <v>311</v>
      </c>
      <c r="CZ6" s="979" t="s">
        <v>152</v>
      </c>
      <c r="DA6" s="979"/>
      <c r="DB6" s="979"/>
      <c r="DC6" s="979"/>
      <c r="DD6" s="979"/>
      <c r="DE6" s="979"/>
      <c r="DF6" s="979"/>
      <c r="DG6" s="979"/>
      <c r="DH6" s="979"/>
      <c r="DI6" s="979"/>
      <c r="DJ6" s="979"/>
      <c r="DK6" s="979"/>
      <c r="DL6" s="979"/>
      <c r="DM6" s="979"/>
      <c r="DN6" s="959" t="s">
        <v>746</v>
      </c>
      <c r="DO6" s="959" t="s">
        <v>202</v>
      </c>
      <c r="DP6" s="959" t="s">
        <v>153</v>
      </c>
      <c r="DQ6" s="959" t="s">
        <v>154</v>
      </c>
      <c r="DR6" s="959" t="s">
        <v>155</v>
      </c>
      <c r="DS6" s="979" t="s">
        <v>384</v>
      </c>
      <c r="DT6" s="979"/>
      <c r="DU6" s="979"/>
      <c r="DV6" s="979"/>
      <c r="DW6" s="979" t="s">
        <v>156</v>
      </c>
      <c r="DX6" s="979"/>
      <c r="DY6" s="979"/>
      <c r="DZ6" s="979"/>
      <c r="EA6" s="979"/>
      <c r="EB6" s="979"/>
      <c r="EC6" s="979"/>
      <c r="ED6" s="979"/>
      <c r="EE6" s="979"/>
      <c r="EF6" s="979"/>
      <c r="EG6" s="979"/>
      <c r="EH6" s="979"/>
      <c r="EI6" s="979"/>
      <c r="EJ6" s="979"/>
      <c r="EK6" s="979"/>
      <c r="EL6" s="979"/>
      <c r="EM6" s="959" t="s">
        <v>157</v>
      </c>
      <c r="EN6" s="959" t="s">
        <v>515</v>
      </c>
      <c r="EO6" s="959" t="s">
        <v>313</v>
      </c>
      <c r="EP6" s="959" t="s">
        <v>744</v>
      </c>
      <c r="EQ6" s="959" t="s">
        <v>747</v>
      </c>
      <c r="ER6" s="982" t="s">
        <v>363</v>
      </c>
      <c r="ES6" s="982"/>
      <c r="ET6" s="982"/>
      <c r="EU6" s="979" t="s">
        <v>493</v>
      </c>
      <c r="EV6" s="979"/>
      <c r="EW6" s="979" t="s">
        <v>516</v>
      </c>
      <c r="EX6" s="979"/>
      <c r="EY6" s="980" t="s">
        <v>533</v>
      </c>
      <c r="EZ6" s="981"/>
      <c r="FA6" s="981"/>
      <c r="FB6" s="981"/>
      <c r="FC6" s="981"/>
      <c r="FD6" s="981"/>
      <c r="FE6" s="981"/>
      <c r="FF6" s="981"/>
      <c r="FG6" s="981"/>
      <c r="FH6" s="981"/>
      <c r="FI6" s="988"/>
      <c r="FJ6" s="979" t="s">
        <v>535</v>
      </c>
      <c r="FK6" s="979"/>
      <c r="FL6" s="979"/>
      <c r="FM6" s="979"/>
      <c r="FN6" s="979"/>
      <c r="FO6" s="979"/>
      <c r="FP6" s="979"/>
      <c r="FQ6" s="979"/>
      <c r="FR6" s="979" t="s">
        <v>536</v>
      </c>
      <c r="FS6" s="979"/>
      <c r="FT6" s="979"/>
      <c r="FU6" s="979"/>
      <c r="FV6" s="1002" t="s">
        <v>362</v>
      </c>
      <c r="FW6" s="1003"/>
      <c r="FX6" s="1004"/>
      <c r="FY6" s="265" t="s">
        <v>308</v>
      </c>
      <c r="FZ6" s="974" t="s">
        <v>309</v>
      </c>
      <c r="GA6" s="975"/>
      <c r="GB6" s="999" t="s">
        <v>361</v>
      </c>
      <c r="GC6" s="983" t="s">
        <v>67</v>
      </c>
      <c r="GD6" s="983" t="s">
        <v>428</v>
      </c>
      <c r="GE6" s="992" t="s">
        <v>429</v>
      </c>
      <c r="GF6" s="983" t="s">
        <v>431</v>
      </c>
      <c r="GG6" s="983" t="s">
        <v>430</v>
      </c>
    </row>
    <row r="7" spans="1:189" s="103" customFormat="1" ht="16.5" customHeight="1">
      <c r="A7" s="911"/>
      <c r="B7" s="911"/>
      <c r="C7" s="965"/>
      <c r="D7" s="951"/>
      <c r="E7" s="952"/>
      <c r="F7" s="952"/>
      <c r="G7" s="952"/>
      <c r="H7" s="952"/>
      <c r="I7" s="952"/>
      <c r="J7" s="953"/>
      <c r="K7" s="916"/>
      <c r="L7" s="916"/>
      <c r="M7" s="916" t="s">
        <v>161</v>
      </c>
      <c r="N7" s="916"/>
      <c r="O7" s="916"/>
      <c r="P7" s="916"/>
      <c r="Q7" s="916"/>
      <c r="R7" s="916"/>
      <c r="S7" s="916"/>
      <c r="T7" s="916"/>
      <c r="U7" s="916"/>
      <c r="V7" s="916" t="s">
        <v>162</v>
      </c>
      <c r="W7" s="916"/>
      <c r="X7" s="916"/>
      <c r="Y7" s="916"/>
      <c r="Z7" s="916"/>
      <c r="AA7" s="911"/>
      <c r="AB7" s="911"/>
      <c r="AC7" s="911"/>
      <c r="AD7" s="911" t="s">
        <v>163</v>
      </c>
      <c r="AE7" s="911" t="s">
        <v>163</v>
      </c>
      <c r="AF7" s="910" t="s">
        <v>164</v>
      </c>
      <c r="AG7" s="910" t="s">
        <v>165</v>
      </c>
      <c r="AH7" s="910" t="s">
        <v>519</v>
      </c>
      <c r="AI7" s="910" t="s">
        <v>166</v>
      </c>
      <c r="AJ7" s="916" t="s">
        <v>167</v>
      </c>
      <c r="AK7" s="916"/>
      <c r="AL7" s="916"/>
      <c r="AM7" s="916" t="s">
        <v>168</v>
      </c>
      <c r="AN7" s="916"/>
      <c r="AO7" s="325" t="s">
        <v>169</v>
      </c>
      <c r="AP7" s="104" t="s">
        <v>520</v>
      </c>
      <c r="AQ7" s="927" t="s">
        <v>170</v>
      </c>
      <c r="AR7" s="928"/>
      <c r="AS7" s="928"/>
      <c r="AT7" s="928"/>
      <c r="AU7" s="928"/>
      <c r="AV7" s="928"/>
      <c r="AW7" s="928"/>
      <c r="AX7" s="928"/>
      <c r="AY7" s="928"/>
      <c r="AZ7" s="911"/>
      <c r="BA7" s="911"/>
      <c r="BB7" s="911" t="s">
        <v>171</v>
      </c>
      <c r="BC7" s="911"/>
      <c r="BD7" s="911"/>
      <c r="BE7" s="1010"/>
      <c r="BF7" s="1010"/>
      <c r="BG7" s="1010"/>
      <c r="BH7" s="919" t="s">
        <v>308</v>
      </c>
      <c r="BI7" s="919"/>
      <c r="BJ7" s="153" t="s">
        <v>308</v>
      </c>
      <c r="BK7" s="104" t="s">
        <v>492</v>
      </c>
      <c r="BL7" s="920" t="s">
        <v>308</v>
      </c>
      <c r="BM7" s="929"/>
      <c r="BN7" s="930"/>
      <c r="BO7" s="919" t="s">
        <v>309</v>
      </c>
      <c r="BP7" s="919"/>
      <c r="BQ7" s="919"/>
      <c r="BR7" s="919"/>
      <c r="BS7" s="919"/>
      <c r="BT7" s="919"/>
      <c r="BU7" s="919"/>
      <c r="BV7" s="919"/>
      <c r="BW7" s="104" t="s">
        <v>308</v>
      </c>
      <c r="BX7" s="919" t="s">
        <v>309</v>
      </c>
      <c r="BY7" s="919"/>
      <c r="BZ7" s="919"/>
      <c r="CA7" s="919"/>
      <c r="CB7" s="919"/>
      <c r="CC7" s="919"/>
      <c r="CD7" s="919"/>
      <c r="CE7" s="104" t="s">
        <v>308</v>
      </c>
      <c r="CF7" s="919" t="s">
        <v>309</v>
      </c>
      <c r="CG7" s="919"/>
      <c r="CH7" s="919"/>
      <c r="CI7" s="971"/>
      <c r="CJ7" s="972"/>
      <c r="CK7" s="973"/>
      <c r="CL7" s="910" t="s">
        <v>540</v>
      </c>
      <c r="CM7" s="912" t="s">
        <v>541</v>
      </c>
      <c r="CN7" s="910" t="s">
        <v>312</v>
      </c>
      <c r="CO7" s="960"/>
      <c r="CP7" s="1017"/>
      <c r="CQ7" s="1014"/>
      <c r="CR7" s="1015"/>
      <c r="CS7" s="1015"/>
      <c r="CT7" s="1015"/>
      <c r="CU7" s="1015"/>
      <c r="CV7" s="1015"/>
      <c r="CW7" s="1016"/>
      <c r="CX7" s="979"/>
      <c r="CY7" s="979"/>
      <c r="CZ7" s="979" t="s">
        <v>161</v>
      </c>
      <c r="DA7" s="979"/>
      <c r="DB7" s="979"/>
      <c r="DC7" s="979"/>
      <c r="DD7" s="979"/>
      <c r="DE7" s="979"/>
      <c r="DF7" s="979"/>
      <c r="DG7" s="979"/>
      <c r="DH7" s="979"/>
      <c r="DI7" s="979" t="s">
        <v>162</v>
      </c>
      <c r="DJ7" s="979"/>
      <c r="DK7" s="979"/>
      <c r="DL7" s="979"/>
      <c r="DM7" s="979"/>
      <c r="DN7" s="960"/>
      <c r="DO7" s="960"/>
      <c r="DP7" s="960"/>
      <c r="DQ7" s="960" t="s">
        <v>163</v>
      </c>
      <c r="DR7" s="960" t="s">
        <v>163</v>
      </c>
      <c r="DS7" s="959" t="s">
        <v>164</v>
      </c>
      <c r="DT7" s="959" t="s">
        <v>165</v>
      </c>
      <c r="DU7" s="959" t="s">
        <v>519</v>
      </c>
      <c r="DV7" s="959" t="s">
        <v>166</v>
      </c>
      <c r="DW7" s="979" t="s">
        <v>167</v>
      </c>
      <c r="DX7" s="979"/>
      <c r="DY7" s="979"/>
      <c r="DZ7" s="979" t="s">
        <v>168</v>
      </c>
      <c r="EA7" s="979"/>
      <c r="EB7" s="326" t="s">
        <v>169</v>
      </c>
      <c r="EC7" s="266" t="s">
        <v>520</v>
      </c>
      <c r="ED7" s="980" t="s">
        <v>170</v>
      </c>
      <c r="EE7" s="981"/>
      <c r="EF7" s="981"/>
      <c r="EG7" s="981"/>
      <c r="EH7" s="981"/>
      <c r="EI7" s="981"/>
      <c r="EJ7" s="981"/>
      <c r="EK7" s="981"/>
      <c r="EL7" s="981"/>
      <c r="EM7" s="960"/>
      <c r="EN7" s="960"/>
      <c r="EO7" s="960" t="s">
        <v>171</v>
      </c>
      <c r="EP7" s="960"/>
      <c r="EQ7" s="960"/>
      <c r="ER7" s="982"/>
      <c r="ES7" s="982"/>
      <c r="ET7" s="982"/>
      <c r="EU7" s="974" t="s">
        <v>308</v>
      </c>
      <c r="EV7" s="974"/>
      <c r="EW7" s="265" t="s">
        <v>308</v>
      </c>
      <c r="EX7" s="266" t="s">
        <v>492</v>
      </c>
      <c r="EY7" s="975" t="s">
        <v>308</v>
      </c>
      <c r="EZ7" s="989"/>
      <c r="FA7" s="990"/>
      <c r="FB7" s="974" t="s">
        <v>309</v>
      </c>
      <c r="FC7" s="974"/>
      <c r="FD7" s="974"/>
      <c r="FE7" s="974"/>
      <c r="FF7" s="974"/>
      <c r="FG7" s="974"/>
      <c r="FH7" s="974"/>
      <c r="FI7" s="974"/>
      <c r="FJ7" s="266" t="s">
        <v>308</v>
      </c>
      <c r="FK7" s="974" t="s">
        <v>309</v>
      </c>
      <c r="FL7" s="974"/>
      <c r="FM7" s="974"/>
      <c r="FN7" s="974"/>
      <c r="FO7" s="974"/>
      <c r="FP7" s="974"/>
      <c r="FQ7" s="974"/>
      <c r="FR7" s="266" t="s">
        <v>308</v>
      </c>
      <c r="FS7" s="974" t="s">
        <v>309</v>
      </c>
      <c r="FT7" s="974"/>
      <c r="FU7" s="974"/>
      <c r="FV7" s="1005"/>
      <c r="FW7" s="1006"/>
      <c r="FX7" s="1007"/>
      <c r="FY7" s="959" t="s">
        <v>540</v>
      </c>
      <c r="FZ7" s="985" t="s">
        <v>541</v>
      </c>
      <c r="GA7" s="985" t="s">
        <v>312</v>
      </c>
      <c r="GB7" s="1000"/>
      <c r="GC7" s="984"/>
      <c r="GD7" s="984"/>
      <c r="GE7" s="993"/>
      <c r="GF7" s="984"/>
      <c r="GG7" s="984"/>
    </row>
    <row r="8" spans="1:189" s="103" customFormat="1" ht="27" customHeight="1">
      <c r="A8" s="911"/>
      <c r="B8" s="911"/>
      <c r="C8" s="965"/>
      <c r="D8" s="1008" t="s">
        <v>67</v>
      </c>
      <c r="E8" s="1008" t="s">
        <v>357</v>
      </c>
      <c r="F8" s="917" t="s">
        <v>502</v>
      </c>
      <c r="G8" s="917" t="s">
        <v>511</v>
      </c>
      <c r="H8" s="917" t="s">
        <v>743</v>
      </c>
      <c r="I8" s="917" t="s">
        <v>512</v>
      </c>
      <c r="J8" s="1008" t="s">
        <v>358</v>
      </c>
      <c r="K8" s="916"/>
      <c r="L8" s="916"/>
      <c r="M8" s="910" t="s">
        <v>19</v>
      </c>
      <c r="N8" s="916" t="s">
        <v>518</v>
      </c>
      <c r="O8" s="916"/>
      <c r="P8" s="910" t="s">
        <v>338</v>
      </c>
      <c r="Q8" s="910" t="s">
        <v>307</v>
      </c>
      <c r="R8" s="920" t="s">
        <v>517</v>
      </c>
      <c r="S8" s="929"/>
      <c r="T8" s="930"/>
      <c r="U8" s="910" t="s">
        <v>339</v>
      </c>
      <c r="V8" s="910" t="s">
        <v>173</v>
      </c>
      <c r="W8" s="916" t="s">
        <v>518</v>
      </c>
      <c r="X8" s="916"/>
      <c r="Y8" s="910" t="s">
        <v>307</v>
      </c>
      <c r="Z8" s="910" t="s">
        <v>315</v>
      </c>
      <c r="AA8" s="911"/>
      <c r="AB8" s="911"/>
      <c r="AC8" s="911"/>
      <c r="AD8" s="911" t="s">
        <v>174</v>
      </c>
      <c r="AE8" s="911" t="s">
        <v>175</v>
      </c>
      <c r="AF8" s="911"/>
      <c r="AG8" s="911"/>
      <c r="AH8" s="911"/>
      <c r="AI8" s="911"/>
      <c r="AJ8" s="910" t="s">
        <v>176</v>
      </c>
      <c r="AK8" s="910" t="s">
        <v>336</v>
      </c>
      <c r="AL8" s="910" t="s">
        <v>545</v>
      </c>
      <c r="AM8" s="910" t="s">
        <v>177</v>
      </c>
      <c r="AN8" s="910" t="s">
        <v>419</v>
      </c>
      <c r="AO8" s="916" t="s">
        <v>546</v>
      </c>
      <c r="AP8" s="910" t="s">
        <v>514</v>
      </c>
      <c r="AQ8" s="910" t="s">
        <v>521</v>
      </c>
      <c r="AR8" s="910" t="s">
        <v>420</v>
      </c>
      <c r="AS8" s="910" t="s">
        <v>745</v>
      </c>
      <c r="AT8" s="910" t="s">
        <v>316</v>
      </c>
      <c r="AU8" s="910" t="s">
        <v>418</v>
      </c>
      <c r="AV8" s="910" t="s">
        <v>754</v>
      </c>
      <c r="AW8" s="910" t="s">
        <v>549</v>
      </c>
      <c r="AX8" s="910" t="s">
        <v>523</v>
      </c>
      <c r="AY8" s="910" t="s">
        <v>522</v>
      </c>
      <c r="AZ8" s="911"/>
      <c r="BA8" s="911"/>
      <c r="BB8" s="911" t="s">
        <v>178</v>
      </c>
      <c r="BC8" s="911"/>
      <c r="BD8" s="911"/>
      <c r="BE8" s="966" t="s">
        <v>67</v>
      </c>
      <c r="BF8" s="966" t="s">
        <v>308</v>
      </c>
      <c r="BG8" s="966" t="s">
        <v>309</v>
      </c>
      <c r="BH8" s="910" t="s">
        <v>387</v>
      </c>
      <c r="BI8" s="910" t="s">
        <v>396</v>
      </c>
      <c r="BJ8" s="910" t="s">
        <v>60</v>
      </c>
      <c r="BK8" s="910" t="s">
        <v>337</v>
      </c>
      <c r="BL8" s="910" t="s">
        <v>524</v>
      </c>
      <c r="BM8" s="910" t="s">
        <v>526</v>
      </c>
      <c r="BN8" s="945" t="s">
        <v>527</v>
      </c>
      <c r="BO8" s="911" t="s">
        <v>524</v>
      </c>
      <c r="BP8" s="911" t="s">
        <v>525</v>
      </c>
      <c r="BQ8" s="911" t="s">
        <v>526</v>
      </c>
      <c r="BR8" s="911" t="s">
        <v>527</v>
      </c>
      <c r="BS8" s="911" t="s">
        <v>528</v>
      </c>
      <c r="BT8" s="911" t="s">
        <v>529</v>
      </c>
      <c r="BU8" s="911" t="s">
        <v>530</v>
      </c>
      <c r="BV8" s="911" t="s">
        <v>532</v>
      </c>
      <c r="BW8" s="919" t="s">
        <v>524</v>
      </c>
      <c r="BX8" s="919" t="s">
        <v>524</v>
      </c>
      <c r="BY8" s="919" t="s">
        <v>531</v>
      </c>
      <c r="BZ8" s="919" t="s">
        <v>525</v>
      </c>
      <c r="CA8" s="919" t="s">
        <v>526</v>
      </c>
      <c r="CB8" s="919" t="s">
        <v>527</v>
      </c>
      <c r="CC8" s="919" t="s">
        <v>528</v>
      </c>
      <c r="CD8" s="919" t="s">
        <v>534</v>
      </c>
      <c r="CE8" s="916" t="s">
        <v>543</v>
      </c>
      <c r="CF8" s="916" t="s">
        <v>537</v>
      </c>
      <c r="CG8" s="916" t="s">
        <v>538</v>
      </c>
      <c r="CH8" s="916" t="s">
        <v>539</v>
      </c>
      <c r="CI8" s="966" t="s">
        <v>67</v>
      </c>
      <c r="CJ8" s="966" t="s">
        <v>308</v>
      </c>
      <c r="CK8" s="966" t="s">
        <v>309</v>
      </c>
      <c r="CL8" s="911"/>
      <c r="CM8" s="913"/>
      <c r="CN8" s="911"/>
      <c r="CO8" s="960"/>
      <c r="CP8" s="1017"/>
      <c r="CQ8" s="997" t="s">
        <v>67</v>
      </c>
      <c r="CR8" s="997" t="s">
        <v>357</v>
      </c>
      <c r="CS8" s="995" t="s">
        <v>502</v>
      </c>
      <c r="CT8" s="995" t="s">
        <v>511</v>
      </c>
      <c r="CU8" s="995" t="s">
        <v>743</v>
      </c>
      <c r="CV8" s="995" t="s">
        <v>512</v>
      </c>
      <c r="CW8" s="997" t="s">
        <v>358</v>
      </c>
      <c r="CX8" s="979"/>
      <c r="CY8" s="979"/>
      <c r="CZ8" s="959" t="s">
        <v>19</v>
      </c>
      <c r="DA8" s="979" t="s">
        <v>518</v>
      </c>
      <c r="DB8" s="979"/>
      <c r="DC8" s="959" t="s">
        <v>338</v>
      </c>
      <c r="DD8" s="959" t="s">
        <v>307</v>
      </c>
      <c r="DE8" s="975" t="s">
        <v>517</v>
      </c>
      <c r="DF8" s="989"/>
      <c r="DG8" s="990"/>
      <c r="DH8" s="959" t="s">
        <v>339</v>
      </c>
      <c r="DI8" s="959" t="s">
        <v>173</v>
      </c>
      <c r="DJ8" s="979" t="s">
        <v>518</v>
      </c>
      <c r="DK8" s="979"/>
      <c r="DL8" s="959" t="s">
        <v>307</v>
      </c>
      <c r="DM8" s="959" t="s">
        <v>315</v>
      </c>
      <c r="DN8" s="960"/>
      <c r="DO8" s="960"/>
      <c r="DP8" s="960"/>
      <c r="DQ8" s="960" t="s">
        <v>174</v>
      </c>
      <c r="DR8" s="960" t="s">
        <v>175</v>
      </c>
      <c r="DS8" s="960"/>
      <c r="DT8" s="960"/>
      <c r="DU8" s="960"/>
      <c r="DV8" s="960"/>
      <c r="DW8" s="959" t="s">
        <v>176</v>
      </c>
      <c r="DX8" s="959" t="s">
        <v>336</v>
      </c>
      <c r="DY8" s="959" t="s">
        <v>544</v>
      </c>
      <c r="DZ8" s="959" t="s">
        <v>177</v>
      </c>
      <c r="EA8" s="959" t="s">
        <v>419</v>
      </c>
      <c r="EB8" s="960" t="s">
        <v>547</v>
      </c>
      <c r="EC8" s="959" t="s">
        <v>514</v>
      </c>
      <c r="ED8" s="959" t="s">
        <v>521</v>
      </c>
      <c r="EE8" s="959" t="s">
        <v>420</v>
      </c>
      <c r="EF8" s="959" t="s">
        <v>745</v>
      </c>
      <c r="EG8" s="959" t="s">
        <v>316</v>
      </c>
      <c r="EH8" s="959" t="s">
        <v>418</v>
      </c>
      <c r="EI8" s="959" t="s">
        <v>753</v>
      </c>
      <c r="EJ8" s="959" t="s">
        <v>549</v>
      </c>
      <c r="EK8" s="959" t="s">
        <v>523</v>
      </c>
      <c r="EL8" s="959" t="s">
        <v>522</v>
      </c>
      <c r="EM8" s="960"/>
      <c r="EN8" s="960"/>
      <c r="EO8" s="960" t="s">
        <v>178</v>
      </c>
      <c r="EP8" s="960"/>
      <c r="EQ8" s="960"/>
      <c r="ER8" s="983" t="s">
        <v>67</v>
      </c>
      <c r="ES8" s="983" t="s">
        <v>308</v>
      </c>
      <c r="ET8" s="983" t="s">
        <v>309</v>
      </c>
      <c r="EU8" s="959" t="s">
        <v>387</v>
      </c>
      <c r="EV8" s="959" t="s">
        <v>396</v>
      </c>
      <c r="EW8" s="959" t="s">
        <v>60</v>
      </c>
      <c r="EX8" s="959" t="s">
        <v>337</v>
      </c>
      <c r="EY8" s="977" t="s">
        <v>524</v>
      </c>
      <c r="EZ8" s="977" t="s">
        <v>526</v>
      </c>
      <c r="FA8" s="977" t="s">
        <v>527</v>
      </c>
      <c r="FB8" s="960" t="s">
        <v>524</v>
      </c>
      <c r="FC8" s="960" t="s">
        <v>525</v>
      </c>
      <c r="FD8" s="960" t="s">
        <v>526</v>
      </c>
      <c r="FE8" s="960" t="s">
        <v>527</v>
      </c>
      <c r="FF8" s="960" t="s">
        <v>528</v>
      </c>
      <c r="FG8" s="960" t="s">
        <v>529</v>
      </c>
      <c r="FH8" s="960" t="s">
        <v>530</v>
      </c>
      <c r="FI8" s="960" t="s">
        <v>532</v>
      </c>
      <c r="FJ8" s="974" t="s">
        <v>524</v>
      </c>
      <c r="FK8" s="974" t="s">
        <v>524</v>
      </c>
      <c r="FL8" s="974" t="s">
        <v>531</v>
      </c>
      <c r="FM8" s="974" t="s">
        <v>525</v>
      </c>
      <c r="FN8" s="974" t="s">
        <v>526</v>
      </c>
      <c r="FO8" s="974" t="s">
        <v>527</v>
      </c>
      <c r="FP8" s="974" t="s">
        <v>528</v>
      </c>
      <c r="FQ8" s="974" t="s">
        <v>534</v>
      </c>
      <c r="FR8" s="979" t="s">
        <v>543</v>
      </c>
      <c r="FS8" s="979" t="s">
        <v>537</v>
      </c>
      <c r="FT8" s="979" t="s">
        <v>538</v>
      </c>
      <c r="FU8" s="979" t="s">
        <v>539</v>
      </c>
      <c r="FV8" s="983" t="s">
        <v>67</v>
      </c>
      <c r="FW8" s="983" t="s">
        <v>308</v>
      </c>
      <c r="FX8" s="983" t="s">
        <v>309</v>
      </c>
      <c r="FY8" s="960"/>
      <c r="FZ8" s="986"/>
      <c r="GA8" s="987"/>
      <c r="GB8" s="1000"/>
      <c r="GC8" s="984"/>
      <c r="GD8" s="984"/>
      <c r="GE8" s="993"/>
      <c r="GF8" s="984"/>
      <c r="GG8" s="984"/>
    </row>
    <row r="9" spans="1:189" s="103" customFormat="1" ht="29.25" customHeight="1">
      <c r="A9" s="911"/>
      <c r="B9" s="911"/>
      <c r="C9" s="965"/>
      <c r="D9" s="1009"/>
      <c r="E9" s="1009"/>
      <c r="F9" s="918"/>
      <c r="G9" s="918"/>
      <c r="H9" s="918"/>
      <c r="I9" s="918"/>
      <c r="J9" s="1009"/>
      <c r="K9" s="916"/>
      <c r="L9" s="916"/>
      <c r="M9" s="911"/>
      <c r="N9" s="200" t="s">
        <v>388</v>
      </c>
      <c r="O9" s="200" t="s">
        <v>389</v>
      </c>
      <c r="P9" s="911"/>
      <c r="Q9" s="911"/>
      <c r="R9" s="144" t="s">
        <v>394</v>
      </c>
      <c r="S9" s="144" t="s">
        <v>513</v>
      </c>
      <c r="T9" s="144" t="s">
        <v>490</v>
      </c>
      <c r="U9" s="911"/>
      <c r="V9" s="911"/>
      <c r="W9" s="200" t="s">
        <v>388</v>
      </c>
      <c r="X9" s="200" t="s">
        <v>389</v>
      </c>
      <c r="Y9" s="911"/>
      <c r="Z9" s="911"/>
      <c r="AA9" s="911"/>
      <c r="AB9" s="911"/>
      <c r="AC9" s="915"/>
      <c r="AD9" s="911"/>
      <c r="AE9" s="911" t="s">
        <v>179</v>
      </c>
      <c r="AF9" s="911"/>
      <c r="AG9" s="911"/>
      <c r="AH9" s="911"/>
      <c r="AI9" s="911"/>
      <c r="AJ9" s="911"/>
      <c r="AK9" s="911"/>
      <c r="AL9" s="911"/>
      <c r="AM9" s="911"/>
      <c r="AN9" s="911"/>
      <c r="AO9" s="916"/>
      <c r="AP9" s="911"/>
      <c r="AQ9" s="911"/>
      <c r="AR9" s="911"/>
      <c r="AS9" s="911"/>
      <c r="AT9" s="911"/>
      <c r="AU9" s="911"/>
      <c r="AV9" s="911"/>
      <c r="AW9" s="911"/>
      <c r="AX9" s="911"/>
      <c r="AY9" s="911"/>
      <c r="AZ9" s="911"/>
      <c r="BA9" s="911"/>
      <c r="BB9" s="911" t="s">
        <v>180</v>
      </c>
      <c r="BC9" s="915"/>
      <c r="BD9" s="911"/>
      <c r="BE9" s="967"/>
      <c r="BF9" s="967"/>
      <c r="BG9" s="967"/>
      <c r="BH9" s="915"/>
      <c r="BI9" s="915"/>
      <c r="BJ9" s="915"/>
      <c r="BK9" s="911"/>
      <c r="BL9" s="915"/>
      <c r="BM9" s="915"/>
      <c r="BN9" s="946"/>
      <c r="BO9" s="915"/>
      <c r="BP9" s="915"/>
      <c r="BQ9" s="915"/>
      <c r="BR9" s="915"/>
      <c r="BS9" s="915"/>
      <c r="BT9" s="915"/>
      <c r="BU9" s="915"/>
      <c r="BV9" s="915"/>
      <c r="BW9" s="919"/>
      <c r="BX9" s="919"/>
      <c r="BY9" s="919"/>
      <c r="BZ9" s="919"/>
      <c r="CA9" s="919"/>
      <c r="CB9" s="919"/>
      <c r="CC9" s="919"/>
      <c r="CD9" s="919"/>
      <c r="CE9" s="916"/>
      <c r="CF9" s="916"/>
      <c r="CG9" s="916"/>
      <c r="CH9" s="916"/>
      <c r="CI9" s="967"/>
      <c r="CJ9" s="967"/>
      <c r="CK9" s="967"/>
      <c r="CL9" s="911"/>
      <c r="CM9" s="144" t="s">
        <v>390</v>
      </c>
      <c r="CN9" s="911"/>
      <c r="CO9" s="960"/>
      <c r="CP9" s="1017"/>
      <c r="CQ9" s="998"/>
      <c r="CR9" s="998"/>
      <c r="CS9" s="996"/>
      <c r="CT9" s="996"/>
      <c r="CU9" s="996"/>
      <c r="CV9" s="996"/>
      <c r="CW9" s="998"/>
      <c r="CX9" s="979"/>
      <c r="CY9" s="979"/>
      <c r="CZ9" s="960"/>
      <c r="DA9" s="267" t="s">
        <v>388</v>
      </c>
      <c r="DB9" s="267" t="s">
        <v>389</v>
      </c>
      <c r="DC9" s="960"/>
      <c r="DD9" s="960"/>
      <c r="DE9" s="268" t="s">
        <v>394</v>
      </c>
      <c r="DF9" s="268" t="s">
        <v>513</v>
      </c>
      <c r="DG9" s="268" t="s">
        <v>490</v>
      </c>
      <c r="DH9" s="960"/>
      <c r="DI9" s="960"/>
      <c r="DJ9" s="267" t="s">
        <v>388</v>
      </c>
      <c r="DK9" s="267" t="s">
        <v>389</v>
      </c>
      <c r="DL9" s="960"/>
      <c r="DM9" s="960"/>
      <c r="DN9" s="960"/>
      <c r="DO9" s="960"/>
      <c r="DP9" s="960"/>
      <c r="DQ9" s="960"/>
      <c r="DR9" s="960" t="s">
        <v>179</v>
      </c>
      <c r="DS9" s="960"/>
      <c r="DT9" s="960"/>
      <c r="DU9" s="960"/>
      <c r="DV9" s="960"/>
      <c r="DW9" s="960"/>
      <c r="DX9" s="960"/>
      <c r="DY9" s="960"/>
      <c r="DZ9" s="960"/>
      <c r="EA9" s="960"/>
      <c r="EB9" s="976"/>
      <c r="EC9" s="960"/>
      <c r="ED9" s="960"/>
      <c r="EE9" s="960"/>
      <c r="EF9" s="960"/>
      <c r="EG9" s="960"/>
      <c r="EH9" s="960"/>
      <c r="EI9" s="960"/>
      <c r="EJ9" s="960"/>
      <c r="EK9" s="960"/>
      <c r="EL9" s="960"/>
      <c r="EM9" s="960"/>
      <c r="EN9" s="960"/>
      <c r="EO9" s="960" t="s">
        <v>180</v>
      </c>
      <c r="EP9" s="976"/>
      <c r="EQ9" s="960"/>
      <c r="ER9" s="984"/>
      <c r="ES9" s="984"/>
      <c r="ET9" s="984"/>
      <c r="EU9" s="976"/>
      <c r="EV9" s="976"/>
      <c r="EW9" s="976"/>
      <c r="EX9" s="960"/>
      <c r="EY9" s="978"/>
      <c r="EZ9" s="978"/>
      <c r="FA9" s="978"/>
      <c r="FB9" s="976"/>
      <c r="FC9" s="976"/>
      <c r="FD9" s="976"/>
      <c r="FE9" s="976"/>
      <c r="FF9" s="976"/>
      <c r="FG9" s="976"/>
      <c r="FH9" s="976"/>
      <c r="FI9" s="976"/>
      <c r="FJ9" s="974"/>
      <c r="FK9" s="974"/>
      <c r="FL9" s="974"/>
      <c r="FM9" s="974"/>
      <c r="FN9" s="974"/>
      <c r="FO9" s="974"/>
      <c r="FP9" s="974"/>
      <c r="FQ9" s="974"/>
      <c r="FR9" s="979"/>
      <c r="FS9" s="979"/>
      <c r="FT9" s="979"/>
      <c r="FU9" s="979"/>
      <c r="FV9" s="984"/>
      <c r="FW9" s="984"/>
      <c r="FX9" s="984"/>
      <c r="FY9" s="960"/>
      <c r="FZ9" s="268" t="s">
        <v>390</v>
      </c>
      <c r="GA9" s="987"/>
      <c r="GB9" s="1001"/>
      <c r="GC9" s="991"/>
      <c r="GD9" s="991"/>
      <c r="GE9" s="994"/>
      <c r="GF9" s="991"/>
      <c r="GG9" s="991"/>
    </row>
    <row r="10" spans="1:189" s="130" customFormat="1" ht="13.5" customHeight="1">
      <c r="A10" s="129" t="s">
        <v>3</v>
      </c>
      <c r="B10" s="129" t="s">
        <v>181</v>
      </c>
      <c r="C10" s="327">
        <v>1</v>
      </c>
      <c r="D10" s="327">
        <v>2</v>
      </c>
      <c r="E10" s="327">
        <v>3</v>
      </c>
      <c r="F10" s="129">
        <v>4</v>
      </c>
      <c r="G10" s="129">
        <v>5</v>
      </c>
      <c r="H10" s="129">
        <v>6</v>
      </c>
      <c r="I10" s="129">
        <v>7</v>
      </c>
      <c r="J10" s="327">
        <v>8</v>
      </c>
      <c r="K10" s="129">
        <v>9</v>
      </c>
      <c r="L10" s="129">
        <v>10</v>
      </c>
      <c r="M10" s="129">
        <v>11</v>
      </c>
      <c r="N10" s="129">
        <v>12</v>
      </c>
      <c r="O10" s="129">
        <v>13</v>
      </c>
      <c r="P10" s="129">
        <v>14</v>
      </c>
      <c r="Q10" s="129">
        <v>15</v>
      </c>
      <c r="R10" s="129">
        <v>16</v>
      </c>
      <c r="S10" s="129">
        <v>17</v>
      </c>
      <c r="T10" s="129">
        <v>18</v>
      </c>
      <c r="U10" s="129">
        <v>19</v>
      </c>
      <c r="V10" s="129">
        <v>20</v>
      </c>
      <c r="W10" s="129">
        <v>21</v>
      </c>
      <c r="X10" s="129">
        <v>22</v>
      </c>
      <c r="Y10" s="129">
        <v>23</v>
      </c>
      <c r="Z10" s="129">
        <v>24</v>
      </c>
      <c r="AA10" s="129">
        <v>25</v>
      </c>
      <c r="AB10" s="129">
        <v>26</v>
      </c>
      <c r="AC10" s="129">
        <v>27</v>
      </c>
      <c r="AD10" s="129">
        <v>28</v>
      </c>
      <c r="AE10" s="129">
        <v>29</v>
      </c>
      <c r="AF10" s="129">
        <v>30</v>
      </c>
      <c r="AG10" s="129">
        <v>31</v>
      </c>
      <c r="AH10" s="129">
        <v>32</v>
      </c>
      <c r="AI10" s="129">
        <v>33</v>
      </c>
      <c r="AJ10" s="129">
        <v>34</v>
      </c>
      <c r="AK10" s="129">
        <v>35</v>
      </c>
      <c r="AL10" s="129">
        <v>36</v>
      </c>
      <c r="AM10" s="129">
        <v>37</v>
      </c>
      <c r="AN10" s="129">
        <v>38</v>
      </c>
      <c r="AO10" s="129">
        <v>39</v>
      </c>
      <c r="AP10" s="129">
        <v>40</v>
      </c>
      <c r="AQ10" s="129">
        <v>41</v>
      </c>
      <c r="AR10" s="129">
        <v>42</v>
      </c>
      <c r="AS10" s="129">
        <v>43</v>
      </c>
      <c r="AT10" s="129">
        <v>44</v>
      </c>
      <c r="AU10" s="129">
        <v>45</v>
      </c>
      <c r="AV10" s="129">
        <v>46</v>
      </c>
      <c r="AW10" s="129">
        <v>47</v>
      </c>
      <c r="AX10" s="129">
        <v>48</v>
      </c>
      <c r="AY10" s="129">
        <v>49</v>
      </c>
      <c r="AZ10" s="129">
        <v>50</v>
      </c>
      <c r="BA10" s="129">
        <v>51</v>
      </c>
      <c r="BB10" s="129">
        <v>52</v>
      </c>
      <c r="BC10" s="129">
        <v>53</v>
      </c>
      <c r="BD10" s="129">
        <v>54</v>
      </c>
      <c r="BE10" s="327">
        <v>55</v>
      </c>
      <c r="BF10" s="327">
        <v>56</v>
      </c>
      <c r="BG10" s="327">
        <v>57</v>
      </c>
      <c r="BH10" s="129">
        <v>58</v>
      </c>
      <c r="BI10" s="129">
        <v>59</v>
      </c>
      <c r="BJ10" s="129">
        <v>60</v>
      </c>
      <c r="BK10" s="129">
        <v>61</v>
      </c>
      <c r="BL10" s="129">
        <v>62</v>
      </c>
      <c r="BM10" s="129">
        <v>63</v>
      </c>
      <c r="BN10" s="129">
        <v>64</v>
      </c>
      <c r="BO10" s="129">
        <v>65</v>
      </c>
      <c r="BP10" s="129">
        <v>66</v>
      </c>
      <c r="BQ10" s="129">
        <v>67</v>
      </c>
      <c r="BR10" s="129">
        <v>68</v>
      </c>
      <c r="BS10" s="129">
        <v>69</v>
      </c>
      <c r="BT10" s="129">
        <v>70</v>
      </c>
      <c r="BU10" s="129">
        <v>71</v>
      </c>
      <c r="BV10" s="129">
        <v>72</v>
      </c>
      <c r="BW10" s="129">
        <v>73</v>
      </c>
      <c r="BX10" s="129">
        <v>74</v>
      </c>
      <c r="BY10" s="129">
        <v>75</v>
      </c>
      <c r="BZ10" s="129">
        <v>76</v>
      </c>
      <c r="CA10" s="129">
        <v>77</v>
      </c>
      <c r="CB10" s="129">
        <v>78</v>
      </c>
      <c r="CC10" s="129">
        <v>79</v>
      </c>
      <c r="CD10" s="129">
        <v>80</v>
      </c>
      <c r="CE10" s="129">
        <v>81</v>
      </c>
      <c r="CF10" s="129">
        <v>82</v>
      </c>
      <c r="CG10" s="129">
        <v>83</v>
      </c>
      <c r="CH10" s="129">
        <v>84</v>
      </c>
      <c r="CI10" s="327">
        <v>85</v>
      </c>
      <c r="CJ10" s="327">
        <v>86</v>
      </c>
      <c r="CK10" s="327">
        <v>87</v>
      </c>
      <c r="CL10" s="129">
        <v>88</v>
      </c>
      <c r="CM10" s="129">
        <v>89</v>
      </c>
      <c r="CN10" s="129">
        <v>90</v>
      </c>
      <c r="CO10" s="269"/>
      <c r="CP10" s="332">
        <v>1</v>
      </c>
      <c r="CQ10" s="332">
        <v>2</v>
      </c>
      <c r="CR10" s="332">
        <v>3</v>
      </c>
      <c r="CS10" s="269">
        <v>4</v>
      </c>
      <c r="CT10" s="269">
        <v>5</v>
      </c>
      <c r="CU10" s="269">
        <v>6</v>
      </c>
      <c r="CV10" s="269">
        <v>7</v>
      </c>
      <c r="CW10" s="332">
        <v>8</v>
      </c>
      <c r="CX10" s="269">
        <v>9</v>
      </c>
      <c r="CY10" s="269">
        <v>10</v>
      </c>
      <c r="CZ10" s="269">
        <v>11</v>
      </c>
      <c r="DA10" s="269">
        <v>12</v>
      </c>
      <c r="DB10" s="269">
        <v>13</v>
      </c>
      <c r="DC10" s="269">
        <v>14</v>
      </c>
      <c r="DD10" s="269">
        <v>15</v>
      </c>
      <c r="DE10" s="269">
        <v>16</v>
      </c>
      <c r="DF10" s="269">
        <v>17</v>
      </c>
      <c r="DG10" s="269">
        <v>18</v>
      </c>
      <c r="DH10" s="269">
        <v>19</v>
      </c>
      <c r="DI10" s="269">
        <v>20</v>
      </c>
      <c r="DJ10" s="269">
        <v>21</v>
      </c>
      <c r="DK10" s="269">
        <v>22</v>
      </c>
      <c r="DL10" s="269">
        <v>23</v>
      </c>
      <c r="DM10" s="269">
        <v>24</v>
      </c>
      <c r="DN10" s="269">
        <v>25</v>
      </c>
      <c r="DO10" s="269">
        <v>26</v>
      </c>
      <c r="DP10" s="269">
        <v>27</v>
      </c>
      <c r="DQ10" s="269">
        <v>28</v>
      </c>
      <c r="DR10" s="269">
        <v>29</v>
      </c>
      <c r="DS10" s="269">
        <v>30</v>
      </c>
      <c r="DT10" s="269">
        <v>31</v>
      </c>
      <c r="DU10" s="269">
        <v>32</v>
      </c>
      <c r="DV10" s="269">
        <v>33</v>
      </c>
      <c r="DW10" s="269">
        <v>34</v>
      </c>
      <c r="DX10" s="269">
        <v>35</v>
      </c>
      <c r="DY10" s="269">
        <v>36</v>
      </c>
      <c r="DZ10" s="269">
        <v>37</v>
      </c>
      <c r="EA10" s="269">
        <v>38</v>
      </c>
      <c r="EB10" s="269">
        <v>39</v>
      </c>
      <c r="EC10" s="269">
        <v>40</v>
      </c>
      <c r="ED10" s="269">
        <v>41</v>
      </c>
      <c r="EE10" s="269">
        <v>42</v>
      </c>
      <c r="EF10" s="269">
        <v>43</v>
      </c>
      <c r="EG10" s="269">
        <v>44</v>
      </c>
      <c r="EH10" s="269">
        <v>45</v>
      </c>
      <c r="EI10" s="269">
        <v>46</v>
      </c>
      <c r="EJ10" s="269">
        <v>47</v>
      </c>
      <c r="EK10" s="269">
        <v>48</v>
      </c>
      <c r="EL10" s="269">
        <v>49</v>
      </c>
      <c r="EM10" s="269">
        <v>50</v>
      </c>
      <c r="EN10" s="269">
        <v>51</v>
      </c>
      <c r="EO10" s="269">
        <v>52</v>
      </c>
      <c r="EP10" s="269">
        <v>53</v>
      </c>
      <c r="EQ10" s="269">
        <v>54</v>
      </c>
      <c r="ER10" s="332">
        <v>55</v>
      </c>
      <c r="ES10" s="332">
        <v>56</v>
      </c>
      <c r="ET10" s="332">
        <v>57</v>
      </c>
      <c r="EU10" s="269">
        <v>58</v>
      </c>
      <c r="EV10" s="269">
        <v>59</v>
      </c>
      <c r="EW10" s="269">
        <v>60</v>
      </c>
      <c r="EX10" s="269">
        <v>61</v>
      </c>
      <c r="EY10" s="269">
        <v>62</v>
      </c>
      <c r="EZ10" s="269">
        <v>63</v>
      </c>
      <c r="FA10" s="269">
        <v>64</v>
      </c>
      <c r="FB10" s="269">
        <v>65</v>
      </c>
      <c r="FC10" s="269">
        <v>66</v>
      </c>
      <c r="FD10" s="269">
        <v>67</v>
      </c>
      <c r="FE10" s="269">
        <v>68</v>
      </c>
      <c r="FF10" s="269">
        <v>69</v>
      </c>
      <c r="FG10" s="269">
        <v>70</v>
      </c>
      <c r="FH10" s="269">
        <v>71</v>
      </c>
      <c r="FI10" s="269">
        <v>72</v>
      </c>
      <c r="FJ10" s="269">
        <v>73</v>
      </c>
      <c r="FK10" s="269">
        <v>74</v>
      </c>
      <c r="FL10" s="269">
        <v>75</v>
      </c>
      <c r="FM10" s="269">
        <v>76</v>
      </c>
      <c r="FN10" s="269">
        <v>77</v>
      </c>
      <c r="FO10" s="269">
        <v>78</v>
      </c>
      <c r="FP10" s="269">
        <v>79</v>
      </c>
      <c r="FQ10" s="269">
        <v>80</v>
      </c>
      <c r="FR10" s="269">
        <v>81</v>
      </c>
      <c r="FS10" s="269">
        <v>82</v>
      </c>
      <c r="FT10" s="269">
        <v>83</v>
      </c>
      <c r="FU10" s="269">
        <v>84</v>
      </c>
      <c r="FV10" s="332">
        <v>85</v>
      </c>
      <c r="FW10" s="332">
        <v>86</v>
      </c>
      <c r="FX10" s="332">
        <v>87</v>
      </c>
      <c r="FY10" s="269">
        <v>88</v>
      </c>
      <c r="FZ10" s="269">
        <v>89</v>
      </c>
      <c r="GA10" s="269">
        <v>90</v>
      </c>
      <c r="GB10" s="332">
        <v>21</v>
      </c>
      <c r="GC10" s="332">
        <v>22</v>
      </c>
      <c r="GD10" s="332">
        <v>23</v>
      </c>
      <c r="GE10" s="332">
        <v>24</v>
      </c>
      <c r="GF10" s="332">
        <v>25</v>
      </c>
      <c r="GG10" s="332">
        <v>26</v>
      </c>
    </row>
    <row r="11" spans="1:189" s="91" customFormat="1" ht="17.25" customHeight="1">
      <c r="A11" s="221"/>
      <c r="B11" s="222" t="s">
        <v>21</v>
      </c>
      <c r="C11" s="273">
        <f>C17+C14+C65+C23+C29+C47+C53+C26+C32+C38+C50+C41+C59+C35+C62+C74+C20+C56+C44+C80+C83+C77+C86+C89+C92+C95+C68+C71</f>
        <v>973232630424</v>
      </c>
      <c r="D11" s="273">
        <f t="shared" ref="D11:Y11" si="0">D17+D14+D65+D23+D29+D47+D53+D26+D32+D38+D50+D41+D59+D35+D62+D74+D20+D56+D44+D80+D83+D77+D86+D89+D92+D95+D68+D71</f>
        <v>723619577172</v>
      </c>
      <c r="E11" s="273">
        <f t="shared" si="0"/>
        <v>54190254995</v>
      </c>
      <c r="F11" s="223">
        <f t="shared" si="0"/>
        <v>32885614000</v>
      </c>
      <c r="G11" s="223">
        <f t="shared" si="0"/>
        <v>16369090765</v>
      </c>
      <c r="H11" s="223">
        <f t="shared" si="0"/>
        <v>3770952821</v>
      </c>
      <c r="I11" s="223">
        <f t="shared" si="0"/>
        <v>1164597409</v>
      </c>
      <c r="J11" s="273">
        <f t="shared" si="0"/>
        <v>669429322177</v>
      </c>
      <c r="K11" s="223">
        <f t="shared" si="0"/>
        <v>6991600000</v>
      </c>
      <c r="L11" s="223">
        <f t="shared" si="0"/>
        <v>3249020000</v>
      </c>
      <c r="M11" s="223">
        <f t="shared" si="0"/>
        <v>382976553509</v>
      </c>
      <c r="N11" s="223">
        <f t="shared" si="0"/>
        <v>28317225000</v>
      </c>
      <c r="O11" s="223">
        <f t="shared" si="0"/>
        <v>1615790000</v>
      </c>
      <c r="P11" s="223">
        <f t="shared" si="0"/>
        <v>29515801000</v>
      </c>
      <c r="Q11" s="223">
        <f t="shared" si="0"/>
        <v>5060180000</v>
      </c>
      <c r="R11" s="223">
        <f t="shared" si="0"/>
        <v>7279200000</v>
      </c>
      <c r="S11" s="223">
        <f t="shared" si="0"/>
        <v>1096200000</v>
      </c>
      <c r="T11" s="223">
        <f t="shared" si="0"/>
        <v>1524000000</v>
      </c>
      <c r="U11" s="223">
        <f t="shared" si="0"/>
        <v>21714000</v>
      </c>
      <c r="V11" s="223">
        <f t="shared" si="0"/>
        <v>0</v>
      </c>
      <c r="W11" s="223">
        <f t="shared" si="0"/>
        <v>193800000</v>
      </c>
      <c r="X11" s="223">
        <f t="shared" si="0"/>
        <v>0</v>
      </c>
      <c r="Y11" s="223">
        <f t="shared" si="0"/>
        <v>47080000</v>
      </c>
      <c r="Z11" s="223">
        <f>Z17+Z14+Z65+Z23+Z29+Z47+Z53+Z26+Z32+Z38+Z50+Z41+Z59+Z35+Z62+Z74+Z20+Z56+Z44+Z80+Z83+Z77+Z86+Z89+Z92+Z95+Z68+Z71</f>
        <v>6183518100</v>
      </c>
      <c r="AA11" s="223">
        <f t="shared" ref="AA11:AC13" si="1">AA17+AA14+AA65+AA23+AA29+AA47+AA53+AA26+AA32+AA38+AA50+AA41+AA59+AA35+AA62+AA74+AA20+AA56+AA44+AA80+AA83+AA77+AA86+AA89+AA92+AA95+AA68+AA71</f>
        <v>184571400</v>
      </c>
      <c r="AB11" s="223">
        <f t="shared" si="1"/>
        <v>715480070</v>
      </c>
      <c r="AC11" s="223">
        <f t="shared" si="1"/>
        <v>1972350420</v>
      </c>
      <c r="AD11" s="223">
        <f t="shared" ref="AD11:AI13" si="2">AD17+AD14+AD65+AD23+AD29+AD47+AD53+AD26+AD32+AD38+AD50+AD41+AD59+AD35+AD62+AD74+AD20+AD56+AD44+AD80+AD83+AD77+AD86+AD89+AD92+AD95+AD68+AD71</f>
        <v>3658549728</v>
      </c>
      <c r="AE11" s="223">
        <f t="shared" si="2"/>
        <v>616506600</v>
      </c>
      <c r="AF11" s="223">
        <f t="shared" si="2"/>
        <v>5645407000</v>
      </c>
      <c r="AG11" s="223">
        <f t="shared" si="2"/>
        <v>103600000</v>
      </c>
      <c r="AH11" s="223">
        <f t="shared" si="2"/>
        <v>46170780000</v>
      </c>
      <c r="AI11" s="223">
        <f t="shared" si="2"/>
        <v>3962284576</v>
      </c>
      <c r="AJ11" s="223">
        <f t="shared" ref="AJ11:AO13" si="3">AJ17+AJ14+AJ65+AJ23+AJ29+AJ47+AJ53+AJ26+AJ32+AJ38+AJ50+AJ41+AJ59+AJ35+AJ62+AJ74+AJ20+AJ56+AJ44+AJ80+AJ83+AJ77+AJ86+AJ89+AJ92+AJ95+AJ68+AJ71</f>
        <v>3764450220</v>
      </c>
      <c r="AK11" s="223">
        <f t="shared" si="3"/>
        <v>6889055047</v>
      </c>
      <c r="AL11" s="223">
        <f t="shared" si="3"/>
        <v>1388629280</v>
      </c>
      <c r="AM11" s="223">
        <f t="shared" si="3"/>
        <v>3258968792</v>
      </c>
      <c r="AN11" s="223">
        <f t="shared" si="3"/>
        <v>6409237000</v>
      </c>
      <c r="AO11" s="223">
        <f t="shared" si="3"/>
        <v>24061571000</v>
      </c>
      <c r="AP11" s="223">
        <f t="shared" ref="AP11:CN13" si="4">AP17+AP14+AP65+AP23+AP29+AP47+AP53+AP26+AP32+AP38+AP50+AP41+AP59+AP35+AP62+AP74+AP20+AP56+AP44+AP80+AP83+AP77+AP86+AP89+AP92+AP95+AP68+AP71</f>
        <v>1314429823</v>
      </c>
      <c r="AQ11" s="223">
        <f t="shared" si="4"/>
        <v>700000000</v>
      </c>
      <c r="AR11" s="223">
        <f t="shared" si="4"/>
        <v>2229647805</v>
      </c>
      <c r="AS11" s="223">
        <f t="shared" si="4"/>
        <v>920222000</v>
      </c>
      <c r="AT11" s="223">
        <f t="shared" si="4"/>
        <v>3429191152</v>
      </c>
      <c r="AU11" s="223">
        <f t="shared" si="4"/>
        <v>1174088000</v>
      </c>
      <c r="AV11" s="223">
        <f t="shared" si="4"/>
        <v>6632000000</v>
      </c>
      <c r="AW11" s="223">
        <f t="shared" si="4"/>
        <v>5000000000</v>
      </c>
      <c r="AX11" s="223">
        <f t="shared" si="4"/>
        <v>3000000000</v>
      </c>
      <c r="AY11" s="223">
        <f t="shared" si="4"/>
        <v>2150000000</v>
      </c>
      <c r="AZ11" s="223">
        <f t="shared" si="4"/>
        <v>4420850000</v>
      </c>
      <c r="BA11" s="223">
        <f t="shared" si="4"/>
        <v>44022614329</v>
      </c>
      <c r="BB11" s="223">
        <f t="shared" si="4"/>
        <v>459444450</v>
      </c>
      <c r="BC11" s="223">
        <f t="shared" si="4"/>
        <v>170000000</v>
      </c>
      <c r="BD11" s="223">
        <f t="shared" si="4"/>
        <v>10933711876</v>
      </c>
      <c r="BE11" s="273">
        <f t="shared" si="4"/>
        <v>249511386752</v>
      </c>
      <c r="BF11" s="273">
        <f>BF17+BF14+BF65+BF23+BF29+BF47+BF53+BF26+BF32+BF38+BF50+BF41+BF59+BF35+BF62+BF74+BF20+BF56+BF44+BF80+BF83+BF77+BF86+BF89+BF92+BF95+BF68+BF71</f>
        <v>107110673000</v>
      </c>
      <c r="BG11" s="273">
        <f t="shared" si="4"/>
        <v>142400713752</v>
      </c>
      <c r="BH11" s="223">
        <f t="shared" si="4"/>
        <v>139952000</v>
      </c>
      <c r="BI11" s="223">
        <f t="shared" si="4"/>
        <v>0</v>
      </c>
      <c r="BJ11" s="223">
        <f t="shared" si="4"/>
        <v>12663000</v>
      </c>
      <c r="BK11" s="223">
        <f t="shared" si="4"/>
        <v>0</v>
      </c>
      <c r="BL11" s="223">
        <f t="shared" ref="BL11:BM13" si="5">BL17+BL14+BL65+BL23+BL29+BL47+BL53+BL26+BL32+BL38+BL50+BL41+BL59+BL35+BL62+BL74+BL20+BL56+BL44+BL80+BL83+BL77+BL86+BL89+BL92+BL95+BL68+BL71</f>
        <v>3500000000</v>
      </c>
      <c r="BM11" s="223">
        <f t="shared" si="5"/>
        <v>53000296000</v>
      </c>
      <c r="BN11" s="223">
        <f t="shared" si="4"/>
        <v>40500000000</v>
      </c>
      <c r="BO11" s="223">
        <f t="shared" si="4"/>
        <v>4451000000</v>
      </c>
      <c r="BP11" s="223">
        <f t="shared" si="4"/>
        <v>69162000000</v>
      </c>
      <c r="BQ11" s="223">
        <f t="shared" si="4"/>
        <v>0</v>
      </c>
      <c r="BR11" s="223">
        <f t="shared" si="4"/>
        <v>17382724000</v>
      </c>
      <c r="BS11" s="223">
        <f t="shared" si="4"/>
        <v>753000000</v>
      </c>
      <c r="BT11" s="223">
        <f t="shared" si="4"/>
        <v>1111000000</v>
      </c>
      <c r="BU11" s="223">
        <f t="shared" si="4"/>
        <v>1007000000</v>
      </c>
      <c r="BV11" s="223">
        <f t="shared" si="4"/>
        <v>2129000000</v>
      </c>
      <c r="BW11" s="223">
        <f t="shared" si="4"/>
        <v>0</v>
      </c>
      <c r="BX11" s="223">
        <f t="shared" si="4"/>
        <v>10714000000</v>
      </c>
      <c r="BY11" s="223">
        <f t="shared" si="4"/>
        <v>15539000000</v>
      </c>
      <c r="BZ11" s="223">
        <f t="shared" si="4"/>
        <v>8495000000</v>
      </c>
      <c r="CA11" s="223">
        <f t="shared" si="4"/>
        <v>7541580900</v>
      </c>
      <c r="CB11" s="223">
        <f t="shared" si="4"/>
        <v>20000000</v>
      </c>
      <c r="CC11" s="223">
        <f t="shared" si="4"/>
        <v>2577000000</v>
      </c>
      <c r="CD11" s="223">
        <f t="shared" si="4"/>
        <v>1281398476</v>
      </c>
      <c r="CE11" s="223">
        <f t="shared" si="4"/>
        <v>9957762000</v>
      </c>
      <c r="CF11" s="223">
        <f t="shared" si="4"/>
        <v>0</v>
      </c>
      <c r="CG11" s="223">
        <f t="shared" si="4"/>
        <v>200000000</v>
      </c>
      <c r="CH11" s="223">
        <f t="shared" si="4"/>
        <v>37010376</v>
      </c>
      <c r="CI11" s="273">
        <f t="shared" si="4"/>
        <v>101666500</v>
      </c>
      <c r="CJ11" s="273">
        <f t="shared" si="4"/>
        <v>0</v>
      </c>
      <c r="CK11" s="273">
        <f t="shared" si="4"/>
        <v>101666500</v>
      </c>
      <c r="CL11" s="223">
        <f t="shared" si="4"/>
        <v>0</v>
      </c>
      <c r="CM11" s="223">
        <f t="shared" si="4"/>
        <v>6666500</v>
      </c>
      <c r="CN11" s="223">
        <f t="shared" si="4"/>
        <v>95000000</v>
      </c>
      <c r="CO11" s="286" t="s">
        <v>21</v>
      </c>
      <c r="CP11" s="333">
        <f>CP17+CP14+CP65+CP23+CP29+CP47+CP53+CP26+CP32+CP38+CP50+CP41+CP59+CP35+CP62+CP74+CP20+CP56+CP44+CP80+CP83+CP77+CP86+CP89+CP92+CP95+CP68+CP71</f>
        <v>964772504530</v>
      </c>
      <c r="CQ11" s="333">
        <f t="shared" ref="CQ11:ER13" si="6">CQ17+CQ14+CQ65+CQ23+CQ29+CQ47+CQ53+CQ26+CQ32+CQ38+CQ50+CQ41+CQ59+CQ35+CQ62+CQ74+CQ20+CQ56+CQ44+CQ80+CQ83+CQ77+CQ86+CQ89+CQ92+CQ95+CQ68+CQ71</f>
        <v>689352513091</v>
      </c>
      <c r="CR11" s="333">
        <f t="shared" si="6"/>
        <v>47411463409</v>
      </c>
      <c r="CS11" s="287">
        <f t="shared" si="6"/>
        <v>31353532000</v>
      </c>
      <c r="CT11" s="287">
        <f t="shared" si="6"/>
        <v>12303977000</v>
      </c>
      <c r="CU11" s="287">
        <f t="shared" si="6"/>
        <v>2589357000</v>
      </c>
      <c r="CV11" s="287">
        <f t="shared" si="6"/>
        <v>1164597409</v>
      </c>
      <c r="CW11" s="333">
        <f t="shared" si="6"/>
        <v>641941049682</v>
      </c>
      <c r="CX11" s="287">
        <f t="shared" si="6"/>
        <v>6991600000</v>
      </c>
      <c r="CY11" s="287">
        <f t="shared" si="6"/>
        <v>3249020000</v>
      </c>
      <c r="CZ11" s="287">
        <f t="shared" si="6"/>
        <v>381712057509</v>
      </c>
      <c r="DA11" s="287">
        <f t="shared" si="6"/>
        <v>28029225000</v>
      </c>
      <c r="DB11" s="287">
        <f t="shared" si="6"/>
        <v>1615790000</v>
      </c>
      <c r="DC11" s="287">
        <f t="shared" si="6"/>
        <v>29515801000</v>
      </c>
      <c r="DD11" s="287">
        <f t="shared" si="6"/>
        <v>5060180000</v>
      </c>
      <c r="DE11" s="287">
        <f t="shared" si="6"/>
        <v>7279200000</v>
      </c>
      <c r="DF11" s="287">
        <f t="shared" si="6"/>
        <v>1096200000</v>
      </c>
      <c r="DG11" s="287">
        <f t="shared" si="6"/>
        <v>1524000000</v>
      </c>
      <c r="DH11" s="287">
        <f t="shared" si="6"/>
        <v>21714000</v>
      </c>
      <c r="DI11" s="287">
        <f t="shared" si="6"/>
        <v>0</v>
      </c>
      <c r="DJ11" s="287">
        <f t="shared" si="6"/>
        <v>193800000</v>
      </c>
      <c r="DK11" s="287">
        <f t="shared" si="6"/>
        <v>0</v>
      </c>
      <c r="DL11" s="287">
        <f t="shared" si="6"/>
        <v>47080000</v>
      </c>
      <c r="DM11" s="287">
        <f>DM17+DM14+DM65+DM23+DM29+DM47+DM53+DM26+DM32+DM38+DM50+DM41+DM59+DM35+DM62+DM74+DM20+DM56+DM44+DM80+DM83+DM77+DM86+DM89+DM92+DM95+DM68+DM71</f>
        <v>3995189118</v>
      </c>
      <c r="DN11" s="287">
        <f t="shared" si="6"/>
        <v>184571400</v>
      </c>
      <c r="DO11" s="287">
        <f t="shared" si="6"/>
        <v>430480670</v>
      </c>
      <c r="DP11" s="287">
        <f t="shared" si="6"/>
        <v>1652350420</v>
      </c>
      <c r="DQ11" s="287">
        <f t="shared" si="6"/>
        <v>3658549728</v>
      </c>
      <c r="DR11" s="287">
        <f t="shared" si="6"/>
        <v>616506600</v>
      </c>
      <c r="DS11" s="287">
        <f t="shared" si="6"/>
        <v>5645407000</v>
      </c>
      <c r="DT11" s="287">
        <f t="shared" si="6"/>
        <v>103600000</v>
      </c>
      <c r="DU11" s="287">
        <f t="shared" si="6"/>
        <v>45329040000</v>
      </c>
      <c r="DV11" s="287">
        <f t="shared" si="6"/>
        <v>3962284576</v>
      </c>
      <c r="DW11" s="287">
        <f t="shared" si="6"/>
        <v>3764450220</v>
      </c>
      <c r="DX11" s="287">
        <f t="shared" si="6"/>
        <v>5139055047</v>
      </c>
      <c r="DY11" s="287">
        <f t="shared" si="6"/>
        <v>1388629280</v>
      </c>
      <c r="DZ11" s="287">
        <f t="shared" si="6"/>
        <v>3217746000</v>
      </c>
      <c r="EA11" s="287">
        <f t="shared" si="6"/>
        <v>6409237000</v>
      </c>
      <c r="EB11" s="287">
        <f t="shared" si="6"/>
        <v>22735963000</v>
      </c>
      <c r="EC11" s="287">
        <f t="shared" si="6"/>
        <v>1314429823</v>
      </c>
      <c r="ED11" s="287">
        <f t="shared" si="6"/>
        <v>700000000</v>
      </c>
      <c r="EE11" s="287">
        <f t="shared" si="6"/>
        <v>0</v>
      </c>
      <c r="EF11" s="287">
        <f t="shared" si="6"/>
        <v>920222000</v>
      </c>
      <c r="EG11" s="287">
        <f t="shared" si="6"/>
        <v>3429191152</v>
      </c>
      <c r="EH11" s="287">
        <f t="shared" si="6"/>
        <v>1174088000</v>
      </c>
      <c r="EI11" s="287">
        <f t="shared" si="6"/>
        <v>5611482360</v>
      </c>
      <c r="EJ11" s="287">
        <f t="shared" si="6"/>
        <v>0</v>
      </c>
      <c r="EK11" s="287">
        <f t="shared" si="6"/>
        <v>3000000000</v>
      </c>
      <c r="EL11" s="287">
        <f t="shared" si="6"/>
        <v>2150000000</v>
      </c>
      <c r="EM11" s="287">
        <f t="shared" si="6"/>
        <v>4420850000</v>
      </c>
      <c r="EN11" s="287">
        <f t="shared" si="6"/>
        <v>44022614329</v>
      </c>
      <c r="EO11" s="287">
        <f t="shared" si="6"/>
        <v>459444450</v>
      </c>
      <c r="EP11" s="287">
        <f t="shared" si="6"/>
        <v>170000000</v>
      </c>
      <c r="EQ11" s="287">
        <f t="shared" si="6"/>
        <v>0</v>
      </c>
      <c r="ER11" s="333">
        <f t="shared" si="6"/>
        <v>142202640013</v>
      </c>
      <c r="ES11" s="333">
        <f>ES17+ES14+ES65+ES23+ES29+ES47+ES53+ES26+ES32+ES38+ES50+ES41+ES59+ES35+ES62+ES74+ES20+ES56+ES44+ES80+ES83+ES77+ES86+ES89+ES92+ES95+ES68+ES71</f>
        <v>82449311000</v>
      </c>
      <c r="ET11" s="333">
        <f t="shared" ref="ET11:GB13" si="7">ET17+ET14+ET65+ET23+ET29+ET47+ET53+ET26+ET32+ET38+ET50+ET41+ET59+ET35+ET62+ET74+ET20+ET56+ET44+ET80+ET83+ET77+ET86+ET89+ET92+ET95+ET68+ET71</f>
        <v>59753329013</v>
      </c>
      <c r="EU11" s="287">
        <f t="shared" si="7"/>
        <v>0</v>
      </c>
      <c r="EV11" s="287">
        <f t="shared" si="7"/>
        <v>0</v>
      </c>
      <c r="EW11" s="287">
        <f t="shared" si="7"/>
        <v>12663000</v>
      </c>
      <c r="EX11" s="287">
        <f t="shared" si="7"/>
        <v>0</v>
      </c>
      <c r="EY11" s="287">
        <f t="shared" ref="EY11:EZ13" si="8">EY17+EY14+EY65+EY23+EY29+EY47+EY53+EY26+EY32+EY38+EY50+EY41+EY59+EY35+EY62+EY74+EY20+EY56+EY44+EY80+EY83+EY77+EY86+EY89+EY92+EY95+EY68+EY71</f>
        <v>2687805000</v>
      </c>
      <c r="EZ11" s="287">
        <f t="shared" si="8"/>
        <v>39996321000</v>
      </c>
      <c r="FA11" s="287">
        <f t="shared" si="7"/>
        <v>31769484000</v>
      </c>
      <c r="FB11" s="287">
        <f t="shared" si="7"/>
        <v>4191536000</v>
      </c>
      <c r="FC11" s="287">
        <f t="shared" si="7"/>
        <v>34884499547</v>
      </c>
      <c r="FD11" s="287">
        <f t="shared" si="7"/>
        <v>0</v>
      </c>
      <c r="FE11" s="287">
        <f t="shared" si="7"/>
        <v>1323768000</v>
      </c>
      <c r="FF11" s="287">
        <f t="shared" si="7"/>
        <v>685210000</v>
      </c>
      <c r="FG11" s="287">
        <f t="shared" si="7"/>
        <v>340256510</v>
      </c>
      <c r="FH11" s="287">
        <f t="shared" si="7"/>
        <v>255129180</v>
      </c>
      <c r="FI11" s="287">
        <f t="shared" si="7"/>
        <v>1783879000</v>
      </c>
      <c r="FJ11" s="287">
        <f t="shared" si="7"/>
        <v>0</v>
      </c>
      <c r="FK11" s="287">
        <f t="shared" si="7"/>
        <v>9300129000</v>
      </c>
      <c r="FL11" s="287">
        <f t="shared" si="7"/>
        <v>0</v>
      </c>
      <c r="FM11" s="287">
        <f t="shared" si="7"/>
        <v>1796150000</v>
      </c>
      <c r="FN11" s="287">
        <f t="shared" si="7"/>
        <v>1785544700</v>
      </c>
      <c r="FO11" s="287">
        <f t="shared" si="7"/>
        <v>0</v>
      </c>
      <c r="FP11" s="287">
        <f t="shared" si="7"/>
        <v>2066149600</v>
      </c>
      <c r="FQ11" s="287">
        <f t="shared" si="7"/>
        <v>1104127476</v>
      </c>
      <c r="FR11" s="287">
        <f t="shared" si="7"/>
        <v>7983038000</v>
      </c>
      <c r="FS11" s="287">
        <f t="shared" si="7"/>
        <v>0</v>
      </c>
      <c r="FT11" s="287">
        <f t="shared" si="7"/>
        <v>200000000</v>
      </c>
      <c r="FU11" s="287">
        <f t="shared" si="7"/>
        <v>36950000</v>
      </c>
      <c r="FV11" s="333">
        <f t="shared" si="7"/>
        <v>101666500</v>
      </c>
      <c r="FW11" s="333">
        <f t="shared" si="7"/>
        <v>0</v>
      </c>
      <c r="FX11" s="333">
        <f t="shared" si="7"/>
        <v>101666500</v>
      </c>
      <c r="FY11" s="287">
        <f t="shared" si="7"/>
        <v>0</v>
      </c>
      <c r="FZ11" s="287">
        <f t="shared" si="7"/>
        <v>6666500</v>
      </c>
      <c r="GA11" s="287">
        <f t="shared" si="7"/>
        <v>95000000</v>
      </c>
      <c r="GB11" s="333">
        <f t="shared" si="7"/>
        <v>133115684926</v>
      </c>
      <c r="GC11" s="341">
        <f>CP11/C11</f>
        <v>0.99130719046039972</v>
      </c>
      <c r="GD11" s="341">
        <f>CR11/E11</f>
        <v>0.87490755327456082</v>
      </c>
      <c r="GE11" s="341">
        <f>CW11/J11</f>
        <v>0.9589377525238848</v>
      </c>
      <c r="GF11" s="341">
        <f>ER11/BE11</f>
        <v>0.56992445059968855</v>
      </c>
      <c r="GG11" s="341">
        <f>FV11/CI11</f>
        <v>1</v>
      </c>
    </row>
    <row r="12" spans="1:189" s="91" customFormat="1" ht="17.25" customHeight="1">
      <c r="A12" s="224"/>
      <c r="B12" s="225" t="s">
        <v>17</v>
      </c>
      <c r="C12" s="274">
        <f t="shared" ref="C12:Y13" si="9">C18+C15+C66+C24+C30+C48+C54+C27+C33+C39+C51+C42+C60+C36+C63+C75+C21+C57+C45+C81+C84+C78+C87+C90+C93+C96+C69+C72</f>
        <v>161300927995</v>
      </c>
      <c r="D12" s="274">
        <f>D18+D15+D66+D24+D30+D48+D54+D27+D33+D39+D51+D42+D60+D36+D63+D75+D21+D57+D45+D81+D84+D78+D87+D90+D93+D96+D69+D72</f>
        <v>54190254995</v>
      </c>
      <c r="E12" s="274">
        <f t="shared" si="9"/>
        <v>54190254995</v>
      </c>
      <c r="F12" s="226">
        <f t="shared" si="9"/>
        <v>32885614000</v>
      </c>
      <c r="G12" s="226">
        <f t="shared" si="9"/>
        <v>16369090765</v>
      </c>
      <c r="H12" s="226">
        <f t="shared" si="9"/>
        <v>3770952821</v>
      </c>
      <c r="I12" s="226">
        <f t="shared" si="9"/>
        <v>1164597409</v>
      </c>
      <c r="J12" s="274">
        <f t="shared" si="9"/>
        <v>0</v>
      </c>
      <c r="K12" s="226">
        <f t="shared" si="9"/>
        <v>0</v>
      </c>
      <c r="L12" s="226">
        <f t="shared" si="9"/>
        <v>0</v>
      </c>
      <c r="M12" s="226">
        <f t="shared" si="9"/>
        <v>0</v>
      </c>
      <c r="N12" s="226">
        <f t="shared" si="9"/>
        <v>0</v>
      </c>
      <c r="O12" s="226">
        <f t="shared" si="9"/>
        <v>0</v>
      </c>
      <c r="P12" s="226">
        <f t="shared" si="9"/>
        <v>0</v>
      </c>
      <c r="Q12" s="226">
        <f t="shared" si="9"/>
        <v>0</v>
      </c>
      <c r="R12" s="226">
        <f t="shared" si="9"/>
        <v>0</v>
      </c>
      <c r="S12" s="226">
        <f t="shared" si="9"/>
        <v>0</v>
      </c>
      <c r="T12" s="226">
        <f t="shared" si="9"/>
        <v>0</v>
      </c>
      <c r="U12" s="226">
        <f t="shared" si="9"/>
        <v>0</v>
      </c>
      <c r="V12" s="226">
        <f t="shared" si="9"/>
        <v>0</v>
      </c>
      <c r="W12" s="226">
        <f t="shared" si="9"/>
        <v>0</v>
      </c>
      <c r="X12" s="226">
        <f t="shared" si="9"/>
        <v>0</v>
      </c>
      <c r="Y12" s="226">
        <f t="shared" si="9"/>
        <v>0</v>
      </c>
      <c r="Z12" s="226">
        <f>Z18+Z15+Z66+Z24+Z30+Z48+Z54+Z27+Z33+Z39+Z51+Z42+Z60+Z36+Z63+Z75+Z21+Z57+Z45+Z81+Z84+Z78+Z87+Z90+Z93+Z96+Z69+Z72</f>
        <v>0</v>
      </c>
      <c r="AA12" s="226">
        <f t="shared" si="1"/>
        <v>0</v>
      </c>
      <c r="AB12" s="226">
        <f t="shared" si="1"/>
        <v>0</v>
      </c>
      <c r="AC12" s="226">
        <f t="shared" si="1"/>
        <v>0</v>
      </c>
      <c r="AD12" s="226">
        <f t="shared" si="2"/>
        <v>0</v>
      </c>
      <c r="AE12" s="226">
        <f t="shared" si="2"/>
        <v>0</v>
      </c>
      <c r="AF12" s="226">
        <f t="shared" si="2"/>
        <v>0</v>
      </c>
      <c r="AG12" s="226">
        <f t="shared" si="2"/>
        <v>0</v>
      </c>
      <c r="AH12" s="226">
        <f t="shared" si="2"/>
        <v>0</v>
      </c>
      <c r="AI12" s="226">
        <f t="shared" si="2"/>
        <v>0</v>
      </c>
      <c r="AJ12" s="226">
        <f t="shared" si="3"/>
        <v>0</v>
      </c>
      <c r="AK12" s="226">
        <f t="shared" si="3"/>
        <v>0</v>
      </c>
      <c r="AL12" s="226">
        <f t="shared" si="3"/>
        <v>0</v>
      </c>
      <c r="AM12" s="226">
        <f t="shared" si="3"/>
        <v>0</v>
      </c>
      <c r="AN12" s="226">
        <f t="shared" si="3"/>
        <v>0</v>
      </c>
      <c r="AO12" s="226">
        <f t="shared" si="3"/>
        <v>0</v>
      </c>
      <c r="AP12" s="226">
        <f t="shared" si="4"/>
        <v>0</v>
      </c>
      <c r="AQ12" s="226">
        <f t="shared" si="4"/>
        <v>0</v>
      </c>
      <c r="AR12" s="226">
        <f t="shared" si="4"/>
        <v>0</v>
      </c>
      <c r="AS12" s="226">
        <f t="shared" si="4"/>
        <v>0</v>
      </c>
      <c r="AT12" s="226">
        <f t="shared" si="4"/>
        <v>0</v>
      </c>
      <c r="AU12" s="226">
        <f t="shared" si="4"/>
        <v>0</v>
      </c>
      <c r="AV12" s="226">
        <f t="shared" si="4"/>
        <v>0</v>
      </c>
      <c r="AW12" s="226">
        <f t="shared" si="4"/>
        <v>0</v>
      </c>
      <c r="AX12" s="226">
        <f t="shared" si="4"/>
        <v>0</v>
      </c>
      <c r="AY12" s="226">
        <f t="shared" si="4"/>
        <v>0</v>
      </c>
      <c r="AZ12" s="226">
        <f t="shared" si="4"/>
        <v>0</v>
      </c>
      <c r="BA12" s="226">
        <f t="shared" si="4"/>
        <v>0</v>
      </c>
      <c r="BB12" s="226">
        <f t="shared" si="4"/>
        <v>0</v>
      </c>
      <c r="BC12" s="226">
        <f t="shared" si="4"/>
        <v>0</v>
      </c>
      <c r="BD12" s="226">
        <f t="shared" si="4"/>
        <v>0</v>
      </c>
      <c r="BE12" s="274">
        <f t="shared" si="4"/>
        <v>107110673000</v>
      </c>
      <c r="BF12" s="274">
        <f>BF18+BF15+BF66+BF24+BF30+BF48+BF54+BF27+BF33+BF39+BF51+BF42+BF60+BF36+BF63+BF75+BF21+BF57+BF45+BF81+BF84+BF78+BF87+BF90+BF93+BF96+BF69+BF72</f>
        <v>107110673000</v>
      </c>
      <c r="BG12" s="274">
        <f t="shared" si="4"/>
        <v>0</v>
      </c>
      <c r="BH12" s="226">
        <f t="shared" si="4"/>
        <v>139952000</v>
      </c>
      <c r="BI12" s="226">
        <f t="shared" si="4"/>
        <v>0</v>
      </c>
      <c r="BJ12" s="226">
        <f t="shared" si="4"/>
        <v>12663000</v>
      </c>
      <c r="BK12" s="226">
        <f t="shared" si="4"/>
        <v>0</v>
      </c>
      <c r="BL12" s="226">
        <f t="shared" si="5"/>
        <v>3500000000</v>
      </c>
      <c r="BM12" s="226">
        <f t="shared" si="5"/>
        <v>53000296000</v>
      </c>
      <c r="BN12" s="226">
        <f t="shared" si="4"/>
        <v>40500000000</v>
      </c>
      <c r="BO12" s="226">
        <f t="shared" si="4"/>
        <v>0</v>
      </c>
      <c r="BP12" s="226">
        <f t="shared" si="4"/>
        <v>0</v>
      </c>
      <c r="BQ12" s="226">
        <f t="shared" si="4"/>
        <v>0</v>
      </c>
      <c r="BR12" s="226">
        <f t="shared" si="4"/>
        <v>0</v>
      </c>
      <c r="BS12" s="226">
        <f t="shared" si="4"/>
        <v>0</v>
      </c>
      <c r="BT12" s="226">
        <f t="shared" si="4"/>
        <v>0</v>
      </c>
      <c r="BU12" s="226">
        <f t="shared" si="4"/>
        <v>0</v>
      </c>
      <c r="BV12" s="226">
        <f t="shared" si="4"/>
        <v>0</v>
      </c>
      <c r="BW12" s="226">
        <f t="shared" si="4"/>
        <v>0</v>
      </c>
      <c r="BX12" s="226">
        <f t="shared" si="4"/>
        <v>0</v>
      </c>
      <c r="BY12" s="226">
        <f t="shared" si="4"/>
        <v>0</v>
      </c>
      <c r="BZ12" s="226">
        <f t="shared" si="4"/>
        <v>0</v>
      </c>
      <c r="CA12" s="226">
        <f t="shared" si="4"/>
        <v>0</v>
      </c>
      <c r="CB12" s="226">
        <f t="shared" si="4"/>
        <v>0</v>
      </c>
      <c r="CC12" s="226">
        <f t="shared" si="4"/>
        <v>0</v>
      </c>
      <c r="CD12" s="226">
        <f t="shared" si="4"/>
        <v>0</v>
      </c>
      <c r="CE12" s="226">
        <f t="shared" si="4"/>
        <v>9957762000</v>
      </c>
      <c r="CF12" s="226">
        <f t="shared" si="4"/>
        <v>0</v>
      </c>
      <c r="CG12" s="226">
        <f t="shared" si="4"/>
        <v>0</v>
      </c>
      <c r="CH12" s="226">
        <f t="shared" si="4"/>
        <v>0</v>
      </c>
      <c r="CI12" s="274">
        <f t="shared" si="4"/>
        <v>0</v>
      </c>
      <c r="CJ12" s="274">
        <f t="shared" si="4"/>
        <v>0</v>
      </c>
      <c r="CK12" s="274">
        <f t="shared" si="4"/>
        <v>0</v>
      </c>
      <c r="CL12" s="226">
        <f t="shared" si="4"/>
        <v>0</v>
      </c>
      <c r="CM12" s="226">
        <f t="shared" si="4"/>
        <v>0</v>
      </c>
      <c r="CN12" s="226">
        <f t="shared" si="4"/>
        <v>0</v>
      </c>
      <c r="CO12" s="288" t="s">
        <v>17</v>
      </c>
      <c r="CP12" s="334">
        <f t="shared" ref="CP12:DS13" si="10">CP18+CP15+CP66+CP24+CP30+CP48+CP54+CP27+CP33+CP39+CP51+CP42+CP60+CP36+CP63+CP75+CP21+CP57+CP45+CP81+CP84+CP78+CP87+CP90+CP93+CP96+CP69+CP72</f>
        <v>157970436409</v>
      </c>
      <c r="CQ12" s="334">
        <f t="shared" si="10"/>
        <v>47411463409</v>
      </c>
      <c r="CR12" s="334">
        <f t="shared" si="10"/>
        <v>47411463409</v>
      </c>
      <c r="CS12" s="289">
        <f t="shared" si="10"/>
        <v>31353532000</v>
      </c>
      <c r="CT12" s="289">
        <f t="shared" si="10"/>
        <v>12303977000</v>
      </c>
      <c r="CU12" s="289">
        <f t="shared" si="10"/>
        <v>2589357000</v>
      </c>
      <c r="CV12" s="289">
        <f t="shared" si="10"/>
        <v>1164597409</v>
      </c>
      <c r="CW12" s="334">
        <f t="shared" si="10"/>
        <v>0</v>
      </c>
      <c r="CX12" s="289">
        <f t="shared" si="10"/>
        <v>0</v>
      </c>
      <c r="CY12" s="289">
        <f t="shared" si="10"/>
        <v>0</v>
      </c>
      <c r="CZ12" s="289">
        <f t="shared" si="10"/>
        <v>0</v>
      </c>
      <c r="DA12" s="289">
        <f t="shared" si="10"/>
        <v>0</v>
      </c>
      <c r="DB12" s="289">
        <f t="shared" si="10"/>
        <v>0</v>
      </c>
      <c r="DC12" s="289">
        <f t="shared" si="10"/>
        <v>0</v>
      </c>
      <c r="DD12" s="289">
        <f t="shared" si="10"/>
        <v>0</v>
      </c>
      <c r="DE12" s="289">
        <f t="shared" si="10"/>
        <v>0</v>
      </c>
      <c r="DF12" s="289">
        <f t="shared" si="10"/>
        <v>0</v>
      </c>
      <c r="DG12" s="289">
        <f t="shared" si="10"/>
        <v>0</v>
      </c>
      <c r="DH12" s="289">
        <f t="shared" si="10"/>
        <v>0</v>
      </c>
      <c r="DI12" s="289">
        <f t="shared" si="10"/>
        <v>0</v>
      </c>
      <c r="DJ12" s="289">
        <f t="shared" si="10"/>
        <v>0</v>
      </c>
      <c r="DK12" s="289">
        <f t="shared" si="10"/>
        <v>0</v>
      </c>
      <c r="DL12" s="289">
        <f t="shared" si="10"/>
        <v>0</v>
      </c>
      <c r="DM12" s="289">
        <f>DM18+DM15+DM66+DM24+DM30+DM48+DM54+DM27+DM33+DM39+DM51+DM42+DM60+DM36+DM63+DM75+DM21+DM57+DM45+DM81+DM84+DM78+DM87+DM90+DM93+DM96+DM69+DM72</f>
        <v>0</v>
      </c>
      <c r="DN12" s="289">
        <f t="shared" si="10"/>
        <v>0</v>
      </c>
      <c r="DO12" s="289">
        <f t="shared" si="10"/>
        <v>0</v>
      </c>
      <c r="DP12" s="289">
        <f t="shared" si="10"/>
        <v>0</v>
      </c>
      <c r="DQ12" s="289">
        <f t="shared" si="10"/>
        <v>0</v>
      </c>
      <c r="DR12" s="289">
        <f t="shared" si="10"/>
        <v>0</v>
      </c>
      <c r="DS12" s="289">
        <f t="shared" si="10"/>
        <v>0</v>
      </c>
      <c r="DT12" s="289">
        <f t="shared" si="6"/>
        <v>0</v>
      </c>
      <c r="DU12" s="289">
        <f t="shared" si="6"/>
        <v>0</v>
      </c>
      <c r="DV12" s="289">
        <f t="shared" si="6"/>
        <v>0</v>
      </c>
      <c r="DW12" s="289">
        <f t="shared" si="6"/>
        <v>0</v>
      </c>
      <c r="DX12" s="289">
        <f t="shared" si="6"/>
        <v>0</v>
      </c>
      <c r="DY12" s="289">
        <f t="shared" si="6"/>
        <v>0</v>
      </c>
      <c r="DZ12" s="289">
        <f t="shared" si="6"/>
        <v>0</v>
      </c>
      <c r="EA12" s="289">
        <f t="shared" si="6"/>
        <v>0</v>
      </c>
      <c r="EB12" s="289">
        <f t="shared" si="6"/>
        <v>0</v>
      </c>
      <c r="EC12" s="289">
        <f t="shared" si="6"/>
        <v>0</v>
      </c>
      <c r="ED12" s="289">
        <f t="shared" si="6"/>
        <v>0</v>
      </c>
      <c r="EE12" s="289">
        <f t="shared" si="6"/>
        <v>0</v>
      </c>
      <c r="EF12" s="289">
        <f t="shared" si="6"/>
        <v>0</v>
      </c>
      <c r="EG12" s="289">
        <f t="shared" si="6"/>
        <v>0</v>
      </c>
      <c r="EH12" s="289">
        <f t="shared" si="6"/>
        <v>0</v>
      </c>
      <c r="EI12" s="289">
        <f t="shared" si="6"/>
        <v>0</v>
      </c>
      <c r="EJ12" s="289">
        <f t="shared" si="6"/>
        <v>0</v>
      </c>
      <c r="EK12" s="289">
        <f t="shared" si="6"/>
        <v>0</v>
      </c>
      <c r="EL12" s="289">
        <f t="shared" si="6"/>
        <v>0</v>
      </c>
      <c r="EM12" s="289">
        <f t="shared" si="6"/>
        <v>0</v>
      </c>
      <c r="EN12" s="289">
        <f t="shared" si="6"/>
        <v>0</v>
      </c>
      <c r="EO12" s="289">
        <f t="shared" si="6"/>
        <v>0</v>
      </c>
      <c r="EP12" s="289">
        <f t="shared" si="6"/>
        <v>0</v>
      </c>
      <c r="EQ12" s="289">
        <f t="shared" si="6"/>
        <v>0</v>
      </c>
      <c r="ER12" s="334">
        <f t="shared" si="6"/>
        <v>82449311000</v>
      </c>
      <c r="ES12" s="334">
        <f>ES18+ES15+ES66+ES24+ES30+ES48+ES54+ES27+ES33+ES39+ES51+ES42+ES60+ES36+ES63+ES75+ES21+ES57+ES45+ES81+ES84+ES78+ES87+ES90+ES93+ES96+ES69+ES72</f>
        <v>82449311000</v>
      </c>
      <c r="ET12" s="334">
        <f t="shared" si="7"/>
        <v>0</v>
      </c>
      <c r="EU12" s="289">
        <f t="shared" si="7"/>
        <v>0</v>
      </c>
      <c r="EV12" s="289">
        <f t="shared" si="7"/>
        <v>0</v>
      </c>
      <c r="EW12" s="289">
        <f t="shared" si="7"/>
        <v>12663000</v>
      </c>
      <c r="EX12" s="289">
        <f t="shared" si="7"/>
        <v>0</v>
      </c>
      <c r="EY12" s="289">
        <f t="shared" si="8"/>
        <v>2687805000</v>
      </c>
      <c r="EZ12" s="289">
        <f t="shared" si="8"/>
        <v>39996321000</v>
      </c>
      <c r="FA12" s="289">
        <f t="shared" si="7"/>
        <v>31769484000</v>
      </c>
      <c r="FB12" s="289">
        <f t="shared" si="7"/>
        <v>0</v>
      </c>
      <c r="FC12" s="289">
        <f t="shared" si="7"/>
        <v>0</v>
      </c>
      <c r="FD12" s="289">
        <f t="shared" si="7"/>
        <v>0</v>
      </c>
      <c r="FE12" s="289">
        <f t="shared" si="7"/>
        <v>0</v>
      </c>
      <c r="FF12" s="289">
        <f t="shared" si="7"/>
        <v>0</v>
      </c>
      <c r="FG12" s="289">
        <f t="shared" si="7"/>
        <v>0</v>
      </c>
      <c r="FH12" s="289">
        <f t="shared" si="7"/>
        <v>0</v>
      </c>
      <c r="FI12" s="289">
        <f t="shared" si="7"/>
        <v>0</v>
      </c>
      <c r="FJ12" s="289">
        <f t="shared" si="7"/>
        <v>0</v>
      </c>
      <c r="FK12" s="289">
        <f t="shared" si="7"/>
        <v>0</v>
      </c>
      <c r="FL12" s="289">
        <f t="shared" si="7"/>
        <v>0</v>
      </c>
      <c r="FM12" s="289">
        <f t="shared" si="7"/>
        <v>0</v>
      </c>
      <c r="FN12" s="289">
        <f t="shared" si="7"/>
        <v>0</v>
      </c>
      <c r="FO12" s="289">
        <f t="shared" si="7"/>
        <v>0</v>
      </c>
      <c r="FP12" s="289">
        <f t="shared" si="7"/>
        <v>0</v>
      </c>
      <c r="FQ12" s="289">
        <f t="shared" si="7"/>
        <v>0</v>
      </c>
      <c r="FR12" s="289">
        <f t="shared" si="7"/>
        <v>7983038000</v>
      </c>
      <c r="FS12" s="289">
        <f t="shared" si="7"/>
        <v>0</v>
      </c>
      <c r="FT12" s="289">
        <f t="shared" si="7"/>
        <v>0</v>
      </c>
      <c r="FU12" s="289">
        <f t="shared" si="7"/>
        <v>0</v>
      </c>
      <c r="FV12" s="334">
        <f t="shared" si="7"/>
        <v>0</v>
      </c>
      <c r="FW12" s="334">
        <f t="shared" si="7"/>
        <v>0</v>
      </c>
      <c r="FX12" s="334">
        <f t="shared" si="7"/>
        <v>0</v>
      </c>
      <c r="FY12" s="289">
        <f t="shared" si="7"/>
        <v>0</v>
      </c>
      <c r="FZ12" s="289">
        <f t="shared" si="7"/>
        <v>0</v>
      </c>
      <c r="GA12" s="289">
        <f t="shared" si="7"/>
        <v>0</v>
      </c>
      <c r="GB12" s="334">
        <f t="shared" si="7"/>
        <v>28109662000</v>
      </c>
      <c r="GC12" s="342">
        <f>CP12/C12</f>
        <v>0.97935230982612054</v>
      </c>
      <c r="GD12" s="342">
        <f>CR12/E12</f>
        <v>0.87490755327456082</v>
      </c>
      <c r="GE12" s="342"/>
      <c r="GF12" s="342">
        <f>ER12/BE12</f>
        <v>0.76975812671814692</v>
      </c>
      <c r="GG12" s="342"/>
    </row>
    <row r="13" spans="1:189" s="91" customFormat="1" ht="17.25" customHeight="1">
      <c r="A13" s="224"/>
      <c r="B13" s="225" t="s">
        <v>19</v>
      </c>
      <c r="C13" s="274">
        <f t="shared" si="9"/>
        <v>811931702429</v>
      </c>
      <c r="D13" s="274">
        <f t="shared" si="9"/>
        <v>669429322177</v>
      </c>
      <c r="E13" s="274">
        <f t="shared" si="9"/>
        <v>0</v>
      </c>
      <c r="F13" s="226">
        <f t="shared" si="9"/>
        <v>0</v>
      </c>
      <c r="G13" s="226">
        <f t="shared" si="9"/>
        <v>0</v>
      </c>
      <c r="H13" s="226">
        <f t="shared" si="9"/>
        <v>0</v>
      </c>
      <c r="I13" s="226">
        <f t="shared" si="9"/>
        <v>0</v>
      </c>
      <c r="J13" s="274">
        <f t="shared" si="9"/>
        <v>669429322177</v>
      </c>
      <c r="K13" s="226">
        <f t="shared" si="9"/>
        <v>6991600000</v>
      </c>
      <c r="L13" s="226">
        <f t="shared" si="9"/>
        <v>3249020000</v>
      </c>
      <c r="M13" s="226">
        <f t="shared" si="9"/>
        <v>382976553509</v>
      </c>
      <c r="N13" s="226">
        <f t="shared" si="9"/>
        <v>28317225000</v>
      </c>
      <c r="O13" s="226">
        <f t="shared" si="9"/>
        <v>1615790000</v>
      </c>
      <c r="P13" s="226">
        <f t="shared" si="9"/>
        <v>29515801000</v>
      </c>
      <c r="Q13" s="226">
        <f t="shared" si="9"/>
        <v>5060180000</v>
      </c>
      <c r="R13" s="226">
        <f t="shared" si="9"/>
        <v>7279200000</v>
      </c>
      <c r="S13" s="226">
        <f t="shared" si="9"/>
        <v>1096200000</v>
      </c>
      <c r="T13" s="226">
        <f t="shared" si="9"/>
        <v>1524000000</v>
      </c>
      <c r="U13" s="226">
        <f t="shared" si="9"/>
        <v>21714000</v>
      </c>
      <c r="V13" s="226">
        <f t="shared" si="9"/>
        <v>0</v>
      </c>
      <c r="W13" s="226">
        <f t="shared" si="9"/>
        <v>193800000</v>
      </c>
      <c r="X13" s="226">
        <f t="shared" si="9"/>
        <v>0</v>
      </c>
      <c r="Y13" s="226">
        <f t="shared" si="9"/>
        <v>47080000</v>
      </c>
      <c r="Z13" s="226">
        <f>Z19+Z16+Z67+Z25+Z31+Z49+Z55+Z28+Z34+Z40+Z52+Z43+Z61+Z37+Z64+Z76+Z22+Z58+Z46+Z82+Z85+Z79+Z88+Z91+Z94+Z97+Z70+Z73</f>
        <v>6183518100</v>
      </c>
      <c r="AA13" s="226">
        <f t="shared" si="1"/>
        <v>184571400</v>
      </c>
      <c r="AB13" s="226">
        <f t="shared" si="1"/>
        <v>715480070</v>
      </c>
      <c r="AC13" s="226">
        <f t="shared" si="1"/>
        <v>1972350420</v>
      </c>
      <c r="AD13" s="226">
        <f t="shared" si="2"/>
        <v>3658549728</v>
      </c>
      <c r="AE13" s="226">
        <f t="shared" si="2"/>
        <v>616506600</v>
      </c>
      <c r="AF13" s="226">
        <f t="shared" si="2"/>
        <v>5645407000</v>
      </c>
      <c r="AG13" s="226">
        <f t="shared" si="2"/>
        <v>103600000</v>
      </c>
      <c r="AH13" s="226">
        <f t="shared" si="2"/>
        <v>46170780000</v>
      </c>
      <c r="AI13" s="226">
        <f t="shared" si="2"/>
        <v>3962284576</v>
      </c>
      <c r="AJ13" s="226">
        <f t="shared" si="3"/>
        <v>3764450220</v>
      </c>
      <c r="AK13" s="226">
        <f t="shared" si="3"/>
        <v>6889055047</v>
      </c>
      <c r="AL13" s="226">
        <f t="shared" si="3"/>
        <v>1388629280</v>
      </c>
      <c r="AM13" s="226">
        <f t="shared" si="3"/>
        <v>3258968792</v>
      </c>
      <c r="AN13" s="226">
        <f t="shared" si="3"/>
        <v>6409237000</v>
      </c>
      <c r="AO13" s="226">
        <f t="shared" si="3"/>
        <v>24061571000</v>
      </c>
      <c r="AP13" s="226">
        <f t="shared" si="4"/>
        <v>1314429823</v>
      </c>
      <c r="AQ13" s="226">
        <f t="shared" si="4"/>
        <v>700000000</v>
      </c>
      <c r="AR13" s="226">
        <f t="shared" si="4"/>
        <v>2229647805</v>
      </c>
      <c r="AS13" s="226">
        <f t="shared" si="4"/>
        <v>920222000</v>
      </c>
      <c r="AT13" s="226">
        <f t="shared" si="4"/>
        <v>3429191152</v>
      </c>
      <c r="AU13" s="226">
        <f t="shared" si="4"/>
        <v>1174088000</v>
      </c>
      <c r="AV13" s="226">
        <f t="shared" si="4"/>
        <v>6632000000</v>
      </c>
      <c r="AW13" s="226">
        <f t="shared" si="4"/>
        <v>5000000000</v>
      </c>
      <c r="AX13" s="226">
        <f t="shared" si="4"/>
        <v>3000000000</v>
      </c>
      <c r="AY13" s="226">
        <f t="shared" si="4"/>
        <v>2150000000</v>
      </c>
      <c r="AZ13" s="226">
        <f t="shared" si="4"/>
        <v>4420850000</v>
      </c>
      <c r="BA13" s="226">
        <f t="shared" si="4"/>
        <v>44022614329</v>
      </c>
      <c r="BB13" s="226">
        <f t="shared" si="4"/>
        <v>459444450</v>
      </c>
      <c r="BC13" s="226">
        <f t="shared" si="4"/>
        <v>170000000</v>
      </c>
      <c r="BD13" s="226">
        <f t="shared" si="4"/>
        <v>10933711876</v>
      </c>
      <c r="BE13" s="274">
        <f t="shared" si="4"/>
        <v>142400713752</v>
      </c>
      <c r="BF13" s="274">
        <f>BF19+BF16+BF67+BF25+BF31+BF49+BF55+BF28+BF34+BF40+BF52+BF43+BF61+BF37+BF64+BF76+BF22+BF58+BF46+BF82+BF85+BF79+BF88+BF91+BF94+BF97+BF70+BF73</f>
        <v>0</v>
      </c>
      <c r="BG13" s="274">
        <f t="shared" si="4"/>
        <v>142400713752</v>
      </c>
      <c r="BH13" s="226">
        <f t="shared" si="4"/>
        <v>0</v>
      </c>
      <c r="BI13" s="226">
        <f t="shared" si="4"/>
        <v>0</v>
      </c>
      <c r="BJ13" s="226">
        <f t="shared" si="4"/>
        <v>0</v>
      </c>
      <c r="BK13" s="226">
        <f t="shared" si="4"/>
        <v>0</v>
      </c>
      <c r="BL13" s="226">
        <f t="shared" si="5"/>
        <v>0</v>
      </c>
      <c r="BM13" s="226">
        <f t="shared" si="5"/>
        <v>0</v>
      </c>
      <c r="BN13" s="226">
        <f t="shared" si="4"/>
        <v>0</v>
      </c>
      <c r="BO13" s="226">
        <f t="shared" si="4"/>
        <v>4451000000</v>
      </c>
      <c r="BP13" s="226">
        <f t="shared" si="4"/>
        <v>69162000000</v>
      </c>
      <c r="BQ13" s="226">
        <f t="shared" si="4"/>
        <v>0</v>
      </c>
      <c r="BR13" s="226">
        <f t="shared" si="4"/>
        <v>17382724000</v>
      </c>
      <c r="BS13" s="226">
        <f t="shared" si="4"/>
        <v>753000000</v>
      </c>
      <c r="BT13" s="226">
        <f t="shared" si="4"/>
        <v>1111000000</v>
      </c>
      <c r="BU13" s="226">
        <f t="shared" si="4"/>
        <v>1007000000</v>
      </c>
      <c r="BV13" s="226">
        <f t="shared" si="4"/>
        <v>2129000000</v>
      </c>
      <c r="BW13" s="226">
        <f t="shared" si="4"/>
        <v>0</v>
      </c>
      <c r="BX13" s="226">
        <f t="shared" si="4"/>
        <v>10714000000</v>
      </c>
      <c r="BY13" s="226">
        <f t="shared" si="4"/>
        <v>15539000000</v>
      </c>
      <c r="BZ13" s="226">
        <f t="shared" si="4"/>
        <v>8495000000</v>
      </c>
      <c r="CA13" s="226">
        <f t="shared" si="4"/>
        <v>7541580900</v>
      </c>
      <c r="CB13" s="226">
        <f t="shared" si="4"/>
        <v>20000000</v>
      </c>
      <c r="CC13" s="226">
        <f t="shared" si="4"/>
        <v>2577000000</v>
      </c>
      <c r="CD13" s="226">
        <f t="shared" si="4"/>
        <v>1281398476</v>
      </c>
      <c r="CE13" s="226">
        <f t="shared" si="4"/>
        <v>0</v>
      </c>
      <c r="CF13" s="226">
        <f t="shared" si="4"/>
        <v>0</v>
      </c>
      <c r="CG13" s="226">
        <f t="shared" si="4"/>
        <v>200000000</v>
      </c>
      <c r="CH13" s="226">
        <f t="shared" si="4"/>
        <v>37010376</v>
      </c>
      <c r="CI13" s="274">
        <f t="shared" si="4"/>
        <v>101666500</v>
      </c>
      <c r="CJ13" s="274">
        <f t="shared" si="4"/>
        <v>0</v>
      </c>
      <c r="CK13" s="274">
        <f t="shared" si="4"/>
        <v>101666500</v>
      </c>
      <c r="CL13" s="226">
        <f t="shared" si="4"/>
        <v>0</v>
      </c>
      <c r="CM13" s="226">
        <f t="shared" si="4"/>
        <v>6666500</v>
      </c>
      <c r="CN13" s="226">
        <f t="shared" si="4"/>
        <v>95000000</v>
      </c>
      <c r="CO13" s="288" t="s">
        <v>19</v>
      </c>
      <c r="CP13" s="334">
        <f>CP19+CP16+CP67+CP25+CP31+CP49+CP55+CP28+CP34+CP40+CP52+CP43+CP61+CP37+CP64+CP76+CP22+CP58+CP46+CP82+CP85+CP79+CP88+CP91+CP94+CP97+CP70+CP73</f>
        <v>806802068121</v>
      </c>
      <c r="CQ13" s="334">
        <f t="shared" si="10"/>
        <v>641941049682</v>
      </c>
      <c r="CR13" s="334">
        <f t="shared" si="10"/>
        <v>0</v>
      </c>
      <c r="CS13" s="289">
        <f>CS19+CS16+CS67+CS25+CS31+CS49+CS55+CS28+CS34+CS40+CS52+CS43+CS61+CS37+CS64+CS76+CS22+CS58+CS46+CS82+CS85+CS79+CS88+CS91+CS94+CS97+CS70+CS73</f>
        <v>0</v>
      </c>
      <c r="CT13" s="289">
        <f t="shared" si="10"/>
        <v>0</v>
      </c>
      <c r="CU13" s="289">
        <f t="shared" si="10"/>
        <v>0</v>
      </c>
      <c r="CV13" s="289">
        <f t="shared" si="10"/>
        <v>0</v>
      </c>
      <c r="CW13" s="334">
        <f t="shared" si="10"/>
        <v>641941049682</v>
      </c>
      <c r="CX13" s="289">
        <f t="shared" si="10"/>
        <v>6991600000</v>
      </c>
      <c r="CY13" s="289">
        <f t="shared" si="10"/>
        <v>3249020000</v>
      </c>
      <c r="CZ13" s="289">
        <f t="shared" si="10"/>
        <v>381712057509</v>
      </c>
      <c r="DA13" s="289">
        <f t="shared" si="10"/>
        <v>28029225000</v>
      </c>
      <c r="DB13" s="289">
        <f t="shared" si="10"/>
        <v>1615790000</v>
      </c>
      <c r="DC13" s="289">
        <f t="shared" si="10"/>
        <v>29515801000</v>
      </c>
      <c r="DD13" s="289">
        <f t="shared" si="10"/>
        <v>5060180000</v>
      </c>
      <c r="DE13" s="289">
        <f t="shared" si="10"/>
        <v>7279200000</v>
      </c>
      <c r="DF13" s="289">
        <f t="shared" si="10"/>
        <v>1096200000</v>
      </c>
      <c r="DG13" s="289">
        <f t="shared" si="10"/>
        <v>1524000000</v>
      </c>
      <c r="DH13" s="289">
        <f t="shared" si="10"/>
        <v>21714000</v>
      </c>
      <c r="DI13" s="289">
        <f t="shared" si="10"/>
        <v>0</v>
      </c>
      <c r="DJ13" s="289">
        <f t="shared" si="10"/>
        <v>193800000</v>
      </c>
      <c r="DK13" s="289">
        <f t="shared" si="10"/>
        <v>0</v>
      </c>
      <c r="DL13" s="289">
        <f t="shared" si="10"/>
        <v>47080000</v>
      </c>
      <c r="DM13" s="289">
        <f>DM19+DM16+DM67+DM25+DM31+DM49+DM55+DM28+DM34+DM40+DM52+DM43+DM61+DM37+DM64+DM76+DM22+DM58+DM46+DM82+DM85+DM79+DM88+DM91+DM94+DM97+DM70+DM73</f>
        <v>3995189118</v>
      </c>
      <c r="DN13" s="289">
        <f t="shared" si="10"/>
        <v>184571400</v>
      </c>
      <c r="DO13" s="289">
        <f t="shared" si="10"/>
        <v>430480670</v>
      </c>
      <c r="DP13" s="289">
        <f t="shared" si="10"/>
        <v>1652350420</v>
      </c>
      <c r="DQ13" s="289">
        <f t="shared" si="10"/>
        <v>3658549728</v>
      </c>
      <c r="DR13" s="289">
        <f t="shared" si="10"/>
        <v>616506600</v>
      </c>
      <c r="DS13" s="289">
        <f>DS19+DS16+DS67+DS25+DS31+DS49+DS55+DS28+DS34+DS40+DS52+DS43+DS61+DS37+DS64+DS76+DS22+DS58+DS46+DS82+DS85+DS79+DS88+DS91+DS94+DS97+DS70+DS73</f>
        <v>5645407000</v>
      </c>
      <c r="DT13" s="289">
        <f t="shared" si="6"/>
        <v>103600000</v>
      </c>
      <c r="DU13" s="289">
        <f t="shared" si="6"/>
        <v>45329040000</v>
      </c>
      <c r="DV13" s="289">
        <f t="shared" si="6"/>
        <v>3962284576</v>
      </c>
      <c r="DW13" s="289">
        <f t="shared" si="6"/>
        <v>3764450220</v>
      </c>
      <c r="DX13" s="289">
        <f t="shared" si="6"/>
        <v>5139055047</v>
      </c>
      <c r="DY13" s="289">
        <f t="shared" si="6"/>
        <v>1388629280</v>
      </c>
      <c r="DZ13" s="289">
        <f t="shared" si="6"/>
        <v>3217746000</v>
      </c>
      <c r="EA13" s="289">
        <f t="shared" si="6"/>
        <v>6409237000</v>
      </c>
      <c r="EB13" s="289">
        <f t="shared" si="6"/>
        <v>22735963000</v>
      </c>
      <c r="EC13" s="289">
        <f t="shared" si="6"/>
        <v>1314429823</v>
      </c>
      <c r="ED13" s="289">
        <f t="shared" si="6"/>
        <v>700000000</v>
      </c>
      <c r="EE13" s="289">
        <f t="shared" si="6"/>
        <v>0</v>
      </c>
      <c r="EF13" s="289">
        <f t="shared" si="6"/>
        <v>920222000</v>
      </c>
      <c r="EG13" s="289">
        <f t="shared" si="6"/>
        <v>3429191152</v>
      </c>
      <c r="EH13" s="289">
        <f t="shared" si="6"/>
        <v>1174088000</v>
      </c>
      <c r="EI13" s="289">
        <f t="shared" si="6"/>
        <v>5611482360</v>
      </c>
      <c r="EJ13" s="289">
        <f t="shared" si="6"/>
        <v>0</v>
      </c>
      <c r="EK13" s="289">
        <f>EK19+EK16+EK67+EK25+EK31+EK49+EK55+EK28+EK34+EK40+EK52+EK43+EK61+EK37+EK64+EK76+EK22+EK58+EK46+EK82+EK85+EK79+EK88+EK91+EK94+EK97+EK70+EK73</f>
        <v>3000000000</v>
      </c>
      <c r="EL13" s="289">
        <f t="shared" si="6"/>
        <v>2150000000</v>
      </c>
      <c r="EM13" s="289">
        <f>EM19+EM16+EM67+EM25+EM31+EM49+EM55+EM28+EM34+EM40+EM52+EM43+EM61+EM37+EM64+EM76+EM22+EM58+EM46+EM82+EM85+EM79+EM88+EM91+EM94+EM97+EM70+EM73</f>
        <v>4420850000</v>
      </c>
      <c r="EN13" s="289">
        <f t="shared" si="6"/>
        <v>44022614329</v>
      </c>
      <c r="EO13" s="289">
        <f t="shared" si="6"/>
        <v>459444450</v>
      </c>
      <c r="EP13" s="289">
        <f t="shared" si="6"/>
        <v>170000000</v>
      </c>
      <c r="EQ13" s="289">
        <f t="shared" si="6"/>
        <v>0</v>
      </c>
      <c r="ER13" s="334">
        <f t="shared" si="6"/>
        <v>59753329013</v>
      </c>
      <c r="ES13" s="334">
        <f>ES19+ES16+ES67+ES25+ES31+ES49+ES55+ES28+ES34+ES40+ES52+ES43+ES61+ES37+ES64+ES76+ES22+ES58+ES46+ES82+ES85+ES79+ES88+ES91+ES94+ES97+ES70+ES73</f>
        <v>0</v>
      </c>
      <c r="ET13" s="334">
        <f t="shared" si="7"/>
        <v>59753329013</v>
      </c>
      <c r="EU13" s="289">
        <f t="shared" si="7"/>
        <v>0</v>
      </c>
      <c r="EV13" s="289">
        <f t="shared" si="7"/>
        <v>0</v>
      </c>
      <c r="EW13" s="289">
        <f t="shared" si="7"/>
        <v>0</v>
      </c>
      <c r="EX13" s="289">
        <f t="shared" si="7"/>
        <v>0</v>
      </c>
      <c r="EY13" s="289">
        <f t="shared" si="8"/>
        <v>0</v>
      </c>
      <c r="EZ13" s="289">
        <f t="shared" si="8"/>
        <v>0</v>
      </c>
      <c r="FA13" s="289">
        <f t="shared" si="7"/>
        <v>0</v>
      </c>
      <c r="FB13" s="289">
        <f t="shared" si="7"/>
        <v>4191536000</v>
      </c>
      <c r="FC13" s="289">
        <f t="shared" si="7"/>
        <v>34884499547</v>
      </c>
      <c r="FD13" s="289">
        <f t="shared" si="7"/>
        <v>0</v>
      </c>
      <c r="FE13" s="289">
        <f t="shared" si="7"/>
        <v>1323768000</v>
      </c>
      <c r="FF13" s="289">
        <f t="shared" si="7"/>
        <v>685210000</v>
      </c>
      <c r="FG13" s="289">
        <f t="shared" si="7"/>
        <v>340256510</v>
      </c>
      <c r="FH13" s="289">
        <f t="shared" si="7"/>
        <v>255129180</v>
      </c>
      <c r="FI13" s="289">
        <f t="shared" si="7"/>
        <v>1783879000</v>
      </c>
      <c r="FJ13" s="289">
        <f t="shared" si="7"/>
        <v>0</v>
      </c>
      <c r="FK13" s="289">
        <f t="shared" si="7"/>
        <v>9300129000</v>
      </c>
      <c r="FL13" s="289">
        <f t="shared" si="7"/>
        <v>0</v>
      </c>
      <c r="FM13" s="289">
        <f t="shared" si="7"/>
        <v>1796150000</v>
      </c>
      <c r="FN13" s="289">
        <f t="shared" si="7"/>
        <v>1785544700</v>
      </c>
      <c r="FO13" s="289">
        <f t="shared" si="7"/>
        <v>0</v>
      </c>
      <c r="FP13" s="289">
        <f t="shared" si="7"/>
        <v>2066149600</v>
      </c>
      <c r="FQ13" s="289">
        <f t="shared" si="7"/>
        <v>1104127476</v>
      </c>
      <c r="FR13" s="289">
        <f t="shared" si="7"/>
        <v>0</v>
      </c>
      <c r="FS13" s="289">
        <f t="shared" si="7"/>
        <v>0</v>
      </c>
      <c r="FT13" s="289">
        <f t="shared" si="7"/>
        <v>200000000</v>
      </c>
      <c r="FU13" s="289">
        <f t="shared" si="7"/>
        <v>36950000</v>
      </c>
      <c r="FV13" s="334">
        <f t="shared" si="7"/>
        <v>101666500</v>
      </c>
      <c r="FW13" s="334">
        <f t="shared" si="7"/>
        <v>0</v>
      </c>
      <c r="FX13" s="334">
        <f t="shared" si="7"/>
        <v>101666500</v>
      </c>
      <c r="FY13" s="289">
        <f t="shared" si="7"/>
        <v>0</v>
      </c>
      <c r="FZ13" s="289">
        <f t="shared" si="7"/>
        <v>6666500</v>
      </c>
      <c r="GA13" s="289">
        <f t="shared" si="7"/>
        <v>95000000</v>
      </c>
      <c r="GB13" s="334">
        <f t="shared" si="7"/>
        <v>105006022926</v>
      </c>
      <c r="GC13" s="342">
        <f>CP13/C13</f>
        <v>0.99368218497608352</v>
      </c>
      <c r="GD13" s="342"/>
      <c r="GE13" s="342">
        <f>CW13/J13</f>
        <v>0.9589377525238848</v>
      </c>
      <c r="GF13" s="342">
        <f>ER13/BE13</f>
        <v>0.41961397129697164</v>
      </c>
      <c r="GG13" s="342">
        <f>FV13/CI13</f>
        <v>1</v>
      </c>
    </row>
    <row r="14" spans="1:189" s="264" customFormat="1" ht="17.25" customHeight="1">
      <c r="A14" s="227">
        <v>1</v>
      </c>
      <c r="B14" s="228" t="s">
        <v>185</v>
      </c>
      <c r="C14" s="270">
        <f t="shared" ref="C14:AI14" si="11">C15+C16</f>
        <v>9684375287</v>
      </c>
      <c r="D14" s="282">
        <f t="shared" si="11"/>
        <v>9684375287</v>
      </c>
      <c r="E14" s="270">
        <f t="shared" si="11"/>
        <v>0</v>
      </c>
      <c r="F14" s="229">
        <f t="shared" si="11"/>
        <v>0</v>
      </c>
      <c r="G14" s="229">
        <f t="shared" si="11"/>
        <v>0</v>
      </c>
      <c r="H14" s="229">
        <f t="shared" si="11"/>
        <v>0</v>
      </c>
      <c r="I14" s="229">
        <f t="shared" si="11"/>
        <v>0</v>
      </c>
      <c r="J14" s="270">
        <f t="shared" si="11"/>
        <v>9684375287</v>
      </c>
      <c r="K14" s="229">
        <f t="shared" si="11"/>
        <v>0</v>
      </c>
      <c r="L14" s="229">
        <f t="shared" si="11"/>
        <v>0</v>
      </c>
      <c r="M14" s="229">
        <f t="shared" si="11"/>
        <v>0</v>
      </c>
      <c r="N14" s="229">
        <f t="shared" si="11"/>
        <v>0</v>
      </c>
      <c r="O14" s="229">
        <f t="shared" si="11"/>
        <v>0</v>
      </c>
      <c r="P14" s="229">
        <f t="shared" si="11"/>
        <v>0</v>
      </c>
      <c r="Q14" s="229">
        <f t="shared" si="11"/>
        <v>0</v>
      </c>
      <c r="R14" s="229">
        <f t="shared" si="11"/>
        <v>0</v>
      </c>
      <c r="S14" s="229">
        <f t="shared" si="11"/>
        <v>0</v>
      </c>
      <c r="T14" s="229">
        <f t="shared" si="11"/>
        <v>0</v>
      </c>
      <c r="U14" s="229">
        <f t="shared" si="11"/>
        <v>0</v>
      </c>
      <c r="V14" s="229">
        <f t="shared" si="11"/>
        <v>0</v>
      </c>
      <c r="W14" s="229">
        <f t="shared" si="11"/>
        <v>0</v>
      </c>
      <c r="X14" s="229">
        <f t="shared" si="11"/>
        <v>0</v>
      </c>
      <c r="Y14" s="229">
        <f t="shared" si="11"/>
        <v>0</v>
      </c>
      <c r="Z14" s="229">
        <f t="shared" si="11"/>
        <v>45005000</v>
      </c>
      <c r="AA14" s="229">
        <f t="shared" si="11"/>
        <v>184571400</v>
      </c>
      <c r="AB14" s="229">
        <f t="shared" si="11"/>
        <v>0</v>
      </c>
      <c r="AC14" s="229">
        <f t="shared" si="11"/>
        <v>0</v>
      </c>
      <c r="AD14" s="229">
        <f t="shared" si="11"/>
        <v>0</v>
      </c>
      <c r="AE14" s="229">
        <f t="shared" si="11"/>
        <v>0</v>
      </c>
      <c r="AF14" s="229">
        <f t="shared" si="11"/>
        <v>0</v>
      </c>
      <c r="AG14" s="229">
        <f t="shared" si="11"/>
        <v>0</v>
      </c>
      <c r="AH14" s="229">
        <f t="shared" si="11"/>
        <v>0</v>
      </c>
      <c r="AI14" s="229">
        <f t="shared" si="11"/>
        <v>0</v>
      </c>
      <c r="AJ14" s="229">
        <f t="shared" ref="AJ14:AO14" si="12">AJ15+AJ16</f>
        <v>0</v>
      </c>
      <c r="AK14" s="229">
        <f t="shared" si="12"/>
        <v>0</v>
      </c>
      <c r="AL14" s="229">
        <f t="shared" si="12"/>
        <v>0</v>
      </c>
      <c r="AM14" s="229">
        <f t="shared" si="12"/>
        <v>0</v>
      </c>
      <c r="AN14" s="229">
        <f t="shared" si="12"/>
        <v>0</v>
      </c>
      <c r="AO14" s="229">
        <f t="shared" si="12"/>
        <v>0</v>
      </c>
      <c r="AP14" s="229">
        <f t="shared" ref="AP14:AU14" si="13">AP15+AP16</f>
        <v>0</v>
      </c>
      <c r="AQ14" s="229">
        <f t="shared" si="13"/>
        <v>0</v>
      </c>
      <c r="AR14" s="229">
        <f t="shared" si="13"/>
        <v>0</v>
      </c>
      <c r="AS14" s="229">
        <f t="shared" si="13"/>
        <v>0</v>
      </c>
      <c r="AT14" s="229">
        <f t="shared" si="13"/>
        <v>0</v>
      </c>
      <c r="AU14" s="229">
        <f t="shared" si="13"/>
        <v>0</v>
      </c>
      <c r="AV14" s="229">
        <f>AV15+AV16</f>
        <v>0</v>
      </c>
      <c r="AW14" s="229">
        <f>AW15+AW16</f>
        <v>0</v>
      </c>
      <c r="AX14" s="229">
        <f t="shared" ref="AX14:BE14" si="14">AX15+AX16</f>
        <v>0</v>
      </c>
      <c r="AY14" s="229">
        <f t="shared" si="14"/>
        <v>0</v>
      </c>
      <c r="AZ14" s="229">
        <f t="shared" si="14"/>
        <v>0</v>
      </c>
      <c r="BA14" s="229">
        <f t="shared" si="14"/>
        <v>9454798887</v>
      </c>
      <c r="BB14" s="229">
        <f t="shared" si="14"/>
        <v>0</v>
      </c>
      <c r="BC14" s="229">
        <f t="shared" si="14"/>
        <v>0</v>
      </c>
      <c r="BD14" s="229">
        <f t="shared" si="14"/>
        <v>0</v>
      </c>
      <c r="BE14" s="270">
        <f t="shared" si="14"/>
        <v>0</v>
      </c>
      <c r="BF14" s="270">
        <f>BF15+BF16</f>
        <v>0</v>
      </c>
      <c r="BG14" s="270">
        <f>BG15+BG16</f>
        <v>0</v>
      </c>
      <c r="BH14" s="229">
        <f t="shared" ref="BH14:CN14" si="15">BH15+BH16</f>
        <v>0</v>
      </c>
      <c r="BI14" s="229">
        <f t="shared" si="15"/>
        <v>0</v>
      </c>
      <c r="BJ14" s="229">
        <f t="shared" si="15"/>
        <v>0</v>
      </c>
      <c r="BK14" s="229">
        <f t="shared" si="15"/>
        <v>0</v>
      </c>
      <c r="BL14" s="229">
        <f>BL15+BL16</f>
        <v>0</v>
      </c>
      <c r="BM14" s="229">
        <f>BM15+BM16</f>
        <v>0</v>
      </c>
      <c r="BN14" s="229">
        <f t="shared" si="15"/>
        <v>0</v>
      </c>
      <c r="BO14" s="229">
        <f t="shared" si="15"/>
        <v>0</v>
      </c>
      <c r="BP14" s="229">
        <f t="shared" si="15"/>
        <v>0</v>
      </c>
      <c r="BQ14" s="229">
        <f t="shared" si="15"/>
        <v>0</v>
      </c>
      <c r="BR14" s="229">
        <f t="shared" si="15"/>
        <v>0</v>
      </c>
      <c r="BS14" s="229">
        <f t="shared" si="15"/>
        <v>0</v>
      </c>
      <c r="BT14" s="229">
        <f t="shared" si="15"/>
        <v>0</v>
      </c>
      <c r="BU14" s="229">
        <f t="shared" si="15"/>
        <v>0</v>
      </c>
      <c r="BV14" s="229">
        <f t="shared" si="15"/>
        <v>0</v>
      </c>
      <c r="BW14" s="229">
        <f t="shared" si="15"/>
        <v>0</v>
      </c>
      <c r="BX14" s="229">
        <f t="shared" si="15"/>
        <v>0</v>
      </c>
      <c r="BY14" s="229">
        <f t="shared" si="15"/>
        <v>0</v>
      </c>
      <c r="BZ14" s="229">
        <f t="shared" si="15"/>
        <v>0</v>
      </c>
      <c r="CA14" s="229">
        <f t="shared" si="15"/>
        <v>0</v>
      </c>
      <c r="CB14" s="229">
        <f t="shared" si="15"/>
        <v>0</v>
      </c>
      <c r="CC14" s="229">
        <f t="shared" si="15"/>
        <v>0</v>
      </c>
      <c r="CD14" s="229">
        <f t="shared" si="15"/>
        <v>0</v>
      </c>
      <c r="CE14" s="229">
        <f t="shared" si="15"/>
        <v>0</v>
      </c>
      <c r="CF14" s="229">
        <f t="shared" si="15"/>
        <v>0</v>
      </c>
      <c r="CG14" s="229">
        <f t="shared" si="15"/>
        <v>0</v>
      </c>
      <c r="CH14" s="229">
        <f t="shared" si="15"/>
        <v>0</v>
      </c>
      <c r="CI14" s="270">
        <f t="shared" si="15"/>
        <v>0</v>
      </c>
      <c r="CJ14" s="270">
        <f t="shared" si="15"/>
        <v>0</v>
      </c>
      <c r="CK14" s="270">
        <f t="shared" si="15"/>
        <v>0</v>
      </c>
      <c r="CL14" s="229">
        <f t="shared" si="15"/>
        <v>0</v>
      </c>
      <c r="CM14" s="229">
        <f t="shared" si="15"/>
        <v>0</v>
      </c>
      <c r="CN14" s="229">
        <f t="shared" si="15"/>
        <v>0</v>
      </c>
      <c r="CO14" s="271" t="s">
        <v>185</v>
      </c>
      <c r="CP14" s="303">
        <f>CP15+CP16</f>
        <v>9684375287</v>
      </c>
      <c r="CQ14" s="303">
        <f t="shared" ref="CQ14:ER14" si="16">CQ15+CQ16</f>
        <v>9684375287</v>
      </c>
      <c r="CR14" s="303">
        <f t="shared" si="16"/>
        <v>0</v>
      </c>
      <c r="CS14" s="272">
        <f t="shared" si="16"/>
        <v>0</v>
      </c>
      <c r="CT14" s="272">
        <f t="shared" si="16"/>
        <v>0</v>
      </c>
      <c r="CU14" s="272">
        <f t="shared" si="16"/>
        <v>0</v>
      </c>
      <c r="CV14" s="272">
        <f t="shared" si="16"/>
        <v>0</v>
      </c>
      <c r="CW14" s="303">
        <f t="shared" si="16"/>
        <v>9684375287</v>
      </c>
      <c r="CX14" s="272">
        <f t="shared" si="16"/>
        <v>0</v>
      </c>
      <c r="CY14" s="272">
        <f t="shared" si="16"/>
        <v>0</v>
      </c>
      <c r="CZ14" s="272">
        <f t="shared" si="16"/>
        <v>0</v>
      </c>
      <c r="DA14" s="272">
        <f t="shared" si="16"/>
        <v>0</v>
      </c>
      <c r="DB14" s="272">
        <f t="shared" si="16"/>
        <v>0</v>
      </c>
      <c r="DC14" s="272">
        <f t="shared" si="16"/>
        <v>0</v>
      </c>
      <c r="DD14" s="272">
        <f t="shared" si="16"/>
        <v>0</v>
      </c>
      <c r="DE14" s="272">
        <f t="shared" si="16"/>
        <v>0</v>
      </c>
      <c r="DF14" s="272">
        <f t="shared" si="16"/>
        <v>0</v>
      </c>
      <c r="DG14" s="272">
        <f t="shared" si="16"/>
        <v>0</v>
      </c>
      <c r="DH14" s="272">
        <f t="shared" si="16"/>
        <v>0</v>
      </c>
      <c r="DI14" s="272">
        <f t="shared" si="16"/>
        <v>0</v>
      </c>
      <c r="DJ14" s="272">
        <f t="shared" si="16"/>
        <v>0</v>
      </c>
      <c r="DK14" s="272">
        <f t="shared" si="16"/>
        <v>0</v>
      </c>
      <c r="DL14" s="272">
        <f t="shared" si="16"/>
        <v>0</v>
      </c>
      <c r="DM14" s="272">
        <f>DM15+DM16</f>
        <v>45005000</v>
      </c>
      <c r="DN14" s="272">
        <f t="shared" si="16"/>
        <v>184571400</v>
      </c>
      <c r="DO14" s="272">
        <f t="shared" si="16"/>
        <v>0</v>
      </c>
      <c r="DP14" s="272">
        <f t="shared" si="16"/>
        <v>0</v>
      </c>
      <c r="DQ14" s="272">
        <f t="shared" si="16"/>
        <v>0</v>
      </c>
      <c r="DR14" s="272">
        <f t="shared" si="16"/>
        <v>0</v>
      </c>
      <c r="DS14" s="272">
        <f t="shared" si="16"/>
        <v>0</v>
      </c>
      <c r="DT14" s="272">
        <f t="shared" si="16"/>
        <v>0</v>
      </c>
      <c r="DU14" s="272">
        <f t="shared" si="16"/>
        <v>0</v>
      </c>
      <c r="DV14" s="272">
        <f t="shared" si="16"/>
        <v>0</v>
      </c>
      <c r="DW14" s="272">
        <f t="shared" si="16"/>
        <v>0</v>
      </c>
      <c r="DX14" s="272">
        <f t="shared" si="16"/>
        <v>0</v>
      </c>
      <c r="DY14" s="272">
        <f t="shared" si="16"/>
        <v>0</v>
      </c>
      <c r="DZ14" s="272">
        <f t="shared" si="16"/>
        <v>0</v>
      </c>
      <c r="EA14" s="272">
        <f t="shared" si="16"/>
        <v>0</v>
      </c>
      <c r="EB14" s="272">
        <f t="shared" si="16"/>
        <v>0</v>
      </c>
      <c r="EC14" s="272">
        <f t="shared" si="16"/>
        <v>0</v>
      </c>
      <c r="ED14" s="272">
        <f t="shared" si="16"/>
        <v>0</v>
      </c>
      <c r="EE14" s="272">
        <f t="shared" si="16"/>
        <v>0</v>
      </c>
      <c r="EF14" s="272">
        <f t="shared" si="16"/>
        <v>0</v>
      </c>
      <c r="EG14" s="272">
        <f t="shared" si="16"/>
        <v>0</v>
      </c>
      <c r="EH14" s="272">
        <f t="shared" si="16"/>
        <v>0</v>
      </c>
      <c r="EI14" s="272">
        <f>EI15+EI16</f>
        <v>0</v>
      </c>
      <c r="EJ14" s="272">
        <f>EJ15+EJ16</f>
        <v>0</v>
      </c>
      <c r="EK14" s="272">
        <f t="shared" si="16"/>
        <v>0</v>
      </c>
      <c r="EL14" s="272">
        <f t="shared" si="16"/>
        <v>0</v>
      </c>
      <c r="EM14" s="272">
        <f t="shared" si="16"/>
        <v>0</v>
      </c>
      <c r="EN14" s="272">
        <f t="shared" si="16"/>
        <v>9454798887</v>
      </c>
      <c r="EO14" s="272">
        <f t="shared" si="16"/>
        <v>0</v>
      </c>
      <c r="EP14" s="272">
        <f t="shared" si="16"/>
        <v>0</v>
      </c>
      <c r="EQ14" s="272">
        <f t="shared" si="16"/>
        <v>0</v>
      </c>
      <c r="ER14" s="303">
        <f t="shared" si="16"/>
        <v>0</v>
      </c>
      <c r="ES14" s="303">
        <f>ES15+ES16</f>
        <v>0</v>
      </c>
      <c r="ET14" s="303">
        <f>ET15+ET16</f>
        <v>0</v>
      </c>
      <c r="EU14" s="272">
        <f t="shared" ref="EU14:GA14" si="17">EU15+EU16</f>
        <v>0</v>
      </c>
      <c r="EV14" s="272">
        <f t="shared" si="17"/>
        <v>0</v>
      </c>
      <c r="EW14" s="272">
        <f t="shared" si="17"/>
        <v>0</v>
      </c>
      <c r="EX14" s="272">
        <f t="shared" si="17"/>
        <v>0</v>
      </c>
      <c r="EY14" s="272">
        <f>EY15+EY16</f>
        <v>0</v>
      </c>
      <c r="EZ14" s="272">
        <f>EZ15+EZ16</f>
        <v>0</v>
      </c>
      <c r="FA14" s="272">
        <f t="shared" si="17"/>
        <v>0</v>
      </c>
      <c r="FB14" s="272">
        <f t="shared" si="17"/>
        <v>0</v>
      </c>
      <c r="FC14" s="272">
        <f t="shared" si="17"/>
        <v>0</v>
      </c>
      <c r="FD14" s="272">
        <f t="shared" si="17"/>
        <v>0</v>
      </c>
      <c r="FE14" s="272">
        <f t="shared" si="17"/>
        <v>0</v>
      </c>
      <c r="FF14" s="272">
        <f t="shared" si="17"/>
        <v>0</v>
      </c>
      <c r="FG14" s="272">
        <f t="shared" si="17"/>
        <v>0</v>
      </c>
      <c r="FH14" s="272">
        <f t="shared" si="17"/>
        <v>0</v>
      </c>
      <c r="FI14" s="272">
        <f t="shared" si="17"/>
        <v>0</v>
      </c>
      <c r="FJ14" s="272">
        <f t="shared" si="17"/>
        <v>0</v>
      </c>
      <c r="FK14" s="272">
        <f t="shared" si="17"/>
        <v>0</v>
      </c>
      <c r="FL14" s="272">
        <f t="shared" si="17"/>
        <v>0</v>
      </c>
      <c r="FM14" s="272">
        <f t="shared" si="17"/>
        <v>0</v>
      </c>
      <c r="FN14" s="272">
        <f t="shared" si="17"/>
        <v>0</v>
      </c>
      <c r="FO14" s="272">
        <f t="shared" si="17"/>
        <v>0</v>
      </c>
      <c r="FP14" s="272">
        <f t="shared" si="17"/>
        <v>0</v>
      </c>
      <c r="FQ14" s="272">
        <f t="shared" si="17"/>
        <v>0</v>
      </c>
      <c r="FR14" s="272">
        <f t="shared" si="17"/>
        <v>0</v>
      </c>
      <c r="FS14" s="272">
        <f t="shared" si="17"/>
        <v>0</v>
      </c>
      <c r="FT14" s="272">
        <f t="shared" si="17"/>
        <v>0</v>
      </c>
      <c r="FU14" s="272">
        <f t="shared" si="17"/>
        <v>0</v>
      </c>
      <c r="FV14" s="303">
        <f t="shared" si="17"/>
        <v>0</v>
      </c>
      <c r="FW14" s="303">
        <f t="shared" si="17"/>
        <v>0</v>
      </c>
      <c r="FX14" s="303">
        <f t="shared" si="17"/>
        <v>0</v>
      </c>
      <c r="FY14" s="272">
        <f t="shared" si="17"/>
        <v>0</v>
      </c>
      <c r="FZ14" s="272">
        <f t="shared" si="17"/>
        <v>0</v>
      </c>
      <c r="GA14" s="272">
        <f t="shared" si="17"/>
        <v>0</v>
      </c>
      <c r="GB14" s="303">
        <f>GB15+GB16</f>
        <v>0</v>
      </c>
      <c r="GC14" s="328">
        <f>CP14/C14</f>
        <v>1</v>
      </c>
      <c r="GD14" s="342"/>
      <c r="GE14" s="328">
        <f>CW14/J14</f>
        <v>1</v>
      </c>
      <c r="GF14" s="328"/>
      <c r="GG14" s="328"/>
    </row>
    <row r="15" spans="1:189" s="264" customFormat="1" ht="17.25" customHeight="1">
      <c r="A15" s="227"/>
      <c r="B15" s="228" t="s">
        <v>183</v>
      </c>
      <c r="C15" s="270">
        <f>D15+BE15+CI15</f>
        <v>0</v>
      </c>
      <c r="D15" s="270">
        <f>E15+J15</f>
        <v>0</v>
      </c>
      <c r="E15" s="270">
        <f>SUM(F15:I15)</f>
        <v>0</v>
      </c>
      <c r="F15" s="229"/>
      <c r="G15" s="229"/>
      <c r="H15" s="229"/>
      <c r="I15" s="229"/>
      <c r="J15" s="270">
        <f>SUM(K15:BD15)</f>
        <v>0</v>
      </c>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c r="AW15" s="229"/>
      <c r="AX15" s="229"/>
      <c r="AY15" s="229"/>
      <c r="AZ15" s="229"/>
      <c r="BA15" s="229"/>
      <c r="BB15" s="229"/>
      <c r="BC15" s="229"/>
      <c r="BD15" s="229"/>
      <c r="BE15" s="270">
        <f>SUM(BF15:BG15)</f>
        <v>0</v>
      </c>
      <c r="BF15" s="270">
        <f>SUM(BH15:BI15)+BJ15+SUM(BL15:BN15)+BW15+CE15</f>
        <v>0</v>
      </c>
      <c r="BG15" s="270">
        <f>BK15+SUM(BO15:BV15)+SUM(BX15:CD15)+SUM(CF15:CH15)</f>
        <v>0</v>
      </c>
      <c r="BH15" s="229"/>
      <c r="BI15" s="229"/>
      <c r="BJ15" s="229"/>
      <c r="BK15" s="229"/>
      <c r="BL15" s="229"/>
      <c r="BM15" s="229"/>
      <c r="BN15" s="229"/>
      <c r="BO15" s="229"/>
      <c r="BP15" s="229"/>
      <c r="BQ15" s="229"/>
      <c r="BR15" s="229"/>
      <c r="BS15" s="229"/>
      <c r="BT15" s="229"/>
      <c r="BU15" s="229"/>
      <c r="BV15" s="229"/>
      <c r="BW15" s="229"/>
      <c r="BX15" s="229"/>
      <c r="BY15" s="229"/>
      <c r="BZ15" s="229"/>
      <c r="CA15" s="229"/>
      <c r="CB15" s="229"/>
      <c r="CC15" s="229"/>
      <c r="CD15" s="229"/>
      <c r="CE15" s="229"/>
      <c r="CF15" s="229"/>
      <c r="CG15" s="229"/>
      <c r="CH15" s="229"/>
      <c r="CI15" s="270">
        <f>SUM(CJ15:CK15)</f>
        <v>0</v>
      </c>
      <c r="CJ15" s="270">
        <f>SUM(CL15:CL15)</f>
        <v>0</v>
      </c>
      <c r="CK15" s="270">
        <f>SUM(CM15:CN15)</f>
        <v>0</v>
      </c>
      <c r="CL15" s="229"/>
      <c r="CM15" s="229"/>
      <c r="CN15" s="229"/>
      <c r="CO15" s="271" t="s">
        <v>183</v>
      </c>
      <c r="CP15" s="303">
        <f>CQ15+ER15+FV15+GB15</f>
        <v>0</v>
      </c>
      <c r="CQ15" s="303">
        <f>CR15+CW15</f>
        <v>0</v>
      </c>
      <c r="CR15" s="303">
        <f>SUM(CS15:CV15)</f>
        <v>0</v>
      </c>
      <c r="CS15" s="272"/>
      <c r="CT15" s="272"/>
      <c r="CU15" s="272"/>
      <c r="CV15" s="272"/>
      <c r="CW15" s="303">
        <f>SUM(CX15:EQ15)</f>
        <v>0</v>
      </c>
      <c r="CX15" s="272"/>
      <c r="CY15" s="272"/>
      <c r="CZ15" s="272"/>
      <c r="DA15" s="272"/>
      <c r="DB15" s="272"/>
      <c r="DC15" s="272"/>
      <c r="DD15" s="272"/>
      <c r="DE15" s="272"/>
      <c r="DF15" s="272"/>
      <c r="DG15" s="272"/>
      <c r="DH15" s="272"/>
      <c r="DI15" s="272"/>
      <c r="DJ15" s="272"/>
      <c r="DK15" s="272"/>
      <c r="DL15" s="272"/>
      <c r="DM15" s="272"/>
      <c r="DN15" s="272"/>
      <c r="DO15" s="272"/>
      <c r="DP15" s="272"/>
      <c r="DQ15" s="272"/>
      <c r="DR15" s="272"/>
      <c r="DS15" s="272"/>
      <c r="DT15" s="272"/>
      <c r="DU15" s="272"/>
      <c r="DV15" s="272"/>
      <c r="DW15" s="272"/>
      <c r="DX15" s="272"/>
      <c r="DY15" s="272"/>
      <c r="DZ15" s="272"/>
      <c r="EA15" s="272"/>
      <c r="EB15" s="272"/>
      <c r="EC15" s="272"/>
      <c r="ED15" s="272"/>
      <c r="EE15" s="272"/>
      <c r="EF15" s="272"/>
      <c r="EG15" s="272"/>
      <c r="EH15" s="272"/>
      <c r="EI15" s="272"/>
      <c r="EJ15" s="272"/>
      <c r="EK15" s="272"/>
      <c r="EL15" s="272"/>
      <c r="EM15" s="272"/>
      <c r="EN15" s="272"/>
      <c r="EO15" s="272"/>
      <c r="EP15" s="272"/>
      <c r="EQ15" s="272"/>
      <c r="ER15" s="303">
        <f>SUM(ES15:ET15)</f>
        <v>0</v>
      </c>
      <c r="ES15" s="303">
        <f>SUM(EU15:EV15)+EW15+SUM(EY15:FA15)+FJ15+FR15</f>
        <v>0</v>
      </c>
      <c r="ET15" s="303">
        <f>EX15+SUM(FB15:FI15)+SUM(FK15:FQ15)+SUM(FS15:FU15)</f>
        <v>0</v>
      </c>
      <c r="EU15" s="272"/>
      <c r="EV15" s="272"/>
      <c r="EW15" s="272"/>
      <c r="EX15" s="272"/>
      <c r="EY15" s="272"/>
      <c r="EZ15" s="272"/>
      <c r="FA15" s="272"/>
      <c r="FB15" s="272"/>
      <c r="FC15" s="272"/>
      <c r="FD15" s="272"/>
      <c r="FE15" s="272"/>
      <c r="FF15" s="272"/>
      <c r="FG15" s="272"/>
      <c r="FH15" s="272"/>
      <c r="FI15" s="272"/>
      <c r="FJ15" s="272"/>
      <c r="FK15" s="272"/>
      <c r="FL15" s="272"/>
      <c r="FM15" s="272"/>
      <c r="FN15" s="272"/>
      <c r="FO15" s="272"/>
      <c r="FP15" s="272"/>
      <c r="FQ15" s="272"/>
      <c r="FR15" s="272"/>
      <c r="FS15" s="272"/>
      <c r="FT15" s="272"/>
      <c r="FU15" s="272"/>
      <c r="FV15" s="303">
        <f>SUM(FW15:FX15)</f>
        <v>0</v>
      </c>
      <c r="FW15" s="303">
        <f>SUM(FY15:FY15)</f>
        <v>0</v>
      </c>
      <c r="FX15" s="303">
        <f>SUM(FZ15:GA15)</f>
        <v>0</v>
      </c>
      <c r="FY15" s="272"/>
      <c r="FZ15" s="272"/>
      <c r="GA15" s="272"/>
      <c r="GB15" s="303"/>
      <c r="GC15" s="328"/>
      <c r="GD15" s="342"/>
      <c r="GE15" s="328"/>
      <c r="GF15" s="328"/>
      <c r="GG15" s="328"/>
    </row>
    <row r="16" spans="1:189" s="264" customFormat="1" ht="17.25" customHeight="1">
      <c r="A16" s="227"/>
      <c r="B16" s="228" t="s">
        <v>184</v>
      </c>
      <c r="C16" s="270">
        <f>D16+BE16+CI16</f>
        <v>9684375287</v>
      </c>
      <c r="D16" s="270">
        <f>E16+J16</f>
        <v>9684375287</v>
      </c>
      <c r="E16" s="270">
        <f>SUM(F16:I16)</f>
        <v>0</v>
      </c>
      <c r="F16" s="229"/>
      <c r="G16" s="229"/>
      <c r="H16" s="229"/>
      <c r="I16" s="229"/>
      <c r="J16" s="270">
        <f>SUM(K16:BD16)</f>
        <v>9684375287</v>
      </c>
      <c r="K16" s="229"/>
      <c r="L16" s="229"/>
      <c r="M16" s="229"/>
      <c r="N16" s="229"/>
      <c r="O16" s="229"/>
      <c r="P16" s="229"/>
      <c r="Q16" s="229"/>
      <c r="R16" s="229"/>
      <c r="S16" s="229"/>
      <c r="T16" s="229"/>
      <c r="U16" s="229"/>
      <c r="V16" s="229"/>
      <c r="W16" s="229"/>
      <c r="X16" s="229"/>
      <c r="Y16" s="229"/>
      <c r="Z16" s="229">
        <v>45005000</v>
      </c>
      <c r="AA16" s="229">
        <v>184571400</v>
      </c>
      <c r="AB16" s="229"/>
      <c r="AC16" s="229"/>
      <c r="AD16" s="229"/>
      <c r="AE16" s="229"/>
      <c r="AF16" s="229"/>
      <c r="AG16" s="229"/>
      <c r="AH16" s="229"/>
      <c r="AI16" s="229"/>
      <c r="AJ16" s="229"/>
      <c r="AK16" s="229"/>
      <c r="AL16" s="229"/>
      <c r="AM16" s="229"/>
      <c r="AN16" s="229"/>
      <c r="AO16" s="229"/>
      <c r="AP16" s="229"/>
      <c r="AQ16" s="229"/>
      <c r="AR16" s="229"/>
      <c r="AS16" s="229"/>
      <c r="AT16" s="229"/>
      <c r="AU16" s="229"/>
      <c r="AV16" s="229"/>
      <c r="AW16" s="229"/>
      <c r="AX16" s="229"/>
      <c r="AY16" s="229"/>
      <c r="AZ16" s="229"/>
      <c r="BA16" s="229">
        <v>9454798887</v>
      </c>
      <c r="BB16" s="229"/>
      <c r="BC16" s="229"/>
      <c r="BD16" s="229"/>
      <c r="BE16" s="270">
        <f>SUM(BF16:BG16)</f>
        <v>0</v>
      </c>
      <c r="BF16" s="270">
        <f>SUM(BH16:BI16)+BJ16+SUM(BL16:BN16)+BW16+CE16</f>
        <v>0</v>
      </c>
      <c r="BG16" s="270">
        <f>BK16+SUM(BO16:BV16)+SUM(BX16:CD16)+SUM(CF16:CH16)</f>
        <v>0</v>
      </c>
      <c r="BH16" s="229"/>
      <c r="BI16" s="229"/>
      <c r="BJ16" s="229"/>
      <c r="BK16" s="229"/>
      <c r="BL16" s="229"/>
      <c r="BM16" s="229"/>
      <c r="BN16" s="229"/>
      <c r="BO16" s="229"/>
      <c r="BP16" s="229"/>
      <c r="BQ16" s="229"/>
      <c r="BR16" s="229"/>
      <c r="BS16" s="229"/>
      <c r="BT16" s="229"/>
      <c r="BU16" s="229"/>
      <c r="BV16" s="229"/>
      <c r="BW16" s="229"/>
      <c r="BX16" s="229"/>
      <c r="BY16" s="229"/>
      <c r="BZ16" s="229"/>
      <c r="CA16" s="229"/>
      <c r="CB16" s="229"/>
      <c r="CC16" s="229"/>
      <c r="CD16" s="229"/>
      <c r="CE16" s="229"/>
      <c r="CF16" s="229"/>
      <c r="CG16" s="229"/>
      <c r="CH16" s="229"/>
      <c r="CI16" s="270">
        <f>SUM(CJ16:CK16)</f>
        <v>0</v>
      </c>
      <c r="CJ16" s="270">
        <f>SUM(CL16:CL16)</f>
        <v>0</v>
      </c>
      <c r="CK16" s="270">
        <f>SUM(CM16:CN16)</f>
        <v>0</v>
      </c>
      <c r="CL16" s="229"/>
      <c r="CM16" s="229"/>
      <c r="CN16" s="229"/>
      <c r="CO16" s="271" t="s">
        <v>184</v>
      </c>
      <c r="CP16" s="303">
        <f>CQ16+ER16+FV16+GB16</f>
        <v>9684375287</v>
      </c>
      <c r="CQ16" s="303">
        <f>CR16+CW16</f>
        <v>9684375287</v>
      </c>
      <c r="CR16" s="303">
        <f>SUM(CS16:CV16)</f>
        <v>0</v>
      </c>
      <c r="CS16" s="272"/>
      <c r="CT16" s="272"/>
      <c r="CU16" s="272"/>
      <c r="CV16" s="272"/>
      <c r="CW16" s="303">
        <f>SUM(CX16:EQ16)</f>
        <v>9684375287</v>
      </c>
      <c r="CX16" s="272"/>
      <c r="CY16" s="272"/>
      <c r="CZ16" s="272"/>
      <c r="DA16" s="272"/>
      <c r="DB16" s="272"/>
      <c r="DC16" s="272"/>
      <c r="DD16" s="272"/>
      <c r="DE16" s="272"/>
      <c r="DF16" s="272"/>
      <c r="DG16" s="272"/>
      <c r="DH16" s="272"/>
      <c r="DI16" s="272"/>
      <c r="DJ16" s="272"/>
      <c r="DK16" s="272"/>
      <c r="DL16" s="272"/>
      <c r="DM16" s="272">
        <v>45005000</v>
      </c>
      <c r="DN16" s="272">
        <v>184571400</v>
      </c>
      <c r="DO16" s="272"/>
      <c r="DP16" s="272"/>
      <c r="DQ16" s="272"/>
      <c r="DR16" s="272"/>
      <c r="DS16" s="272"/>
      <c r="DT16" s="272"/>
      <c r="DU16" s="272"/>
      <c r="DV16" s="272"/>
      <c r="DW16" s="272"/>
      <c r="DX16" s="272"/>
      <c r="DY16" s="272"/>
      <c r="DZ16" s="272"/>
      <c r="EA16" s="272"/>
      <c r="EB16" s="272"/>
      <c r="EC16" s="272"/>
      <c r="ED16" s="272"/>
      <c r="EE16" s="272"/>
      <c r="EF16" s="272"/>
      <c r="EG16" s="272"/>
      <c r="EH16" s="272"/>
      <c r="EI16" s="272"/>
      <c r="EJ16" s="272"/>
      <c r="EK16" s="272"/>
      <c r="EL16" s="272"/>
      <c r="EM16" s="272"/>
      <c r="EN16" s="272">
        <v>9454798887</v>
      </c>
      <c r="EO16" s="272"/>
      <c r="EP16" s="272"/>
      <c r="EQ16" s="272"/>
      <c r="ER16" s="303">
        <f>SUM(ES16:ET16)</f>
        <v>0</v>
      </c>
      <c r="ES16" s="303">
        <f>SUM(EU16:EV16)+EW16+SUM(EY16:FA16)+FJ16+FR16</f>
        <v>0</v>
      </c>
      <c r="ET16" s="303">
        <f>EX16+SUM(FB16:FI16)+SUM(FK16:FQ16)+SUM(FS16:FU16)</f>
        <v>0</v>
      </c>
      <c r="EU16" s="272"/>
      <c r="EV16" s="272"/>
      <c r="EW16" s="272"/>
      <c r="EX16" s="272"/>
      <c r="EY16" s="272"/>
      <c r="EZ16" s="272"/>
      <c r="FA16" s="272"/>
      <c r="FB16" s="272"/>
      <c r="FC16" s="272"/>
      <c r="FD16" s="272"/>
      <c r="FE16" s="272"/>
      <c r="FF16" s="272"/>
      <c r="FG16" s="272"/>
      <c r="FH16" s="272"/>
      <c r="FI16" s="272"/>
      <c r="FJ16" s="272"/>
      <c r="FK16" s="272"/>
      <c r="FL16" s="272"/>
      <c r="FM16" s="272"/>
      <c r="FN16" s="272"/>
      <c r="FO16" s="272"/>
      <c r="FP16" s="272"/>
      <c r="FQ16" s="272"/>
      <c r="FR16" s="272"/>
      <c r="FS16" s="272"/>
      <c r="FT16" s="272"/>
      <c r="FU16" s="272"/>
      <c r="FV16" s="303">
        <f>SUM(FW16:FX16)</f>
        <v>0</v>
      </c>
      <c r="FW16" s="303">
        <f>SUM(FY16:FY16)</f>
        <v>0</v>
      </c>
      <c r="FX16" s="303">
        <f>SUM(FZ16:GA16)</f>
        <v>0</v>
      </c>
      <c r="FY16" s="272"/>
      <c r="FZ16" s="272"/>
      <c r="GA16" s="272"/>
      <c r="GB16" s="303"/>
      <c r="GC16" s="328">
        <f>CP16/C16</f>
        <v>1</v>
      </c>
      <c r="GD16" s="342"/>
      <c r="GE16" s="328">
        <f>CW16/J16</f>
        <v>1</v>
      </c>
      <c r="GF16" s="328"/>
      <c r="GG16" s="328"/>
    </row>
    <row r="17" spans="1:189" s="264" customFormat="1" ht="17.25" customHeight="1">
      <c r="A17" s="227">
        <v>2</v>
      </c>
      <c r="B17" s="228" t="s">
        <v>182</v>
      </c>
      <c r="C17" s="275">
        <f>C18+C19</f>
        <v>11699483586</v>
      </c>
      <c r="D17" s="275">
        <f t="shared" ref="D17:AI17" si="18">D18+D19</f>
        <v>11699483586</v>
      </c>
      <c r="E17" s="275">
        <f t="shared" si="18"/>
        <v>0</v>
      </c>
      <c r="F17" s="230">
        <f t="shared" si="18"/>
        <v>0</v>
      </c>
      <c r="G17" s="230">
        <f t="shared" si="18"/>
        <v>0</v>
      </c>
      <c r="H17" s="230">
        <f t="shared" si="18"/>
        <v>0</v>
      </c>
      <c r="I17" s="230">
        <f t="shared" si="18"/>
        <v>0</v>
      </c>
      <c r="J17" s="275">
        <f t="shared" si="18"/>
        <v>11699483586</v>
      </c>
      <c r="K17" s="230">
        <f t="shared" si="18"/>
        <v>0</v>
      </c>
      <c r="L17" s="230">
        <f t="shared" si="18"/>
        <v>0</v>
      </c>
      <c r="M17" s="230">
        <f t="shared" si="18"/>
        <v>0</v>
      </c>
      <c r="N17" s="230">
        <f t="shared" si="18"/>
        <v>0</v>
      </c>
      <c r="O17" s="230">
        <f t="shared" si="18"/>
        <v>0</v>
      </c>
      <c r="P17" s="230">
        <f t="shared" si="18"/>
        <v>0</v>
      </c>
      <c r="Q17" s="230">
        <f t="shared" si="18"/>
        <v>0</v>
      </c>
      <c r="R17" s="230">
        <f t="shared" si="18"/>
        <v>0</v>
      </c>
      <c r="S17" s="230">
        <f t="shared" si="18"/>
        <v>0</v>
      </c>
      <c r="T17" s="230">
        <f t="shared" si="18"/>
        <v>0</v>
      </c>
      <c r="U17" s="230">
        <f t="shared" si="18"/>
        <v>0</v>
      </c>
      <c r="V17" s="230">
        <f t="shared" si="18"/>
        <v>0</v>
      </c>
      <c r="W17" s="230">
        <f t="shared" si="18"/>
        <v>0</v>
      </c>
      <c r="X17" s="230">
        <f t="shared" si="18"/>
        <v>0</v>
      </c>
      <c r="Y17" s="230">
        <f t="shared" si="18"/>
        <v>0</v>
      </c>
      <c r="Z17" s="230">
        <f t="shared" si="18"/>
        <v>30930000</v>
      </c>
      <c r="AA17" s="230">
        <f t="shared" si="18"/>
        <v>0</v>
      </c>
      <c r="AB17" s="230">
        <f t="shared" si="18"/>
        <v>0</v>
      </c>
      <c r="AC17" s="230">
        <f t="shared" si="18"/>
        <v>0</v>
      </c>
      <c r="AD17" s="230">
        <f t="shared" si="18"/>
        <v>0</v>
      </c>
      <c r="AE17" s="230">
        <f t="shared" si="18"/>
        <v>0</v>
      </c>
      <c r="AF17" s="230">
        <f t="shared" si="18"/>
        <v>0</v>
      </c>
      <c r="AG17" s="230">
        <f t="shared" si="18"/>
        <v>0</v>
      </c>
      <c r="AH17" s="230">
        <f t="shared" si="18"/>
        <v>0</v>
      </c>
      <c r="AI17" s="230">
        <f t="shared" si="18"/>
        <v>0</v>
      </c>
      <c r="AJ17" s="230">
        <f t="shared" ref="AJ17:CN17" si="19">AJ18+AJ19</f>
        <v>0</v>
      </c>
      <c r="AK17" s="230">
        <f t="shared" si="19"/>
        <v>0</v>
      </c>
      <c r="AL17" s="230">
        <f t="shared" si="19"/>
        <v>0</v>
      </c>
      <c r="AM17" s="230">
        <f t="shared" si="19"/>
        <v>0</v>
      </c>
      <c r="AN17" s="230">
        <f t="shared" si="19"/>
        <v>0</v>
      </c>
      <c r="AO17" s="230">
        <f t="shared" si="19"/>
        <v>0</v>
      </c>
      <c r="AP17" s="230">
        <f t="shared" si="19"/>
        <v>0</v>
      </c>
      <c r="AQ17" s="230">
        <f t="shared" si="19"/>
        <v>0</v>
      </c>
      <c r="AR17" s="230">
        <f t="shared" si="19"/>
        <v>0</v>
      </c>
      <c r="AS17" s="230">
        <f t="shared" si="19"/>
        <v>0</v>
      </c>
      <c r="AT17" s="230">
        <f t="shared" si="19"/>
        <v>0</v>
      </c>
      <c r="AU17" s="230">
        <f t="shared" si="19"/>
        <v>0</v>
      </c>
      <c r="AV17" s="230">
        <f t="shared" si="19"/>
        <v>0</v>
      </c>
      <c r="AW17" s="230">
        <f>AW18+AW19</f>
        <v>0</v>
      </c>
      <c r="AX17" s="230">
        <f t="shared" si="19"/>
        <v>0</v>
      </c>
      <c r="AY17" s="230">
        <f t="shared" si="19"/>
        <v>0</v>
      </c>
      <c r="AZ17" s="230">
        <f t="shared" si="19"/>
        <v>0</v>
      </c>
      <c r="BA17" s="230">
        <f t="shared" si="19"/>
        <v>11388481586</v>
      </c>
      <c r="BB17" s="230">
        <f t="shared" si="19"/>
        <v>280072000</v>
      </c>
      <c r="BC17" s="230">
        <f t="shared" si="19"/>
        <v>0</v>
      </c>
      <c r="BD17" s="230">
        <f t="shared" si="19"/>
        <v>0</v>
      </c>
      <c r="BE17" s="275">
        <f t="shared" si="19"/>
        <v>0</v>
      </c>
      <c r="BF17" s="275">
        <f t="shared" si="19"/>
        <v>0</v>
      </c>
      <c r="BG17" s="275">
        <f t="shared" si="19"/>
        <v>0</v>
      </c>
      <c r="BH17" s="230">
        <f t="shared" si="19"/>
        <v>0</v>
      </c>
      <c r="BI17" s="230">
        <f t="shared" si="19"/>
        <v>0</v>
      </c>
      <c r="BJ17" s="230">
        <f t="shared" si="19"/>
        <v>0</v>
      </c>
      <c r="BK17" s="230">
        <f t="shared" si="19"/>
        <v>0</v>
      </c>
      <c r="BL17" s="230">
        <f>BL18+BL19</f>
        <v>0</v>
      </c>
      <c r="BM17" s="230">
        <f>BM18+BM19</f>
        <v>0</v>
      </c>
      <c r="BN17" s="230">
        <f t="shared" si="19"/>
        <v>0</v>
      </c>
      <c r="BO17" s="230">
        <f t="shared" si="19"/>
        <v>0</v>
      </c>
      <c r="BP17" s="230">
        <f t="shared" si="19"/>
        <v>0</v>
      </c>
      <c r="BQ17" s="230">
        <f t="shared" si="19"/>
        <v>0</v>
      </c>
      <c r="BR17" s="230">
        <f t="shared" si="19"/>
        <v>0</v>
      </c>
      <c r="BS17" s="230">
        <f t="shared" si="19"/>
        <v>0</v>
      </c>
      <c r="BT17" s="230">
        <f t="shared" si="19"/>
        <v>0</v>
      </c>
      <c r="BU17" s="230">
        <f t="shared" si="19"/>
        <v>0</v>
      </c>
      <c r="BV17" s="230">
        <f t="shared" si="19"/>
        <v>0</v>
      </c>
      <c r="BW17" s="230">
        <f t="shared" si="19"/>
        <v>0</v>
      </c>
      <c r="BX17" s="230">
        <f t="shared" si="19"/>
        <v>0</v>
      </c>
      <c r="BY17" s="230">
        <f t="shared" si="19"/>
        <v>0</v>
      </c>
      <c r="BZ17" s="230">
        <f t="shared" si="19"/>
        <v>0</v>
      </c>
      <c r="CA17" s="230">
        <f t="shared" si="19"/>
        <v>0</v>
      </c>
      <c r="CB17" s="230">
        <f t="shared" si="19"/>
        <v>0</v>
      </c>
      <c r="CC17" s="230">
        <f t="shared" si="19"/>
        <v>0</v>
      </c>
      <c r="CD17" s="230">
        <f t="shared" si="19"/>
        <v>0</v>
      </c>
      <c r="CE17" s="230">
        <f t="shared" si="19"/>
        <v>0</v>
      </c>
      <c r="CF17" s="230">
        <f t="shared" si="19"/>
        <v>0</v>
      </c>
      <c r="CG17" s="230">
        <f t="shared" si="19"/>
        <v>0</v>
      </c>
      <c r="CH17" s="230">
        <f t="shared" si="19"/>
        <v>0</v>
      </c>
      <c r="CI17" s="275">
        <f t="shared" si="19"/>
        <v>0</v>
      </c>
      <c r="CJ17" s="275">
        <f t="shared" si="19"/>
        <v>0</v>
      </c>
      <c r="CK17" s="275">
        <f t="shared" si="19"/>
        <v>0</v>
      </c>
      <c r="CL17" s="230">
        <f t="shared" si="19"/>
        <v>0</v>
      </c>
      <c r="CM17" s="230">
        <f t="shared" si="19"/>
        <v>0</v>
      </c>
      <c r="CN17" s="230">
        <f t="shared" si="19"/>
        <v>0</v>
      </c>
      <c r="CO17" s="271" t="s">
        <v>182</v>
      </c>
      <c r="CP17" s="335">
        <f>CP18+CP19</f>
        <v>11699483586</v>
      </c>
      <c r="CQ17" s="335">
        <f t="shared" ref="CQ17:ES17" si="20">CQ18+CQ19</f>
        <v>11699483586</v>
      </c>
      <c r="CR17" s="335">
        <f t="shared" si="20"/>
        <v>0</v>
      </c>
      <c r="CS17" s="279">
        <f t="shared" si="20"/>
        <v>0</v>
      </c>
      <c r="CT17" s="279">
        <f t="shared" si="20"/>
        <v>0</v>
      </c>
      <c r="CU17" s="279">
        <f t="shared" si="20"/>
        <v>0</v>
      </c>
      <c r="CV17" s="279">
        <f t="shared" si="20"/>
        <v>0</v>
      </c>
      <c r="CW17" s="335">
        <f t="shared" si="20"/>
        <v>11699483586</v>
      </c>
      <c r="CX17" s="279">
        <f t="shared" si="20"/>
        <v>0</v>
      </c>
      <c r="CY17" s="279">
        <f t="shared" si="20"/>
        <v>0</v>
      </c>
      <c r="CZ17" s="279">
        <f t="shared" si="20"/>
        <v>0</v>
      </c>
      <c r="DA17" s="279">
        <f t="shared" si="20"/>
        <v>0</v>
      </c>
      <c r="DB17" s="279">
        <f t="shared" si="20"/>
        <v>0</v>
      </c>
      <c r="DC17" s="279">
        <f t="shared" si="20"/>
        <v>0</v>
      </c>
      <c r="DD17" s="279">
        <f t="shared" si="20"/>
        <v>0</v>
      </c>
      <c r="DE17" s="279">
        <f t="shared" si="20"/>
        <v>0</v>
      </c>
      <c r="DF17" s="279">
        <f t="shared" si="20"/>
        <v>0</v>
      </c>
      <c r="DG17" s="279">
        <f t="shared" si="20"/>
        <v>0</v>
      </c>
      <c r="DH17" s="279">
        <f t="shared" si="20"/>
        <v>0</v>
      </c>
      <c r="DI17" s="279">
        <f t="shared" si="20"/>
        <v>0</v>
      </c>
      <c r="DJ17" s="279">
        <f t="shared" si="20"/>
        <v>0</v>
      </c>
      <c r="DK17" s="279">
        <f t="shared" si="20"/>
        <v>0</v>
      </c>
      <c r="DL17" s="279">
        <f t="shared" si="20"/>
        <v>0</v>
      </c>
      <c r="DM17" s="279">
        <f t="shared" si="20"/>
        <v>30930000</v>
      </c>
      <c r="DN17" s="279">
        <f t="shared" si="20"/>
        <v>0</v>
      </c>
      <c r="DO17" s="279">
        <f t="shared" si="20"/>
        <v>0</v>
      </c>
      <c r="DP17" s="279">
        <f t="shared" si="20"/>
        <v>0</v>
      </c>
      <c r="DQ17" s="279">
        <f t="shared" si="20"/>
        <v>0</v>
      </c>
      <c r="DR17" s="279">
        <f t="shared" si="20"/>
        <v>0</v>
      </c>
      <c r="DS17" s="279">
        <f t="shared" si="20"/>
        <v>0</v>
      </c>
      <c r="DT17" s="279">
        <f t="shared" si="20"/>
        <v>0</v>
      </c>
      <c r="DU17" s="279">
        <f t="shared" si="20"/>
        <v>0</v>
      </c>
      <c r="DV17" s="279">
        <f t="shared" si="20"/>
        <v>0</v>
      </c>
      <c r="DW17" s="279">
        <f t="shared" si="20"/>
        <v>0</v>
      </c>
      <c r="DX17" s="279">
        <f t="shared" si="20"/>
        <v>0</v>
      </c>
      <c r="DY17" s="279">
        <f t="shared" si="20"/>
        <v>0</v>
      </c>
      <c r="DZ17" s="279">
        <f t="shared" si="20"/>
        <v>0</v>
      </c>
      <c r="EA17" s="279">
        <f t="shared" si="20"/>
        <v>0</v>
      </c>
      <c r="EB17" s="279">
        <f t="shared" si="20"/>
        <v>0</v>
      </c>
      <c r="EC17" s="279">
        <f t="shared" si="20"/>
        <v>0</v>
      </c>
      <c r="ED17" s="279">
        <f t="shared" si="20"/>
        <v>0</v>
      </c>
      <c r="EE17" s="279">
        <f t="shared" si="20"/>
        <v>0</v>
      </c>
      <c r="EF17" s="279">
        <f t="shared" si="20"/>
        <v>0</v>
      </c>
      <c r="EG17" s="279">
        <f t="shared" si="20"/>
        <v>0</v>
      </c>
      <c r="EH17" s="279">
        <f t="shared" si="20"/>
        <v>0</v>
      </c>
      <c r="EI17" s="279">
        <f t="shared" si="20"/>
        <v>0</v>
      </c>
      <c r="EJ17" s="279">
        <f>EJ18+EJ19</f>
        <v>0</v>
      </c>
      <c r="EK17" s="279">
        <f t="shared" si="20"/>
        <v>0</v>
      </c>
      <c r="EL17" s="279">
        <f t="shared" si="20"/>
        <v>0</v>
      </c>
      <c r="EM17" s="279">
        <f t="shared" si="20"/>
        <v>0</v>
      </c>
      <c r="EN17" s="279">
        <f t="shared" si="20"/>
        <v>11388481586</v>
      </c>
      <c r="EO17" s="279">
        <f t="shared" si="20"/>
        <v>280072000</v>
      </c>
      <c r="EP17" s="279">
        <f t="shared" si="20"/>
        <v>0</v>
      </c>
      <c r="EQ17" s="279">
        <f t="shared" si="20"/>
        <v>0</v>
      </c>
      <c r="ER17" s="335">
        <f t="shared" si="20"/>
        <v>0</v>
      </c>
      <c r="ES17" s="335">
        <f t="shared" si="20"/>
        <v>0</v>
      </c>
      <c r="ET17" s="335">
        <f t="shared" ref="ET17:GB17" si="21">ET18+ET19</f>
        <v>0</v>
      </c>
      <c r="EU17" s="279">
        <f t="shared" si="21"/>
        <v>0</v>
      </c>
      <c r="EV17" s="279">
        <f t="shared" si="21"/>
        <v>0</v>
      </c>
      <c r="EW17" s="279">
        <f t="shared" si="21"/>
        <v>0</v>
      </c>
      <c r="EX17" s="279">
        <f t="shared" si="21"/>
        <v>0</v>
      </c>
      <c r="EY17" s="279">
        <f>EY18+EY19</f>
        <v>0</v>
      </c>
      <c r="EZ17" s="279">
        <f>EZ18+EZ19</f>
        <v>0</v>
      </c>
      <c r="FA17" s="279">
        <f t="shared" si="21"/>
        <v>0</v>
      </c>
      <c r="FB17" s="279">
        <f t="shared" si="21"/>
        <v>0</v>
      </c>
      <c r="FC17" s="279">
        <f t="shared" si="21"/>
        <v>0</v>
      </c>
      <c r="FD17" s="279">
        <f t="shared" si="21"/>
        <v>0</v>
      </c>
      <c r="FE17" s="279">
        <f t="shared" si="21"/>
        <v>0</v>
      </c>
      <c r="FF17" s="279">
        <f t="shared" si="21"/>
        <v>0</v>
      </c>
      <c r="FG17" s="279">
        <f t="shared" si="21"/>
        <v>0</v>
      </c>
      <c r="FH17" s="279">
        <f t="shared" si="21"/>
        <v>0</v>
      </c>
      <c r="FI17" s="279">
        <f t="shared" si="21"/>
        <v>0</v>
      </c>
      <c r="FJ17" s="279">
        <f t="shared" si="21"/>
        <v>0</v>
      </c>
      <c r="FK17" s="279">
        <f t="shared" si="21"/>
        <v>0</v>
      </c>
      <c r="FL17" s="279">
        <f t="shared" si="21"/>
        <v>0</v>
      </c>
      <c r="FM17" s="279">
        <f t="shared" si="21"/>
        <v>0</v>
      </c>
      <c r="FN17" s="279">
        <f t="shared" si="21"/>
        <v>0</v>
      </c>
      <c r="FO17" s="279">
        <f t="shared" si="21"/>
        <v>0</v>
      </c>
      <c r="FP17" s="279">
        <f t="shared" si="21"/>
        <v>0</v>
      </c>
      <c r="FQ17" s="279">
        <f t="shared" si="21"/>
        <v>0</v>
      </c>
      <c r="FR17" s="279">
        <f t="shared" si="21"/>
        <v>0</v>
      </c>
      <c r="FS17" s="279">
        <f t="shared" si="21"/>
        <v>0</v>
      </c>
      <c r="FT17" s="279">
        <f t="shared" si="21"/>
        <v>0</v>
      </c>
      <c r="FU17" s="279">
        <f t="shared" si="21"/>
        <v>0</v>
      </c>
      <c r="FV17" s="335">
        <f t="shared" si="21"/>
        <v>0</v>
      </c>
      <c r="FW17" s="335">
        <f t="shared" si="21"/>
        <v>0</v>
      </c>
      <c r="FX17" s="335">
        <f t="shared" si="21"/>
        <v>0</v>
      </c>
      <c r="FY17" s="279">
        <f t="shared" si="21"/>
        <v>0</v>
      </c>
      <c r="FZ17" s="279">
        <f t="shared" si="21"/>
        <v>0</v>
      </c>
      <c r="GA17" s="279">
        <f t="shared" si="21"/>
        <v>0</v>
      </c>
      <c r="GB17" s="335">
        <f t="shared" si="21"/>
        <v>0</v>
      </c>
      <c r="GC17" s="328">
        <f>CP17/C17</f>
        <v>1</v>
      </c>
      <c r="GD17" s="342"/>
      <c r="GE17" s="328">
        <f>CW17/J17</f>
        <v>1</v>
      </c>
      <c r="GF17" s="328"/>
      <c r="GG17" s="328"/>
    </row>
    <row r="18" spans="1:189" s="264" customFormat="1" ht="17.25" customHeight="1">
      <c r="A18" s="227"/>
      <c r="B18" s="228" t="s">
        <v>183</v>
      </c>
      <c r="C18" s="270">
        <f>D18+BE18+CI18</f>
        <v>0</v>
      </c>
      <c r="D18" s="270">
        <f>E18+J18</f>
        <v>0</v>
      </c>
      <c r="E18" s="270">
        <f>SUM(F18:I18)</f>
        <v>0</v>
      </c>
      <c r="F18" s="229"/>
      <c r="G18" s="229"/>
      <c r="H18" s="229"/>
      <c r="I18" s="229"/>
      <c r="J18" s="270">
        <f>SUM(K18:BD18)</f>
        <v>0</v>
      </c>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29"/>
      <c r="AZ18" s="229"/>
      <c r="BA18" s="229"/>
      <c r="BB18" s="229"/>
      <c r="BC18" s="229"/>
      <c r="BD18" s="229"/>
      <c r="BE18" s="270">
        <f>SUM(BF18:BG18)</f>
        <v>0</v>
      </c>
      <c r="BF18" s="270">
        <f>SUM(BH18:BI18)+BJ18+SUM(BL18:BN18)+BW18+CE18</f>
        <v>0</v>
      </c>
      <c r="BG18" s="270">
        <f>BK18+SUM(BO18:BV18)+SUM(BX18:CD18)+SUM(CF18:CH18)</f>
        <v>0</v>
      </c>
      <c r="BH18" s="229"/>
      <c r="BI18" s="229"/>
      <c r="BJ18" s="229"/>
      <c r="BK18" s="229"/>
      <c r="BL18" s="229"/>
      <c r="BM18" s="229"/>
      <c r="BN18" s="229"/>
      <c r="BO18" s="229"/>
      <c r="BP18" s="229"/>
      <c r="BQ18" s="229"/>
      <c r="BR18" s="229"/>
      <c r="BS18" s="229"/>
      <c r="BT18" s="229"/>
      <c r="BU18" s="229"/>
      <c r="BV18" s="229"/>
      <c r="BW18" s="229"/>
      <c r="BX18" s="229"/>
      <c r="BY18" s="229"/>
      <c r="BZ18" s="229"/>
      <c r="CA18" s="229"/>
      <c r="CB18" s="229"/>
      <c r="CC18" s="229"/>
      <c r="CD18" s="229"/>
      <c r="CE18" s="229"/>
      <c r="CF18" s="229"/>
      <c r="CG18" s="229"/>
      <c r="CH18" s="229"/>
      <c r="CI18" s="270">
        <f>SUM(CJ18:CK18)</f>
        <v>0</v>
      </c>
      <c r="CJ18" s="270">
        <f>SUM(CL18:CL18)</f>
        <v>0</v>
      </c>
      <c r="CK18" s="270">
        <f>SUM(CM18:CN18)</f>
        <v>0</v>
      </c>
      <c r="CL18" s="229"/>
      <c r="CM18" s="229"/>
      <c r="CN18" s="229"/>
      <c r="CO18" s="271" t="s">
        <v>183</v>
      </c>
      <c r="CP18" s="303">
        <f>CQ18+ER18+FV18+GB18</f>
        <v>0</v>
      </c>
      <c r="CQ18" s="303">
        <f>CR18+CW18</f>
        <v>0</v>
      </c>
      <c r="CR18" s="303">
        <f>SUM(CS18:CV18)</f>
        <v>0</v>
      </c>
      <c r="CS18" s="272"/>
      <c r="CT18" s="272"/>
      <c r="CU18" s="272"/>
      <c r="CV18" s="272"/>
      <c r="CW18" s="303">
        <f>SUM(CX18:EQ18)</f>
        <v>0</v>
      </c>
      <c r="CX18" s="272"/>
      <c r="CY18" s="272"/>
      <c r="CZ18" s="272"/>
      <c r="DA18" s="272"/>
      <c r="DB18" s="272"/>
      <c r="DC18" s="272"/>
      <c r="DD18" s="272"/>
      <c r="DE18" s="272"/>
      <c r="DF18" s="272"/>
      <c r="DG18" s="272"/>
      <c r="DH18" s="272"/>
      <c r="DI18" s="272"/>
      <c r="DJ18" s="272"/>
      <c r="DK18" s="272"/>
      <c r="DL18" s="272"/>
      <c r="DM18" s="272"/>
      <c r="DN18" s="272"/>
      <c r="DO18" s="272"/>
      <c r="DP18" s="272"/>
      <c r="DQ18" s="272"/>
      <c r="DR18" s="272"/>
      <c r="DS18" s="272"/>
      <c r="DT18" s="272"/>
      <c r="DU18" s="272"/>
      <c r="DV18" s="272"/>
      <c r="DW18" s="272"/>
      <c r="DX18" s="272"/>
      <c r="DY18" s="272"/>
      <c r="DZ18" s="272"/>
      <c r="EA18" s="272"/>
      <c r="EB18" s="272"/>
      <c r="EC18" s="272"/>
      <c r="ED18" s="272"/>
      <c r="EE18" s="272"/>
      <c r="EF18" s="272"/>
      <c r="EG18" s="272"/>
      <c r="EH18" s="272"/>
      <c r="EI18" s="272"/>
      <c r="EJ18" s="272"/>
      <c r="EK18" s="272"/>
      <c r="EL18" s="272"/>
      <c r="EM18" s="272"/>
      <c r="EN18" s="272"/>
      <c r="EO18" s="272"/>
      <c r="EP18" s="272"/>
      <c r="EQ18" s="272"/>
      <c r="ER18" s="303">
        <f>SUM(ES18:ET18)</f>
        <v>0</v>
      </c>
      <c r="ES18" s="303">
        <f>SUM(EU18:EV18)+EW18+SUM(EY18:FA18)+FJ18+FR18</f>
        <v>0</v>
      </c>
      <c r="ET18" s="303">
        <f>EX18+SUM(FB18:FI18)+SUM(FK18:FQ18)+SUM(FS18:FU18)</f>
        <v>0</v>
      </c>
      <c r="EU18" s="272"/>
      <c r="EV18" s="272"/>
      <c r="EW18" s="272"/>
      <c r="EX18" s="272"/>
      <c r="EY18" s="272"/>
      <c r="EZ18" s="272"/>
      <c r="FA18" s="272"/>
      <c r="FB18" s="272"/>
      <c r="FC18" s="272"/>
      <c r="FD18" s="272"/>
      <c r="FE18" s="272"/>
      <c r="FF18" s="272"/>
      <c r="FG18" s="272"/>
      <c r="FH18" s="272"/>
      <c r="FI18" s="272"/>
      <c r="FJ18" s="272"/>
      <c r="FK18" s="272"/>
      <c r="FL18" s="272"/>
      <c r="FM18" s="272"/>
      <c r="FN18" s="272"/>
      <c r="FO18" s="272"/>
      <c r="FP18" s="272"/>
      <c r="FQ18" s="272"/>
      <c r="FR18" s="272"/>
      <c r="FS18" s="272"/>
      <c r="FT18" s="272"/>
      <c r="FU18" s="272"/>
      <c r="FV18" s="303">
        <f>SUM(FW18:FX18)</f>
        <v>0</v>
      </c>
      <c r="FW18" s="303">
        <f>SUM(FY18:FY18)</f>
        <v>0</v>
      </c>
      <c r="FX18" s="303">
        <f>SUM(FZ18:GA18)</f>
        <v>0</v>
      </c>
      <c r="FY18" s="272"/>
      <c r="FZ18" s="272"/>
      <c r="GA18" s="272"/>
      <c r="GB18" s="303"/>
      <c r="GC18" s="328"/>
      <c r="GD18" s="342"/>
      <c r="GE18" s="328"/>
      <c r="GF18" s="328"/>
      <c r="GG18" s="328"/>
    </row>
    <row r="19" spans="1:189" s="264" customFormat="1" ht="17.25" customHeight="1">
      <c r="A19" s="227"/>
      <c r="B19" s="228" t="s">
        <v>184</v>
      </c>
      <c r="C19" s="270">
        <f>D19+BE19+CI19</f>
        <v>11699483586</v>
      </c>
      <c r="D19" s="270">
        <f>E19+J19</f>
        <v>11699483586</v>
      </c>
      <c r="E19" s="270">
        <f>SUM(F19:I19)</f>
        <v>0</v>
      </c>
      <c r="F19" s="230"/>
      <c r="G19" s="230"/>
      <c r="H19" s="230"/>
      <c r="I19" s="230"/>
      <c r="J19" s="270">
        <f>SUM(K19:BD19)</f>
        <v>11699483586</v>
      </c>
      <c r="K19" s="230"/>
      <c r="L19" s="230"/>
      <c r="M19" s="230"/>
      <c r="N19" s="230"/>
      <c r="O19" s="230"/>
      <c r="P19" s="230"/>
      <c r="Q19" s="230"/>
      <c r="R19" s="230"/>
      <c r="S19" s="230"/>
      <c r="T19" s="230"/>
      <c r="U19" s="230"/>
      <c r="V19" s="230"/>
      <c r="W19" s="230"/>
      <c r="X19" s="230"/>
      <c r="Y19" s="230"/>
      <c r="Z19" s="230">
        <v>30930000</v>
      </c>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0"/>
      <c r="BA19" s="230">
        <v>11388481586</v>
      </c>
      <c r="BB19" s="230">
        <v>280072000</v>
      </c>
      <c r="BC19" s="230"/>
      <c r="BD19" s="230"/>
      <c r="BE19" s="270">
        <f>SUM(BF19:BG19)</f>
        <v>0</v>
      </c>
      <c r="BF19" s="270">
        <f>SUM(BH19:BI19)+BJ19+SUM(BL19:BN19)+BW19+CE19</f>
        <v>0</v>
      </c>
      <c r="BG19" s="270">
        <f>BK19+SUM(BO19:BV19)+SUM(BX19:CD19)+SUM(CF19:CH19)</f>
        <v>0</v>
      </c>
      <c r="BH19" s="230"/>
      <c r="BI19" s="230"/>
      <c r="BJ19" s="230"/>
      <c r="BK19" s="230"/>
      <c r="BL19" s="230"/>
      <c r="BM19" s="230"/>
      <c r="BN19" s="230"/>
      <c r="BO19" s="230"/>
      <c r="BP19" s="230"/>
      <c r="BQ19" s="230"/>
      <c r="BR19" s="230"/>
      <c r="BS19" s="230"/>
      <c r="BT19" s="230"/>
      <c r="BU19" s="230"/>
      <c r="BV19" s="230"/>
      <c r="BW19" s="230"/>
      <c r="BX19" s="230"/>
      <c r="BY19" s="230"/>
      <c r="BZ19" s="230"/>
      <c r="CA19" s="230"/>
      <c r="CB19" s="230"/>
      <c r="CC19" s="230"/>
      <c r="CD19" s="230"/>
      <c r="CE19" s="230"/>
      <c r="CF19" s="230"/>
      <c r="CG19" s="230"/>
      <c r="CH19" s="230"/>
      <c r="CI19" s="270">
        <f>SUM(CJ19:CK19)</f>
        <v>0</v>
      </c>
      <c r="CJ19" s="270">
        <f>SUM(CL19:CL19)</f>
        <v>0</v>
      </c>
      <c r="CK19" s="270">
        <f>SUM(CM19:CN19)</f>
        <v>0</v>
      </c>
      <c r="CL19" s="230"/>
      <c r="CM19" s="230"/>
      <c r="CN19" s="230"/>
      <c r="CO19" s="271" t="s">
        <v>184</v>
      </c>
      <c r="CP19" s="303">
        <f>CQ19+ER19+FV19+GB19</f>
        <v>11699483586</v>
      </c>
      <c r="CQ19" s="303">
        <f>CR19+CW19</f>
        <v>11699483586</v>
      </c>
      <c r="CR19" s="303">
        <f>SUM(CS19:CV19)</f>
        <v>0</v>
      </c>
      <c r="CS19" s="279"/>
      <c r="CT19" s="279"/>
      <c r="CU19" s="279"/>
      <c r="CV19" s="279"/>
      <c r="CW19" s="303">
        <f>SUM(CX19:EQ19)</f>
        <v>11699483586</v>
      </c>
      <c r="CX19" s="279"/>
      <c r="CY19" s="279"/>
      <c r="CZ19" s="279"/>
      <c r="DA19" s="279"/>
      <c r="DB19" s="279"/>
      <c r="DC19" s="279"/>
      <c r="DD19" s="279"/>
      <c r="DE19" s="279"/>
      <c r="DF19" s="279"/>
      <c r="DG19" s="279"/>
      <c r="DH19" s="279"/>
      <c r="DI19" s="279"/>
      <c r="DJ19" s="279"/>
      <c r="DK19" s="279"/>
      <c r="DL19" s="279"/>
      <c r="DM19" s="279">
        <v>30930000</v>
      </c>
      <c r="DN19" s="279"/>
      <c r="DO19" s="279"/>
      <c r="DP19" s="279"/>
      <c r="DQ19" s="279"/>
      <c r="DR19" s="279"/>
      <c r="DS19" s="279"/>
      <c r="DT19" s="279"/>
      <c r="DU19" s="279"/>
      <c r="DV19" s="279"/>
      <c r="DW19" s="279"/>
      <c r="DX19" s="279"/>
      <c r="DY19" s="279"/>
      <c r="DZ19" s="279"/>
      <c r="EA19" s="279"/>
      <c r="EB19" s="279"/>
      <c r="EC19" s="279"/>
      <c r="ED19" s="279"/>
      <c r="EE19" s="279"/>
      <c r="EF19" s="279"/>
      <c r="EG19" s="279"/>
      <c r="EH19" s="279"/>
      <c r="EI19" s="279"/>
      <c r="EJ19" s="279"/>
      <c r="EK19" s="279"/>
      <c r="EL19" s="279"/>
      <c r="EM19" s="279"/>
      <c r="EN19" s="279">
        <v>11388481586</v>
      </c>
      <c r="EO19" s="279">
        <v>280072000</v>
      </c>
      <c r="EP19" s="279"/>
      <c r="EQ19" s="279"/>
      <c r="ER19" s="303">
        <f>SUM(ES19:ET19)</f>
        <v>0</v>
      </c>
      <c r="ES19" s="303">
        <f>SUM(EU19:EV19)+EW19+SUM(EY19:FA19)+FJ19+FR19</f>
        <v>0</v>
      </c>
      <c r="ET19" s="303">
        <f>EX19+SUM(FB19:FI19)+SUM(FK19:FQ19)+SUM(FS19:FU19)</f>
        <v>0</v>
      </c>
      <c r="EU19" s="279"/>
      <c r="EV19" s="279"/>
      <c r="EW19" s="279"/>
      <c r="EX19" s="279"/>
      <c r="EY19" s="279"/>
      <c r="EZ19" s="279"/>
      <c r="FA19" s="279"/>
      <c r="FB19" s="279"/>
      <c r="FC19" s="279"/>
      <c r="FD19" s="279"/>
      <c r="FE19" s="279"/>
      <c r="FF19" s="279"/>
      <c r="FG19" s="279"/>
      <c r="FH19" s="279"/>
      <c r="FI19" s="279"/>
      <c r="FJ19" s="279"/>
      <c r="FK19" s="279"/>
      <c r="FL19" s="279"/>
      <c r="FM19" s="279"/>
      <c r="FN19" s="279"/>
      <c r="FO19" s="279"/>
      <c r="FP19" s="279"/>
      <c r="FQ19" s="279"/>
      <c r="FR19" s="279"/>
      <c r="FS19" s="279"/>
      <c r="FT19" s="279"/>
      <c r="FU19" s="279"/>
      <c r="FV19" s="303">
        <f>SUM(FW19:FX19)</f>
        <v>0</v>
      </c>
      <c r="FW19" s="303">
        <f>SUM(FY19:FY19)</f>
        <v>0</v>
      </c>
      <c r="FX19" s="303">
        <f>SUM(FZ19:GA19)</f>
        <v>0</v>
      </c>
      <c r="FY19" s="279"/>
      <c r="FZ19" s="279"/>
      <c r="GA19" s="279"/>
      <c r="GB19" s="335"/>
      <c r="GC19" s="328">
        <f>CP19/C19</f>
        <v>1</v>
      </c>
      <c r="GD19" s="328"/>
      <c r="GE19" s="328">
        <f>CW19/J19</f>
        <v>1</v>
      </c>
      <c r="GF19" s="328"/>
      <c r="GG19" s="328"/>
    </row>
    <row r="20" spans="1:189" s="264" customFormat="1" ht="17.25" customHeight="1">
      <c r="A20" s="227">
        <v>3</v>
      </c>
      <c r="B20" s="228" t="s">
        <v>195</v>
      </c>
      <c r="C20" s="270">
        <f t="shared" ref="C20:AI20" si="22">C21+C22</f>
        <v>126023000</v>
      </c>
      <c r="D20" s="270">
        <f t="shared" si="22"/>
        <v>126023000</v>
      </c>
      <c r="E20" s="270">
        <f t="shared" si="22"/>
        <v>0</v>
      </c>
      <c r="F20" s="229">
        <f t="shared" si="22"/>
        <v>0</v>
      </c>
      <c r="G20" s="229">
        <f t="shared" si="22"/>
        <v>0</v>
      </c>
      <c r="H20" s="229">
        <f t="shared" si="22"/>
        <v>0</v>
      </c>
      <c r="I20" s="229">
        <f t="shared" si="22"/>
        <v>0</v>
      </c>
      <c r="J20" s="270">
        <f t="shared" si="22"/>
        <v>126023000</v>
      </c>
      <c r="K20" s="229">
        <f t="shared" si="22"/>
        <v>0</v>
      </c>
      <c r="L20" s="229">
        <f t="shared" si="22"/>
        <v>0</v>
      </c>
      <c r="M20" s="229">
        <f t="shared" si="22"/>
        <v>0</v>
      </c>
      <c r="N20" s="229">
        <f t="shared" si="22"/>
        <v>0</v>
      </c>
      <c r="O20" s="229">
        <f t="shared" si="22"/>
        <v>0</v>
      </c>
      <c r="P20" s="229">
        <f t="shared" si="22"/>
        <v>0</v>
      </c>
      <c r="Q20" s="229">
        <f t="shared" si="22"/>
        <v>0</v>
      </c>
      <c r="R20" s="229">
        <f t="shared" si="22"/>
        <v>0</v>
      </c>
      <c r="S20" s="229">
        <f t="shared" si="22"/>
        <v>0</v>
      </c>
      <c r="T20" s="229">
        <f t="shared" si="22"/>
        <v>0</v>
      </c>
      <c r="U20" s="229">
        <f t="shared" si="22"/>
        <v>0</v>
      </c>
      <c r="V20" s="229">
        <f t="shared" si="22"/>
        <v>0</v>
      </c>
      <c r="W20" s="229">
        <f t="shared" si="22"/>
        <v>0</v>
      </c>
      <c r="X20" s="229">
        <f t="shared" si="22"/>
        <v>0</v>
      </c>
      <c r="Y20" s="229">
        <f t="shared" si="22"/>
        <v>0</v>
      </c>
      <c r="Z20" s="229">
        <f t="shared" si="22"/>
        <v>0</v>
      </c>
      <c r="AA20" s="229">
        <f t="shared" si="22"/>
        <v>0</v>
      </c>
      <c r="AB20" s="229">
        <f t="shared" si="22"/>
        <v>0</v>
      </c>
      <c r="AC20" s="229">
        <f t="shared" si="22"/>
        <v>0</v>
      </c>
      <c r="AD20" s="229">
        <f t="shared" si="22"/>
        <v>0</v>
      </c>
      <c r="AE20" s="229">
        <f t="shared" si="22"/>
        <v>0</v>
      </c>
      <c r="AF20" s="229">
        <f t="shared" si="22"/>
        <v>0</v>
      </c>
      <c r="AG20" s="229">
        <f t="shared" si="22"/>
        <v>0</v>
      </c>
      <c r="AH20" s="229">
        <f t="shared" si="22"/>
        <v>0</v>
      </c>
      <c r="AI20" s="229">
        <f t="shared" si="22"/>
        <v>0</v>
      </c>
      <c r="AJ20" s="229">
        <f t="shared" ref="AJ20:AO20" si="23">AJ21+AJ22</f>
        <v>0</v>
      </c>
      <c r="AK20" s="229">
        <f t="shared" si="23"/>
        <v>0</v>
      </c>
      <c r="AL20" s="229">
        <f t="shared" si="23"/>
        <v>0</v>
      </c>
      <c r="AM20" s="229">
        <f t="shared" si="23"/>
        <v>0</v>
      </c>
      <c r="AN20" s="229">
        <f t="shared" si="23"/>
        <v>0</v>
      </c>
      <c r="AO20" s="229">
        <f t="shared" si="23"/>
        <v>0</v>
      </c>
      <c r="AP20" s="229">
        <f t="shared" ref="AP20:AU20" si="24">AP21+AP22</f>
        <v>0</v>
      </c>
      <c r="AQ20" s="229">
        <f t="shared" si="24"/>
        <v>0</v>
      </c>
      <c r="AR20" s="229">
        <f t="shared" si="24"/>
        <v>0</v>
      </c>
      <c r="AS20" s="229">
        <f t="shared" si="24"/>
        <v>0</v>
      </c>
      <c r="AT20" s="229">
        <f t="shared" si="24"/>
        <v>126023000</v>
      </c>
      <c r="AU20" s="229">
        <f t="shared" si="24"/>
        <v>0</v>
      </c>
      <c r="AV20" s="229">
        <f>AV21+AV22</f>
        <v>0</v>
      </c>
      <c r="AW20" s="229">
        <f>AW21+AW22</f>
        <v>0</v>
      </c>
      <c r="AX20" s="229">
        <f t="shared" ref="AX20:CN20" si="25">AX21+AX22</f>
        <v>0</v>
      </c>
      <c r="AY20" s="229">
        <f t="shared" si="25"/>
        <v>0</v>
      </c>
      <c r="AZ20" s="229">
        <f t="shared" si="25"/>
        <v>0</v>
      </c>
      <c r="BA20" s="229">
        <f t="shared" si="25"/>
        <v>0</v>
      </c>
      <c r="BB20" s="229">
        <f t="shared" si="25"/>
        <v>0</v>
      </c>
      <c r="BC20" s="229">
        <f t="shared" si="25"/>
        <v>0</v>
      </c>
      <c r="BD20" s="229">
        <f t="shared" si="25"/>
        <v>0</v>
      </c>
      <c r="BE20" s="270">
        <f t="shared" si="25"/>
        <v>0</v>
      </c>
      <c r="BF20" s="270">
        <f t="shared" si="25"/>
        <v>0</v>
      </c>
      <c r="BG20" s="270">
        <f t="shared" si="25"/>
        <v>0</v>
      </c>
      <c r="BH20" s="229">
        <f t="shared" si="25"/>
        <v>0</v>
      </c>
      <c r="BI20" s="229">
        <f t="shared" si="25"/>
        <v>0</v>
      </c>
      <c r="BJ20" s="229">
        <f t="shared" si="25"/>
        <v>0</v>
      </c>
      <c r="BK20" s="229">
        <f t="shared" si="25"/>
        <v>0</v>
      </c>
      <c r="BL20" s="229">
        <f>BL21+BL22</f>
        <v>0</v>
      </c>
      <c r="BM20" s="229">
        <f>BM21+BM22</f>
        <v>0</v>
      </c>
      <c r="BN20" s="229">
        <f t="shared" si="25"/>
        <v>0</v>
      </c>
      <c r="BO20" s="229">
        <f t="shared" si="25"/>
        <v>0</v>
      </c>
      <c r="BP20" s="229">
        <f t="shared" si="25"/>
        <v>0</v>
      </c>
      <c r="BQ20" s="229">
        <f t="shared" si="25"/>
        <v>0</v>
      </c>
      <c r="BR20" s="229">
        <f t="shared" si="25"/>
        <v>0</v>
      </c>
      <c r="BS20" s="229">
        <f t="shared" si="25"/>
        <v>0</v>
      </c>
      <c r="BT20" s="229">
        <f t="shared" si="25"/>
        <v>0</v>
      </c>
      <c r="BU20" s="229">
        <f t="shared" si="25"/>
        <v>0</v>
      </c>
      <c r="BV20" s="229">
        <f t="shared" si="25"/>
        <v>0</v>
      </c>
      <c r="BW20" s="229">
        <f t="shared" si="25"/>
        <v>0</v>
      </c>
      <c r="BX20" s="229">
        <f t="shared" si="25"/>
        <v>0</v>
      </c>
      <c r="BY20" s="229">
        <f t="shared" si="25"/>
        <v>0</v>
      </c>
      <c r="BZ20" s="229">
        <f t="shared" si="25"/>
        <v>0</v>
      </c>
      <c r="CA20" s="229">
        <f t="shared" si="25"/>
        <v>0</v>
      </c>
      <c r="CB20" s="229">
        <f t="shared" si="25"/>
        <v>0</v>
      </c>
      <c r="CC20" s="229">
        <f t="shared" si="25"/>
        <v>0</v>
      </c>
      <c r="CD20" s="229">
        <f t="shared" si="25"/>
        <v>0</v>
      </c>
      <c r="CE20" s="229">
        <f t="shared" si="25"/>
        <v>0</v>
      </c>
      <c r="CF20" s="229">
        <f t="shared" si="25"/>
        <v>0</v>
      </c>
      <c r="CG20" s="229">
        <f t="shared" si="25"/>
        <v>0</v>
      </c>
      <c r="CH20" s="229">
        <f t="shared" si="25"/>
        <v>0</v>
      </c>
      <c r="CI20" s="270">
        <f t="shared" si="25"/>
        <v>0</v>
      </c>
      <c r="CJ20" s="270">
        <f t="shared" si="25"/>
        <v>0</v>
      </c>
      <c r="CK20" s="270">
        <f t="shared" si="25"/>
        <v>0</v>
      </c>
      <c r="CL20" s="229">
        <f t="shared" si="25"/>
        <v>0</v>
      </c>
      <c r="CM20" s="229">
        <f t="shared" si="25"/>
        <v>0</v>
      </c>
      <c r="CN20" s="229">
        <f t="shared" si="25"/>
        <v>0</v>
      </c>
      <c r="CO20" s="271" t="s">
        <v>195</v>
      </c>
      <c r="CP20" s="303">
        <f t="shared" ref="CP20:ER20" si="26">CP21+CP22</f>
        <v>126023000</v>
      </c>
      <c r="CQ20" s="303">
        <f t="shared" si="26"/>
        <v>126023000</v>
      </c>
      <c r="CR20" s="303">
        <f t="shared" si="26"/>
        <v>0</v>
      </c>
      <c r="CS20" s="272">
        <f t="shared" si="26"/>
        <v>0</v>
      </c>
      <c r="CT20" s="272">
        <f t="shared" si="26"/>
        <v>0</v>
      </c>
      <c r="CU20" s="272">
        <f t="shared" si="26"/>
        <v>0</v>
      </c>
      <c r="CV20" s="272">
        <f t="shared" si="26"/>
        <v>0</v>
      </c>
      <c r="CW20" s="303">
        <f t="shared" si="26"/>
        <v>126023000</v>
      </c>
      <c r="CX20" s="272">
        <f t="shared" si="26"/>
        <v>0</v>
      </c>
      <c r="CY20" s="272">
        <f t="shared" si="26"/>
        <v>0</v>
      </c>
      <c r="CZ20" s="272">
        <f t="shared" si="26"/>
        <v>0</v>
      </c>
      <c r="DA20" s="272">
        <f t="shared" si="26"/>
        <v>0</v>
      </c>
      <c r="DB20" s="272">
        <f t="shared" si="26"/>
        <v>0</v>
      </c>
      <c r="DC20" s="272">
        <f t="shared" si="26"/>
        <v>0</v>
      </c>
      <c r="DD20" s="272">
        <f t="shared" si="26"/>
        <v>0</v>
      </c>
      <c r="DE20" s="272">
        <f t="shared" si="26"/>
        <v>0</v>
      </c>
      <c r="DF20" s="272">
        <f t="shared" si="26"/>
        <v>0</v>
      </c>
      <c r="DG20" s="272">
        <f t="shared" si="26"/>
        <v>0</v>
      </c>
      <c r="DH20" s="272">
        <f t="shared" si="26"/>
        <v>0</v>
      </c>
      <c r="DI20" s="272">
        <f t="shared" si="26"/>
        <v>0</v>
      </c>
      <c r="DJ20" s="272">
        <f t="shared" si="26"/>
        <v>0</v>
      </c>
      <c r="DK20" s="272">
        <f t="shared" si="26"/>
        <v>0</v>
      </c>
      <c r="DL20" s="272">
        <f t="shared" si="26"/>
        <v>0</v>
      </c>
      <c r="DM20" s="272">
        <f>DM21+DM22</f>
        <v>0</v>
      </c>
      <c r="DN20" s="272">
        <f t="shared" si="26"/>
        <v>0</v>
      </c>
      <c r="DO20" s="272">
        <f t="shared" si="26"/>
        <v>0</v>
      </c>
      <c r="DP20" s="272">
        <f t="shared" si="26"/>
        <v>0</v>
      </c>
      <c r="DQ20" s="272">
        <f t="shared" si="26"/>
        <v>0</v>
      </c>
      <c r="DR20" s="272">
        <f t="shared" si="26"/>
        <v>0</v>
      </c>
      <c r="DS20" s="272">
        <f t="shared" si="26"/>
        <v>0</v>
      </c>
      <c r="DT20" s="272">
        <f t="shared" si="26"/>
        <v>0</v>
      </c>
      <c r="DU20" s="272">
        <f t="shared" si="26"/>
        <v>0</v>
      </c>
      <c r="DV20" s="272">
        <f t="shared" si="26"/>
        <v>0</v>
      </c>
      <c r="DW20" s="272">
        <f t="shared" si="26"/>
        <v>0</v>
      </c>
      <c r="DX20" s="272">
        <f t="shared" si="26"/>
        <v>0</v>
      </c>
      <c r="DY20" s="272">
        <f t="shared" si="26"/>
        <v>0</v>
      </c>
      <c r="DZ20" s="272">
        <f t="shared" si="26"/>
        <v>0</v>
      </c>
      <c r="EA20" s="272">
        <f t="shared" si="26"/>
        <v>0</v>
      </c>
      <c r="EB20" s="272">
        <f t="shared" si="26"/>
        <v>0</v>
      </c>
      <c r="EC20" s="272">
        <f t="shared" si="26"/>
        <v>0</v>
      </c>
      <c r="ED20" s="272">
        <f t="shared" si="26"/>
        <v>0</v>
      </c>
      <c r="EE20" s="272">
        <f t="shared" si="26"/>
        <v>0</v>
      </c>
      <c r="EF20" s="272">
        <f t="shared" si="26"/>
        <v>0</v>
      </c>
      <c r="EG20" s="272">
        <f t="shared" si="26"/>
        <v>126023000</v>
      </c>
      <c r="EH20" s="272">
        <f t="shared" si="26"/>
        <v>0</v>
      </c>
      <c r="EI20" s="272">
        <f>EI21+EI22</f>
        <v>0</v>
      </c>
      <c r="EJ20" s="272">
        <f>EJ21+EJ22</f>
        <v>0</v>
      </c>
      <c r="EK20" s="272">
        <f t="shared" si="26"/>
        <v>0</v>
      </c>
      <c r="EL20" s="272">
        <f t="shared" si="26"/>
        <v>0</v>
      </c>
      <c r="EM20" s="272">
        <f t="shared" si="26"/>
        <v>0</v>
      </c>
      <c r="EN20" s="272">
        <f t="shared" si="26"/>
        <v>0</v>
      </c>
      <c r="EO20" s="272">
        <f t="shared" si="26"/>
        <v>0</v>
      </c>
      <c r="EP20" s="272">
        <f t="shared" si="26"/>
        <v>0</v>
      </c>
      <c r="EQ20" s="272">
        <f t="shared" si="26"/>
        <v>0</v>
      </c>
      <c r="ER20" s="303">
        <f t="shared" si="26"/>
        <v>0</v>
      </c>
      <c r="ES20" s="303">
        <f t="shared" ref="ES20:GB20" si="27">ES21+ES22</f>
        <v>0</v>
      </c>
      <c r="ET20" s="303">
        <f t="shared" si="27"/>
        <v>0</v>
      </c>
      <c r="EU20" s="272">
        <f t="shared" si="27"/>
        <v>0</v>
      </c>
      <c r="EV20" s="272">
        <f t="shared" si="27"/>
        <v>0</v>
      </c>
      <c r="EW20" s="272">
        <f t="shared" si="27"/>
        <v>0</v>
      </c>
      <c r="EX20" s="272">
        <f t="shared" si="27"/>
        <v>0</v>
      </c>
      <c r="EY20" s="272">
        <f>EY21+EY22</f>
        <v>0</v>
      </c>
      <c r="EZ20" s="272">
        <f>EZ21+EZ22</f>
        <v>0</v>
      </c>
      <c r="FA20" s="272">
        <f t="shared" si="27"/>
        <v>0</v>
      </c>
      <c r="FB20" s="272">
        <f t="shared" si="27"/>
        <v>0</v>
      </c>
      <c r="FC20" s="272">
        <f t="shared" si="27"/>
        <v>0</v>
      </c>
      <c r="FD20" s="272">
        <f t="shared" si="27"/>
        <v>0</v>
      </c>
      <c r="FE20" s="272">
        <f t="shared" si="27"/>
        <v>0</v>
      </c>
      <c r="FF20" s="272">
        <f t="shared" si="27"/>
        <v>0</v>
      </c>
      <c r="FG20" s="272">
        <f t="shared" si="27"/>
        <v>0</v>
      </c>
      <c r="FH20" s="272">
        <f t="shared" si="27"/>
        <v>0</v>
      </c>
      <c r="FI20" s="272">
        <f t="shared" si="27"/>
        <v>0</v>
      </c>
      <c r="FJ20" s="272">
        <f t="shared" si="27"/>
        <v>0</v>
      </c>
      <c r="FK20" s="272">
        <f t="shared" si="27"/>
        <v>0</v>
      </c>
      <c r="FL20" s="272">
        <f t="shared" si="27"/>
        <v>0</v>
      </c>
      <c r="FM20" s="272">
        <f t="shared" si="27"/>
        <v>0</v>
      </c>
      <c r="FN20" s="272">
        <f t="shared" si="27"/>
        <v>0</v>
      </c>
      <c r="FO20" s="272">
        <f t="shared" si="27"/>
        <v>0</v>
      </c>
      <c r="FP20" s="272">
        <f t="shared" si="27"/>
        <v>0</v>
      </c>
      <c r="FQ20" s="272">
        <f t="shared" si="27"/>
        <v>0</v>
      </c>
      <c r="FR20" s="272">
        <f t="shared" si="27"/>
        <v>0</v>
      </c>
      <c r="FS20" s="272">
        <f t="shared" si="27"/>
        <v>0</v>
      </c>
      <c r="FT20" s="272">
        <f t="shared" si="27"/>
        <v>0</v>
      </c>
      <c r="FU20" s="272">
        <f t="shared" si="27"/>
        <v>0</v>
      </c>
      <c r="FV20" s="303">
        <f t="shared" si="27"/>
        <v>0</v>
      </c>
      <c r="FW20" s="303">
        <f t="shared" si="27"/>
        <v>0</v>
      </c>
      <c r="FX20" s="303">
        <f t="shared" si="27"/>
        <v>0</v>
      </c>
      <c r="FY20" s="272">
        <f t="shared" si="27"/>
        <v>0</v>
      </c>
      <c r="FZ20" s="272">
        <f t="shared" si="27"/>
        <v>0</v>
      </c>
      <c r="GA20" s="272">
        <f t="shared" si="27"/>
        <v>0</v>
      </c>
      <c r="GB20" s="303">
        <f t="shared" si="27"/>
        <v>0</v>
      </c>
      <c r="GC20" s="328">
        <f>CP20/C20</f>
        <v>1</v>
      </c>
      <c r="GD20" s="328"/>
      <c r="GE20" s="328">
        <f>CW20/J20</f>
        <v>1</v>
      </c>
      <c r="GF20" s="328"/>
      <c r="GG20" s="328"/>
    </row>
    <row r="21" spans="1:189" s="264" customFormat="1" ht="17.25" customHeight="1">
      <c r="A21" s="227"/>
      <c r="B21" s="228" t="s">
        <v>183</v>
      </c>
      <c r="C21" s="270">
        <f>D21+BE21+CI21</f>
        <v>0</v>
      </c>
      <c r="D21" s="270">
        <f>E21+J21</f>
        <v>0</v>
      </c>
      <c r="E21" s="270">
        <f>SUM(F21:I21)</f>
        <v>0</v>
      </c>
      <c r="F21" s="229"/>
      <c r="G21" s="229"/>
      <c r="H21" s="229"/>
      <c r="I21" s="229"/>
      <c r="J21" s="270">
        <f>SUM(K21:BD21)</f>
        <v>0</v>
      </c>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29"/>
      <c r="AN21" s="229"/>
      <c r="AO21" s="229"/>
      <c r="AP21" s="229"/>
      <c r="AQ21" s="229"/>
      <c r="AR21" s="229"/>
      <c r="AS21" s="229"/>
      <c r="AT21" s="229"/>
      <c r="AU21" s="229"/>
      <c r="AV21" s="229"/>
      <c r="AW21" s="229"/>
      <c r="AX21" s="229"/>
      <c r="AY21" s="229"/>
      <c r="AZ21" s="229"/>
      <c r="BA21" s="229"/>
      <c r="BB21" s="229"/>
      <c r="BC21" s="229"/>
      <c r="BD21" s="229"/>
      <c r="BE21" s="270">
        <f>SUM(BF21:BG21)</f>
        <v>0</v>
      </c>
      <c r="BF21" s="270">
        <f>SUM(BH21:BI21)+BJ21+SUM(BL21:BN21)+BW21+CE21</f>
        <v>0</v>
      </c>
      <c r="BG21" s="270">
        <f>BK21+SUM(BO21:BV21)+SUM(BX21:CD21)+SUM(CF21:CH21)</f>
        <v>0</v>
      </c>
      <c r="BH21" s="229"/>
      <c r="BI21" s="229"/>
      <c r="BJ21" s="229"/>
      <c r="BK21" s="229"/>
      <c r="BL21" s="229"/>
      <c r="BM21" s="229"/>
      <c r="BN21" s="229"/>
      <c r="BO21" s="229"/>
      <c r="BP21" s="229"/>
      <c r="BQ21" s="229"/>
      <c r="BR21" s="229"/>
      <c r="BS21" s="229"/>
      <c r="BT21" s="229"/>
      <c r="BU21" s="229"/>
      <c r="BV21" s="229"/>
      <c r="BW21" s="229"/>
      <c r="BX21" s="229"/>
      <c r="BY21" s="229"/>
      <c r="BZ21" s="229"/>
      <c r="CA21" s="229"/>
      <c r="CB21" s="229"/>
      <c r="CC21" s="229"/>
      <c r="CD21" s="229"/>
      <c r="CE21" s="229"/>
      <c r="CF21" s="229"/>
      <c r="CG21" s="229"/>
      <c r="CH21" s="229"/>
      <c r="CI21" s="270">
        <f>SUM(CJ21:CK21)</f>
        <v>0</v>
      </c>
      <c r="CJ21" s="270">
        <f>SUM(CL21:CL21)</f>
        <v>0</v>
      </c>
      <c r="CK21" s="270">
        <f>SUM(CM21:CN21)</f>
        <v>0</v>
      </c>
      <c r="CL21" s="229"/>
      <c r="CM21" s="229"/>
      <c r="CN21" s="229"/>
      <c r="CO21" s="271" t="s">
        <v>183</v>
      </c>
      <c r="CP21" s="303">
        <f>CQ21+ER21+FV21+GB21</f>
        <v>0</v>
      </c>
      <c r="CQ21" s="303">
        <f>CR21+CW21</f>
        <v>0</v>
      </c>
      <c r="CR21" s="303">
        <f>SUM(CS21:CV21)</f>
        <v>0</v>
      </c>
      <c r="CS21" s="272"/>
      <c r="CT21" s="272"/>
      <c r="CU21" s="272"/>
      <c r="CV21" s="272"/>
      <c r="CW21" s="303">
        <f>SUM(CX21:EQ21)</f>
        <v>0</v>
      </c>
      <c r="CX21" s="272"/>
      <c r="CY21" s="272"/>
      <c r="CZ21" s="272"/>
      <c r="DA21" s="272"/>
      <c r="DB21" s="272"/>
      <c r="DC21" s="272"/>
      <c r="DD21" s="272"/>
      <c r="DE21" s="272"/>
      <c r="DF21" s="272"/>
      <c r="DG21" s="272"/>
      <c r="DH21" s="272"/>
      <c r="DI21" s="272"/>
      <c r="DJ21" s="272"/>
      <c r="DK21" s="272"/>
      <c r="DL21" s="272"/>
      <c r="DM21" s="272"/>
      <c r="DN21" s="272"/>
      <c r="DO21" s="272"/>
      <c r="DP21" s="272"/>
      <c r="DQ21" s="272"/>
      <c r="DR21" s="272"/>
      <c r="DS21" s="272"/>
      <c r="DT21" s="272"/>
      <c r="DU21" s="272"/>
      <c r="DV21" s="272"/>
      <c r="DW21" s="272"/>
      <c r="DX21" s="272"/>
      <c r="DY21" s="272"/>
      <c r="DZ21" s="272"/>
      <c r="EA21" s="272"/>
      <c r="EB21" s="272"/>
      <c r="EC21" s="272"/>
      <c r="ED21" s="272"/>
      <c r="EE21" s="272"/>
      <c r="EF21" s="272"/>
      <c r="EG21" s="272"/>
      <c r="EH21" s="272"/>
      <c r="EI21" s="272"/>
      <c r="EJ21" s="272"/>
      <c r="EK21" s="272"/>
      <c r="EL21" s="272"/>
      <c r="EM21" s="272"/>
      <c r="EN21" s="272"/>
      <c r="EO21" s="272"/>
      <c r="EP21" s="272"/>
      <c r="EQ21" s="272"/>
      <c r="ER21" s="303">
        <f>SUM(ES21:ET21)</f>
        <v>0</v>
      </c>
      <c r="ES21" s="303">
        <f>SUM(EU21:EV21)+EW21+SUM(EY21:FA21)+FJ21+FR21</f>
        <v>0</v>
      </c>
      <c r="ET21" s="303">
        <f>EX21+SUM(FB21:FI21)+SUM(FK21:FQ21)+SUM(FS21:FU21)</f>
        <v>0</v>
      </c>
      <c r="EU21" s="272"/>
      <c r="EV21" s="272"/>
      <c r="EW21" s="272"/>
      <c r="EX21" s="272"/>
      <c r="EY21" s="272"/>
      <c r="EZ21" s="272"/>
      <c r="FA21" s="272"/>
      <c r="FB21" s="272"/>
      <c r="FC21" s="272"/>
      <c r="FD21" s="272"/>
      <c r="FE21" s="272"/>
      <c r="FF21" s="272"/>
      <c r="FG21" s="272"/>
      <c r="FH21" s="272"/>
      <c r="FI21" s="272"/>
      <c r="FJ21" s="272"/>
      <c r="FK21" s="272"/>
      <c r="FL21" s="272"/>
      <c r="FM21" s="272"/>
      <c r="FN21" s="272"/>
      <c r="FO21" s="272"/>
      <c r="FP21" s="272"/>
      <c r="FQ21" s="272"/>
      <c r="FR21" s="272"/>
      <c r="FS21" s="272"/>
      <c r="FT21" s="272"/>
      <c r="FU21" s="272"/>
      <c r="FV21" s="303">
        <f>SUM(FW21:FX21)</f>
        <v>0</v>
      </c>
      <c r="FW21" s="303">
        <f>SUM(FY21:FY21)</f>
        <v>0</v>
      </c>
      <c r="FX21" s="303">
        <f>SUM(FZ21:GA21)</f>
        <v>0</v>
      </c>
      <c r="FY21" s="272"/>
      <c r="FZ21" s="272"/>
      <c r="GA21" s="272"/>
      <c r="GB21" s="303"/>
      <c r="GC21" s="328"/>
      <c r="GD21" s="328"/>
      <c r="GE21" s="328"/>
      <c r="GF21" s="328"/>
      <c r="GG21" s="328"/>
    </row>
    <row r="22" spans="1:189" s="264" customFormat="1" ht="17.25" customHeight="1">
      <c r="A22" s="227"/>
      <c r="B22" s="228" t="s">
        <v>184</v>
      </c>
      <c r="C22" s="270">
        <f>D22+BE22+CI22</f>
        <v>126023000</v>
      </c>
      <c r="D22" s="270">
        <f>E22+J22</f>
        <v>126023000</v>
      </c>
      <c r="E22" s="270">
        <f>SUM(F22:I22)</f>
        <v>0</v>
      </c>
      <c r="F22" s="229"/>
      <c r="G22" s="229"/>
      <c r="H22" s="229"/>
      <c r="I22" s="229"/>
      <c r="J22" s="270">
        <f>SUM(K22:BD22)</f>
        <v>126023000</v>
      </c>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29"/>
      <c r="AM22" s="229"/>
      <c r="AN22" s="229"/>
      <c r="AO22" s="229"/>
      <c r="AP22" s="229"/>
      <c r="AQ22" s="229"/>
      <c r="AR22" s="229"/>
      <c r="AS22" s="229"/>
      <c r="AT22" s="229">
        <v>126023000</v>
      </c>
      <c r="AU22" s="229"/>
      <c r="AV22" s="229"/>
      <c r="AW22" s="229"/>
      <c r="AX22" s="229"/>
      <c r="AY22" s="229"/>
      <c r="AZ22" s="229"/>
      <c r="BA22" s="229"/>
      <c r="BB22" s="229"/>
      <c r="BC22" s="229"/>
      <c r="BD22" s="229"/>
      <c r="BE22" s="270">
        <f>SUM(BF22:BG22)</f>
        <v>0</v>
      </c>
      <c r="BF22" s="270">
        <f>SUM(BH22:BI22)+BJ22+SUM(BL22:BN22)+BW22+CE22</f>
        <v>0</v>
      </c>
      <c r="BG22" s="270">
        <f>BK22+SUM(BO22:BV22)+SUM(BX22:CD22)+SUM(CF22:CH22)</f>
        <v>0</v>
      </c>
      <c r="BH22" s="229"/>
      <c r="BI22" s="229"/>
      <c r="BJ22" s="229"/>
      <c r="BK22" s="229"/>
      <c r="BL22" s="229"/>
      <c r="BM22" s="229"/>
      <c r="BN22" s="229"/>
      <c r="BO22" s="229"/>
      <c r="BP22" s="229"/>
      <c r="BQ22" s="229"/>
      <c r="BR22" s="229"/>
      <c r="BS22" s="229"/>
      <c r="BT22" s="229"/>
      <c r="BU22" s="229"/>
      <c r="BV22" s="229"/>
      <c r="BW22" s="229"/>
      <c r="BX22" s="229"/>
      <c r="BY22" s="229"/>
      <c r="BZ22" s="229"/>
      <c r="CA22" s="229"/>
      <c r="CB22" s="229"/>
      <c r="CC22" s="229"/>
      <c r="CD22" s="229"/>
      <c r="CE22" s="229"/>
      <c r="CF22" s="229"/>
      <c r="CG22" s="229"/>
      <c r="CH22" s="229"/>
      <c r="CI22" s="270">
        <f>SUM(CJ22:CK22)</f>
        <v>0</v>
      </c>
      <c r="CJ22" s="270">
        <f>SUM(CL22:CL22)</f>
        <v>0</v>
      </c>
      <c r="CK22" s="270">
        <f>SUM(CM22:CN22)</f>
        <v>0</v>
      </c>
      <c r="CL22" s="229"/>
      <c r="CM22" s="229"/>
      <c r="CN22" s="229"/>
      <c r="CO22" s="271" t="s">
        <v>184</v>
      </c>
      <c r="CP22" s="303">
        <f>CQ22+ER22+FV22+GB22</f>
        <v>126023000</v>
      </c>
      <c r="CQ22" s="303">
        <f>CR22+CW22</f>
        <v>126023000</v>
      </c>
      <c r="CR22" s="303">
        <f>SUM(CS22:CV22)</f>
        <v>0</v>
      </c>
      <c r="CS22" s="272"/>
      <c r="CT22" s="272"/>
      <c r="CU22" s="272"/>
      <c r="CV22" s="272"/>
      <c r="CW22" s="303">
        <f>SUM(CX22:EQ22)</f>
        <v>126023000</v>
      </c>
      <c r="CX22" s="272"/>
      <c r="CY22" s="272"/>
      <c r="CZ22" s="272"/>
      <c r="DA22" s="272"/>
      <c r="DB22" s="272"/>
      <c r="DC22" s="272"/>
      <c r="DD22" s="272"/>
      <c r="DE22" s="272"/>
      <c r="DF22" s="272"/>
      <c r="DG22" s="272"/>
      <c r="DH22" s="272"/>
      <c r="DI22" s="272"/>
      <c r="DJ22" s="272"/>
      <c r="DK22" s="272"/>
      <c r="DL22" s="272"/>
      <c r="DM22" s="272"/>
      <c r="DN22" s="272"/>
      <c r="DO22" s="272"/>
      <c r="DP22" s="272"/>
      <c r="DQ22" s="272"/>
      <c r="DR22" s="272"/>
      <c r="DS22" s="272"/>
      <c r="DT22" s="272"/>
      <c r="DU22" s="272"/>
      <c r="DV22" s="272"/>
      <c r="DW22" s="272"/>
      <c r="DX22" s="272"/>
      <c r="DY22" s="272"/>
      <c r="DZ22" s="272"/>
      <c r="EA22" s="272"/>
      <c r="EB22" s="272"/>
      <c r="EC22" s="272"/>
      <c r="ED22" s="272"/>
      <c r="EE22" s="272"/>
      <c r="EF22" s="272"/>
      <c r="EG22" s="272">
        <v>126023000</v>
      </c>
      <c r="EH22" s="272"/>
      <c r="EI22" s="272"/>
      <c r="EJ22" s="272"/>
      <c r="EK22" s="272"/>
      <c r="EL22" s="272"/>
      <c r="EM22" s="272"/>
      <c r="EN22" s="272"/>
      <c r="EO22" s="272"/>
      <c r="EP22" s="272"/>
      <c r="EQ22" s="272"/>
      <c r="ER22" s="303">
        <f>SUM(ES22:ET22)</f>
        <v>0</v>
      </c>
      <c r="ES22" s="303">
        <f>SUM(EU22:EV22)+EW22+SUM(EY22:FA22)+FJ22+FR22</f>
        <v>0</v>
      </c>
      <c r="ET22" s="303">
        <f>EX22+SUM(FB22:FI22)+SUM(FK22:FQ22)+SUM(FS22:FU22)</f>
        <v>0</v>
      </c>
      <c r="EU22" s="272"/>
      <c r="EV22" s="272"/>
      <c r="EW22" s="272"/>
      <c r="EX22" s="272"/>
      <c r="EY22" s="272"/>
      <c r="EZ22" s="272"/>
      <c r="FA22" s="272"/>
      <c r="FB22" s="272"/>
      <c r="FC22" s="272"/>
      <c r="FD22" s="272"/>
      <c r="FE22" s="272"/>
      <c r="FF22" s="272"/>
      <c r="FG22" s="272"/>
      <c r="FH22" s="272"/>
      <c r="FI22" s="272"/>
      <c r="FJ22" s="272"/>
      <c r="FK22" s="272"/>
      <c r="FL22" s="272"/>
      <c r="FM22" s="272"/>
      <c r="FN22" s="272"/>
      <c r="FO22" s="272"/>
      <c r="FP22" s="272"/>
      <c r="FQ22" s="272"/>
      <c r="FR22" s="272"/>
      <c r="FS22" s="272"/>
      <c r="FT22" s="272"/>
      <c r="FU22" s="272"/>
      <c r="FV22" s="303">
        <f>SUM(FW22:FX22)</f>
        <v>0</v>
      </c>
      <c r="FW22" s="303">
        <f>SUM(FY22:FY22)</f>
        <v>0</v>
      </c>
      <c r="FX22" s="303">
        <f>SUM(FZ22:GA22)</f>
        <v>0</v>
      </c>
      <c r="FY22" s="272"/>
      <c r="FZ22" s="272"/>
      <c r="GA22" s="272"/>
      <c r="GB22" s="303"/>
      <c r="GC22" s="328">
        <f>CP22/C22</f>
        <v>1</v>
      </c>
      <c r="GD22" s="328"/>
      <c r="GE22" s="328">
        <f>CW22/J22</f>
        <v>1</v>
      </c>
      <c r="GF22" s="328"/>
      <c r="GG22" s="328"/>
    </row>
    <row r="23" spans="1:189" s="264" customFormat="1" ht="17.25" customHeight="1">
      <c r="A23" s="227">
        <v>4</v>
      </c>
      <c r="B23" s="228" t="s">
        <v>386</v>
      </c>
      <c r="C23" s="270">
        <f t="shared" ref="C23:AI23" si="28">C24+C25</f>
        <v>6676967711</v>
      </c>
      <c r="D23" s="270">
        <f>D24+D25</f>
        <v>6439957335</v>
      </c>
      <c r="E23" s="270">
        <f t="shared" si="28"/>
        <v>107394000</v>
      </c>
      <c r="F23" s="229">
        <f t="shared" si="28"/>
        <v>107394000</v>
      </c>
      <c r="G23" s="229">
        <f t="shared" si="28"/>
        <v>0</v>
      </c>
      <c r="H23" s="229">
        <f t="shared" si="28"/>
        <v>0</v>
      </c>
      <c r="I23" s="229">
        <f t="shared" si="28"/>
        <v>0</v>
      </c>
      <c r="J23" s="270">
        <f t="shared" si="28"/>
        <v>6332563335</v>
      </c>
      <c r="K23" s="229">
        <f t="shared" si="28"/>
        <v>0</v>
      </c>
      <c r="L23" s="229">
        <f t="shared" si="28"/>
        <v>0</v>
      </c>
      <c r="M23" s="229">
        <f t="shared" si="28"/>
        <v>0</v>
      </c>
      <c r="N23" s="229">
        <f t="shared" si="28"/>
        <v>0</v>
      </c>
      <c r="O23" s="229">
        <f t="shared" si="28"/>
        <v>0</v>
      </c>
      <c r="P23" s="229">
        <f t="shared" si="28"/>
        <v>0</v>
      </c>
      <c r="Q23" s="229">
        <f t="shared" si="28"/>
        <v>0</v>
      </c>
      <c r="R23" s="229">
        <f t="shared" si="28"/>
        <v>0</v>
      </c>
      <c r="S23" s="229">
        <f t="shared" si="28"/>
        <v>0</v>
      </c>
      <c r="T23" s="229">
        <f t="shared" si="28"/>
        <v>0</v>
      </c>
      <c r="U23" s="229">
        <f t="shared" si="28"/>
        <v>0</v>
      </c>
      <c r="V23" s="229">
        <f t="shared" si="28"/>
        <v>0</v>
      </c>
      <c r="W23" s="229">
        <f t="shared" si="28"/>
        <v>0</v>
      </c>
      <c r="X23" s="229">
        <f t="shared" si="28"/>
        <v>0</v>
      </c>
      <c r="Y23" s="229">
        <f t="shared" si="28"/>
        <v>0</v>
      </c>
      <c r="Z23" s="229">
        <f t="shared" si="28"/>
        <v>0</v>
      </c>
      <c r="AA23" s="229">
        <f t="shared" si="28"/>
        <v>0</v>
      </c>
      <c r="AB23" s="229">
        <f t="shared" si="28"/>
        <v>0</v>
      </c>
      <c r="AC23" s="229">
        <f t="shared" si="28"/>
        <v>0</v>
      </c>
      <c r="AD23" s="229">
        <f t="shared" si="28"/>
        <v>0</v>
      </c>
      <c r="AE23" s="229">
        <f t="shared" si="28"/>
        <v>0</v>
      </c>
      <c r="AF23" s="229">
        <f t="shared" si="28"/>
        <v>0</v>
      </c>
      <c r="AG23" s="229">
        <f t="shared" si="28"/>
        <v>0</v>
      </c>
      <c r="AH23" s="229">
        <f t="shared" si="28"/>
        <v>0</v>
      </c>
      <c r="AI23" s="229">
        <f t="shared" si="28"/>
        <v>0</v>
      </c>
      <c r="AJ23" s="229">
        <f t="shared" ref="AJ23:CN23" si="29">AJ24+AJ25</f>
        <v>0</v>
      </c>
      <c r="AK23" s="229">
        <f t="shared" si="29"/>
        <v>2580032927</v>
      </c>
      <c r="AL23" s="229">
        <f t="shared" si="29"/>
        <v>0</v>
      </c>
      <c r="AM23" s="229">
        <f t="shared" si="29"/>
        <v>0</v>
      </c>
      <c r="AN23" s="229">
        <f t="shared" si="29"/>
        <v>921161000</v>
      </c>
      <c r="AO23" s="229">
        <f t="shared" si="29"/>
        <v>0</v>
      </c>
      <c r="AP23" s="229">
        <f t="shared" si="29"/>
        <v>0</v>
      </c>
      <c r="AQ23" s="229">
        <f t="shared" si="29"/>
        <v>0</v>
      </c>
      <c r="AR23" s="229">
        <f t="shared" si="29"/>
        <v>0</v>
      </c>
      <c r="AS23" s="229">
        <f t="shared" si="29"/>
        <v>0</v>
      </c>
      <c r="AT23" s="229">
        <f t="shared" si="29"/>
        <v>0</v>
      </c>
      <c r="AU23" s="229">
        <f t="shared" si="29"/>
        <v>0</v>
      </c>
      <c r="AV23" s="229">
        <f t="shared" si="29"/>
        <v>13000000</v>
      </c>
      <c r="AW23" s="229">
        <f>AW24+AW25</f>
        <v>0</v>
      </c>
      <c r="AX23" s="229">
        <f t="shared" si="29"/>
        <v>0</v>
      </c>
      <c r="AY23" s="229">
        <f t="shared" si="29"/>
        <v>1821683710</v>
      </c>
      <c r="AZ23" s="229">
        <f t="shared" si="29"/>
        <v>0</v>
      </c>
      <c r="BA23" s="229">
        <f t="shared" si="29"/>
        <v>996685698</v>
      </c>
      <c r="BB23" s="229">
        <f t="shared" si="29"/>
        <v>0</v>
      </c>
      <c r="BC23" s="229">
        <f t="shared" si="29"/>
        <v>0</v>
      </c>
      <c r="BD23" s="229">
        <f t="shared" si="29"/>
        <v>0</v>
      </c>
      <c r="BE23" s="270">
        <f t="shared" si="29"/>
        <v>237010376</v>
      </c>
      <c r="BF23" s="270">
        <f t="shared" si="29"/>
        <v>0</v>
      </c>
      <c r="BG23" s="270">
        <f t="shared" si="29"/>
        <v>237010376</v>
      </c>
      <c r="BH23" s="229">
        <f t="shared" si="29"/>
        <v>0</v>
      </c>
      <c r="BI23" s="229">
        <f t="shared" si="29"/>
        <v>0</v>
      </c>
      <c r="BJ23" s="229">
        <f t="shared" si="29"/>
        <v>0</v>
      </c>
      <c r="BK23" s="229">
        <f t="shared" si="29"/>
        <v>0</v>
      </c>
      <c r="BL23" s="229">
        <f>BL24+BL25</f>
        <v>0</v>
      </c>
      <c r="BM23" s="229">
        <f>BM24+BM25</f>
        <v>0</v>
      </c>
      <c r="BN23" s="229">
        <f t="shared" si="29"/>
        <v>0</v>
      </c>
      <c r="BO23" s="229">
        <f t="shared" si="29"/>
        <v>0</v>
      </c>
      <c r="BP23" s="229">
        <f t="shared" si="29"/>
        <v>0</v>
      </c>
      <c r="BQ23" s="229">
        <f t="shared" si="29"/>
        <v>0</v>
      </c>
      <c r="BR23" s="229">
        <f t="shared" si="29"/>
        <v>0</v>
      </c>
      <c r="BS23" s="229">
        <f t="shared" si="29"/>
        <v>0</v>
      </c>
      <c r="BT23" s="229">
        <f t="shared" si="29"/>
        <v>0</v>
      </c>
      <c r="BU23" s="229">
        <f t="shared" si="29"/>
        <v>0</v>
      </c>
      <c r="BV23" s="229">
        <f t="shared" si="29"/>
        <v>0</v>
      </c>
      <c r="BW23" s="229">
        <f t="shared" si="29"/>
        <v>0</v>
      </c>
      <c r="BX23" s="229">
        <f t="shared" si="29"/>
        <v>0</v>
      </c>
      <c r="BY23" s="229">
        <f t="shared" si="29"/>
        <v>0</v>
      </c>
      <c r="BZ23" s="229">
        <f t="shared" si="29"/>
        <v>0</v>
      </c>
      <c r="CA23" s="229">
        <f t="shared" si="29"/>
        <v>0</v>
      </c>
      <c r="CB23" s="229">
        <f t="shared" si="29"/>
        <v>0</v>
      </c>
      <c r="CC23" s="229">
        <f t="shared" si="29"/>
        <v>0</v>
      </c>
      <c r="CD23" s="229">
        <f t="shared" si="29"/>
        <v>0</v>
      </c>
      <c r="CE23" s="229">
        <f t="shared" si="29"/>
        <v>0</v>
      </c>
      <c r="CF23" s="229">
        <f t="shared" si="29"/>
        <v>0</v>
      </c>
      <c r="CG23" s="229">
        <f t="shared" si="29"/>
        <v>200000000</v>
      </c>
      <c r="CH23" s="229">
        <f t="shared" si="29"/>
        <v>37010376</v>
      </c>
      <c r="CI23" s="270">
        <f t="shared" si="29"/>
        <v>0</v>
      </c>
      <c r="CJ23" s="270">
        <f t="shared" si="29"/>
        <v>0</v>
      </c>
      <c r="CK23" s="270">
        <f t="shared" si="29"/>
        <v>0</v>
      </c>
      <c r="CL23" s="229">
        <f t="shared" si="29"/>
        <v>0</v>
      </c>
      <c r="CM23" s="229">
        <f t="shared" si="29"/>
        <v>0</v>
      </c>
      <c r="CN23" s="229">
        <f t="shared" si="29"/>
        <v>0</v>
      </c>
      <c r="CO23" s="271" t="s">
        <v>386</v>
      </c>
      <c r="CP23" s="303">
        <f t="shared" ref="CP23:ER23" si="30">CP24+CP25</f>
        <v>6676967711</v>
      </c>
      <c r="CQ23" s="303">
        <f t="shared" si="30"/>
        <v>6438439695</v>
      </c>
      <c r="CR23" s="303">
        <f t="shared" si="30"/>
        <v>107394000</v>
      </c>
      <c r="CS23" s="272">
        <f t="shared" si="30"/>
        <v>107394000</v>
      </c>
      <c r="CT23" s="272">
        <f t="shared" si="30"/>
        <v>0</v>
      </c>
      <c r="CU23" s="272">
        <f t="shared" si="30"/>
        <v>0</v>
      </c>
      <c r="CV23" s="272">
        <f t="shared" si="30"/>
        <v>0</v>
      </c>
      <c r="CW23" s="303">
        <f t="shared" si="30"/>
        <v>6331045695</v>
      </c>
      <c r="CX23" s="272">
        <f t="shared" si="30"/>
        <v>0</v>
      </c>
      <c r="CY23" s="272">
        <f t="shared" si="30"/>
        <v>0</v>
      </c>
      <c r="CZ23" s="272">
        <f t="shared" si="30"/>
        <v>0</v>
      </c>
      <c r="DA23" s="272">
        <f t="shared" si="30"/>
        <v>0</v>
      </c>
      <c r="DB23" s="272">
        <f t="shared" si="30"/>
        <v>0</v>
      </c>
      <c r="DC23" s="272">
        <f t="shared" si="30"/>
        <v>0</v>
      </c>
      <c r="DD23" s="272">
        <f t="shared" si="30"/>
        <v>0</v>
      </c>
      <c r="DE23" s="272">
        <f t="shared" si="30"/>
        <v>0</v>
      </c>
      <c r="DF23" s="272">
        <f t="shared" si="30"/>
        <v>0</v>
      </c>
      <c r="DG23" s="272">
        <f t="shared" si="30"/>
        <v>0</v>
      </c>
      <c r="DH23" s="272">
        <f t="shared" si="30"/>
        <v>0</v>
      </c>
      <c r="DI23" s="272">
        <f t="shared" si="30"/>
        <v>0</v>
      </c>
      <c r="DJ23" s="272">
        <f t="shared" si="30"/>
        <v>0</v>
      </c>
      <c r="DK23" s="272">
        <f t="shared" si="30"/>
        <v>0</v>
      </c>
      <c r="DL23" s="272">
        <f t="shared" si="30"/>
        <v>0</v>
      </c>
      <c r="DM23" s="272">
        <f t="shared" si="30"/>
        <v>0</v>
      </c>
      <c r="DN23" s="272">
        <f t="shared" si="30"/>
        <v>0</v>
      </c>
      <c r="DO23" s="272">
        <f t="shared" si="30"/>
        <v>0</v>
      </c>
      <c r="DP23" s="272">
        <f t="shared" si="30"/>
        <v>0</v>
      </c>
      <c r="DQ23" s="272">
        <f t="shared" si="30"/>
        <v>0</v>
      </c>
      <c r="DR23" s="272">
        <f t="shared" si="30"/>
        <v>0</v>
      </c>
      <c r="DS23" s="272">
        <f t="shared" si="30"/>
        <v>0</v>
      </c>
      <c r="DT23" s="272">
        <f t="shared" si="30"/>
        <v>0</v>
      </c>
      <c r="DU23" s="272">
        <f t="shared" si="30"/>
        <v>0</v>
      </c>
      <c r="DV23" s="272">
        <f t="shared" si="30"/>
        <v>0</v>
      </c>
      <c r="DW23" s="272">
        <f t="shared" si="30"/>
        <v>0</v>
      </c>
      <c r="DX23" s="272">
        <f t="shared" si="30"/>
        <v>2580032927</v>
      </c>
      <c r="DY23" s="272">
        <f t="shared" si="30"/>
        <v>0</v>
      </c>
      <c r="DZ23" s="272">
        <f t="shared" si="30"/>
        <v>0</v>
      </c>
      <c r="EA23" s="272">
        <f t="shared" si="30"/>
        <v>921161000</v>
      </c>
      <c r="EB23" s="272">
        <f t="shared" si="30"/>
        <v>0</v>
      </c>
      <c r="EC23" s="272">
        <f t="shared" si="30"/>
        <v>0</v>
      </c>
      <c r="ED23" s="272">
        <f t="shared" si="30"/>
        <v>0</v>
      </c>
      <c r="EE23" s="272">
        <f t="shared" si="30"/>
        <v>0</v>
      </c>
      <c r="EF23" s="272">
        <f t="shared" si="30"/>
        <v>0</v>
      </c>
      <c r="EG23" s="272">
        <f t="shared" si="30"/>
        <v>0</v>
      </c>
      <c r="EH23" s="272">
        <f t="shared" si="30"/>
        <v>0</v>
      </c>
      <c r="EI23" s="272">
        <f t="shared" si="30"/>
        <v>11482360</v>
      </c>
      <c r="EJ23" s="272">
        <f>EJ24+EJ25</f>
        <v>0</v>
      </c>
      <c r="EK23" s="272">
        <f t="shared" si="30"/>
        <v>0</v>
      </c>
      <c r="EL23" s="272">
        <f t="shared" si="30"/>
        <v>1821683710</v>
      </c>
      <c r="EM23" s="272">
        <f t="shared" si="30"/>
        <v>0</v>
      </c>
      <c r="EN23" s="272">
        <f t="shared" si="30"/>
        <v>996685698</v>
      </c>
      <c r="EO23" s="272">
        <f t="shared" si="30"/>
        <v>0</v>
      </c>
      <c r="EP23" s="272">
        <f t="shared" si="30"/>
        <v>0</v>
      </c>
      <c r="EQ23" s="272">
        <f t="shared" si="30"/>
        <v>0</v>
      </c>
      <c r="ER23" s="303">
        <f t="shared" si="30"/>
        <v>236950000</v>
      </c>
      <c r="ES23" s="303">
        <f t="shared" ref="ES23:GB23" si="31">ES24+ES25</f>
        <v>0</v>
      </c>
      <c r="ET23" s="303">
        <f>ET24+ET25</f>
        <v>236950000</v>
      </c>
      <c r="EU23" s="272">
        <f t="shared" si="31"/>
        <v>0</v>
      </c>
      <c r="EV23" s="272">
        <f t="shared" si="31"/>
        <v>0</v>
      </c>
      <c r="EW23" s="272">
        <f t="shared" si="31"/>
        <v>0</v>
      </c>
      <c r="EX23" s="272">
        <f t="shared" si="31"/>
        <v>0</v>
      </c>
      <c r="EY23" s="272">
        <f>EY24+EY25</f>
        <v>0</v>
      </c>
      <c r="EZ23" s="272">
        <f>EZ24+EZ25</f>
        <v>0</v>
      </c>
      <c r="FA23" s="272">
        <f t="shared" si="31"/>
        <v>0</v>
      </c>
      <c r="FB23" s="272">
        <f t="shared" si="31"/>
        <v>0</v>
      </c>
      <c r="FC23" s="272">
        <f t="shared" si="31"/>
        <v>0</v>
      </c>
      <c r="FD23" s="272">
        <f t="shared" si="31"/>
        <v>0</v>
      </c>
      <c r="FE23" s="272">
        <f t="shared" si="31"/>
        <v>0</v>
      </c>
      <c r="FF23" s="272">
        <f t="shared" si="31"/>
        <v>0</v>
      </c>
      <c r="FG23" s="272">
        <f t="shared" si="31"/>
        <v>0</v>
      </c>
      <c r="FH23" s="272">
        <f t="shared" si="31"/>
        <v>0</v>
      </c>
      <c r="FI23" s="272">
        <f t="shared" si="31"/>
        <v>0</v>
      </c>
      <c r="FJ23" s="272">
        <f t="shared" si="31"/>
        <v>0</v>
      </c>
      <c r="FK23" s="272">
        <f t="shared" si="31"/>
        <v>0</v>
      </c>
      <c r="FL23" s="272">
        <f t="shared" si="31"/>
        <v>0</v>
      </c>
      <c r="FM23" s="272">
        <f t="shared" si="31"/>
        <v>0</v>
      </c>
      <c r="FN23" s="272">
        <f t="shared" si="31"/>
        <v>0</v>
      </c>
      <c r="FO23" s="272">
        <f t="shared" si="31"/>
        <v>0</v>
      </c>
      <c r="FP23" s="272">
        <f t="shared" si="31"/>
        <v>0</v>
      </c>
      <c r="FQ23" s="272">
        <f t="shared" si="31"/>
        <v>0</v>
      </c>
      <c r="FR23" s="272">
        <f t="shared" si="31"/>
        <v>0</v>
      </c>
      <c r="FS23" s="272">
        <f t="shared" si="31"/>
        <v>0</v>
      </c>
      <c r="FT23" s="272">
        <f t="shared" si="31"/>
        <v>200000000</v>
      </c>
      <c r="FU23" s="272">
        <f t="shared" si="31"/>
        <v>36950000</v>
      </c>
      <c r="FV23" s="303">
        <f t="shared" si="31"/>
        <v>0</v>
      </c>
      <c r="FW23" s="303">
        <f t="shared" si="31"/>
        <v>0</v>
      </c>
      <c r="FX23" s="303">
        <f t="shared" si="31"/>
        <v>0</v>
      </c>
      <c r="FY23" s="272">
        <f t="shared" si="31"/>
        <v>0</v>
      </c>
      <c r="FZ23" s="272">
        <f t="shared" si="31"/>
        <v>0</v>
      </c>
      <c r="GA23" s="272">
        <f t="shared" si="31"/>
        <v>0</v>
      </c>
      <c r="GB23" s="303">
        <f t="shared" si="31"/>
        <v>1578016</v>
      </c>
      <c r="GC23" s="328">
        <f>CP23/C23</f>
        <v>1</v>
      </c>
      <c r="GD23" s="328"/>
      <c r="GE23" s="328">
        <f>CW23/J23</f>
        <v>0.99976034349445631</v>
      </c>
      <c r="GF23" s="328">
        <f>ER23/BE23</f>
        <v>0.99974526009781106</v>
      </c>
      <c r="GG23" s="328"/>
    </row>
    <row r="24" spans="1:189" s="264" customFormat="1" ht="17.25" customHeight="1">
      <c r="A24" s="227"/>
      <c r="B24" s="228" t="s">
        <v>183</v>
      </c>
      <c r="C24" s="270">
        <f>D24+BE24+CI24</f>
        <v>107394000</v>
      </c>
      <c r="D24" s="270">
        <f>E24+J24</f>
        <v>107394000</v>
      </c>
      <c r="E24" s="270">
        <f>SUM(F24:I24)</f>
        <v>107394000</v>
      </c>
      <c r="F24" s="229">
        <v>107394000</v>
      </c>
      <c r="G24" s="229"/>
      <c r="H24" s="229"/>
      <c r="I24" s="229"/>
      <c r="J24" s="270">
        <f>SUM(K24:BD24)</f>
        <v>0</v>
      </c>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29"/>
      <c r="AO24" s="229"/>
      <c r="AP24" s="229"/>
      <c r="AQ24" s="229"/>
      <c r="AR24" s="229"/>
      <c r="AS24" s="229"/>
      <c r="AT24" s="229"/>
      <c r="AU24" s="229"/>
      <c r="AV24" s="229"/>
      <c r="AW24" s="229"/>
      <c r="AX24" s="229"/>
      <c r="AY24" s="229"/>
      <c r="AZ24" s="229"/>
      <c r="BA24" s="229"/>
      <c r="BB24" s="229"/>
      <c r="BC24" s="229"/>
      <c r="BD24" s="229"/>
      <c r="BE24" s="270">
        <f>SUM(BF24:BG24)</f>
        <v>0</v>
      </c>
      <c r="BF24" s="270">
        <f>SUM(BH24:BI24)+BJ24+SUM(BL24:BN24)+BW24+CE24</f>
        <v>0</v>
      </c>
      <c r="BG24" s="270">
        <f>BK24+SUM(BO24:BV24)+SUM(BX24:CD24)+SUM(CF24:CH24)</f>
        <v>0</v>
      </c>
      <c r="BH24" s="229"/>
      <c r="BI24" s="229"/>
      <c r="BJ24" s="229"/>
      <c r="BK24" s="229"/>
      <c r="BL24" s="229"/>
      <c r="BM24" s="229"/>
      <c r="BN24" s="229"/>
      <c r="BO24" s="229"/>
      <c r="BP24" s="229"/>
      <c r="BQ24" s="229"/>
      <c r="BR24" s="229"/>
      <c r="BS24" s="229"/>
      <c r="BT24" s="229"/>
      <c r="BU24" s="229"/>
      <c r="BV24" s="229"/>
      <c r="BW24" s="229"/>
      <c r="BX24" s="229"/>
      <c r="BY24" s="229"/>
      <c r="BZ24" s="229"/>
      <c r="CA24" s="229"/>
      <c r="CB24" s="229"/>
      <c r="CC24" s="229"/>
      <c r="CD24" s="229"/>
      <c r="CE24" s="229"/>
      <c r="CF24" s="229"/>
      <c r="CG24" s="229"/>
      <c r="CH24" s="229"/>
      <c r="CI24" s="270">
        <f>SUM(CJ24:CK24)</f>
        <v>0</v>
      </c>
      <c r="CJ24" s="270">
        <f>SUM(CL24:CL24)</f>
        <v>0</v>
      </c>
      <c r="CK24" s="270">
        <f>SUM(CM24:CN24)</f>
        <v>0</v>
      </c>
      <c r="CL24" s="229"/>
      <c r="CM24" s="229"/>
      <c r="CN24" s="229"/>
      <c r="CO24" s="271" t="s">
        <v>183</v>
      </c>
      <c r="CP24" s="303">
        <f>CQ24+ER24+FV24+GB24</f>
        <v>107394000</v>
      </c>
      <c r="CQ24" s="303">
        <f>CR24+CW24</f>
        <v>107394000</v>
      </c>
      <c r="CR24" s="303">
        <f>SUM(CS24:CV24)</f>
        <v>107394000</v>
      </c>
      <c r="CS24" s="272">
        <v>107394000</v>
      </c>
      <c r="CT24" s="272"/>
      <c r="CU24" s="272"/>
      <c r="CV24" s="272"/>
      <c r="CW24" s="303">
        <f>SUM(CX24:EQ24)</f>
        <v>0</v>
      </c>
      <c r="CX24" s="272"/>
      <c r="CY24" s="272"/>
      <c r="CZ24" s="272"/>
      <c r="DA24" s="272"/>
      <c r="DB24" s="272"/>
      <c r="DC24" s="272"/>
      <c r="DD24" s="272"/>
      <c r="DE24" s="272"/>
      <c r="DF24" s="272"/>
      <c r="DG24" s="272"/>
      <c r="DH24" s="272"/>
      <c r="DI24" s="272"/>
      <c r="DJ24" s="272"/>
      <c r="DK24" s="272"/>
      <c r="DL24" s="272"/>
      <c r="DM24" s="272"/>
      <c r="DN24" s="272"/>
      <c r="DO24" s="272"/>
      <c r="DP24" s="272"/>
      <c r="DQ24" s="272"/>
      <c r="DR24" s="272"/>
      <c r="DS24" s="272"/>
      <c r="DT24" s="272"/>
      <c r="DU24" s="272"/>
      <c r="DV24" s="272"/>
      <c r="DW24" s="272"/>
      <c r="DX24" s="272"/>
      <c r="DY24" s="272"/>
      <c r="DZ24" s="272"/>
      <c r="EA24" s="272"/>
      <c r="EB24" s="272"/>
      <c r="EC24" s="272"/>
      <c r="ED24" s="272"/>
      <c r="EE24" s="272"/>
      <c r="EF24" s="272"/>
      <c r="EG24" s="272"/>
      <c r="EH24" s="272"/>
      <c r="EI24" s="272"/>
      <c r="EJ24" s="272"/>
      <c r="EK24" s="272"/>
      <c r="EL24" s="272"/>
      <c r="EM24" s="272"/>
      <c r="EN24" s="272"/>
      <c r="EO24" s="272"/>
      <c r="EP24" s="272"/>
      <c r="EQ24" s="272"/>
      <c r="ER24" s="303">
        <f>SUM(ES24:ET24)</f>
        <v>0</v>
      </c>
      <c r="ES24" s="303">
        <f>SUM(EU24:EV24)+EW24+SUM(EY24:FA24)+FJ24+FR24</f>
        <v>0</v>
      </c>
      <c r="ET24" s="303">
        <f>EX24+SUM(FB24:FI24)+SUM(FK24:FQ24)+SUM(FS24:FU24)</f>
        <v>0</v>
      </c>
      <c r="EU24" s="272"/>
      <c r="EV24" s="272"/>
      <c r="EW24" s="272"/>
      <c r="EX24" s="272"/>
      <c r="EY24" s="272"/>
      <c r="EZ24" s="272"/>
      <c r="FA24" s="272"/>
      <c r="FB24" s="272"/>
      <c r="FC24" s="272"/>
      <c r="FD24" s="272"/>
      <c r="FE24" s="272"/>
      <c r="FF24" s="272"/>
      <c r="FG24" s="272"/>
      <c r="FH24" s="272"/>
      <c r="FI24" s="272"/>
      <c r="FJ24" s="272"/>
      <c r="FK24" s="272"/>
      <c r="FL24" s="272"/>
      <c r="FM24" s="272"/>
      <c r="FN24" s="272"/>
      <c r="FO24" s="272"/>
      <c r="FP24" s="272"/>
      <c r="FQ24" s="272"/>
      <c r="FR24" s="272"/>
      <c r="FS24" s="272"/>
      <c r="FT24" s="272"/>
      <c r="FU24" s="272"/>
      <c r="FV24" s="303">
        <f>SUM(FW24:FX24)</f>
        <v>0</v>
      </c>
      <c r="FW24" s="303">
        <f>SUM(FY24:FY24)</f>
        <v>0</v>
      </c>
      <c r="FX24" s="303">
        <f>SUM(FZ24:GA24)</f>
        <v>0</v>
      </c>
      <c r="FY24" s="272"/>
      <c r="FZ24" s="272"/>
      <c r="GA24" s="272"/>
      <c r="GB24" s="303"/>
      <c r="GC24" s="328"/>
      <c r="GD24" s="328"/>
      <c r="GE24" s="328"/>
      <c r="GF24" s="328"/>
      <c r="GG24" s="328"/>
    </row>
    <row r="25" spans="1:189" s="264" customFormat="1" ht="17.25" customHeight="1">
      <c r="A25" s="227"/>
      <c r="B25" s="228" t="s">
        <v>184</v>
      </c>
      <c r="C25" s="270">
        <f>D25+BE25+CI25</f>
        <v>6569573711</v>
      </c>
      <c r="D25" s="270">
        <f>E25+J25</f>
        <v>6332563335</v>
      </c>
      <c r="E25" s="270">
        <f>SUM(F25:I25)</f>
        <v>0</v>
      </c>
      <c r="F25" s="229"/>
      <c r="G25" s="229"/>
      <c r="H25" s="229"/>
      <c r="I25" s="229"/>
      <c r="J25" s="270">
        <f>SUM(K25:BD25)</f>
        <v>6332563335</v>
      </c>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v>2580032927</v>
      </c>
      <c r="AL25" s="229"/>
      <c r="AM25" s="229"/>
      <c r="AN25" s="229">
        <v>921161000</v>
      </c>
      <c r="AO25" s="229"/>
      <c r="AP25" s="229"/>
      <c r="AQ25" s="229"/>
      <c r="AR25" s="229"/>
      <c r="AS25" s="229"/>
      <c r="AT25" s="229"/>
      <c r="AU25" s="229"/>
      <c r="AV25" s="229">
        <f>10000000+1500000+1500000</f>
        <v>13000000</v>
      </c>
      <c r="AW25" s="229"/>
      <c r="AX25" s="229"/>
      <c r="AY25" s="229">
        <v>1821683710</v>
      </c>
      <c r="AZ25" s="229"/>
      <c r="BA25" s="229">
        <f>906552000+28930500+61203198</f>
        <v>996685698</v>
      </c>
      <c r="BB25" s="229"/>
      <c r="BC25" s="229"/>
      <c r="BD25" s="229"/>
      <c r="BE25" s="270">
        <f>SUM(BF25:BG25)</f>
        <v>237010376</v>
      </c>
      <c r="BF25" s="270">
        <f>SUM(BH25:BI25)+BJ25+SUM(BL25:BN25)+BW25+CE25</f>
        <v>0</v>
      </c>
      <c r="BG25" s="270">
        <f>BK25+SUM(BO25:BV25)+SUM(BX25:CD25)+SUM(CF25:CH25)</f>
        <v>237010376</v>
      </c>
      <c r="BH25" s="229"/>
      <c r="BI25" s="229"/>
      <c r="BJ25" s="229"/>
      <c r="BK25" s="229"/>
      <c r="BL25" s="229"/>
      <c r="BM25" s="229"/>
      <c r="BN25" s="229"/>
      <c r="BO25" s="229"/>
      <c r="BP25" s="229"/>
      <c r="BQ25" s="229"/>
      <c r="BR25" s="229"/>
      <c r="BS25" s="229"/>
      <c r="BT25" s="229"/>
      <c r="BU25" s="229"/>
      <c r="BV25" s="229"/>
      <c r="BW25" s="229"/>
      <c r="BX25" s="229"/>
      <c r="BY25" s="229"/>
      <c r="BZ25" s="229"/>
      <c r="CA25" s="229"/>
      <c r="CB25" s="229"/>
      <c r="CC25" s="229"/>
      <c r="CD25" s="229"/>
      <c r="CE25" s="229"/>
      <c r="CF25" s="229"/>
      <c r="CG25" s="229">
        <v>200000000</v>
      </c>
      <c r="CH25" s="229">
        <f>30000000+7010376</f>
        <v>37010376</v>
      </c>
      <c r="CI25" s="270">
        <f>SUM(CJ25:CK25)</f>
        <v>0</v>
      </c>
      <c r="CJ25" s="270">
        <f>SUM(CL25:CL25)</f>
        <v>0</v>
      </c>
      <c r="CK25" s="270">
        <f>SUM(CM25:CN25)</f>
        <v>0</v>
      </c>
      <c r="CL25" s="229"/>
      <c r="CM25" s="229"/>
      <c r="CN25" s="229"/>
      <c r="CO25" s="271" t="s">
        <v>184</v>
      </c>
      <c r="CP25" s="303">
        <f>CQ25+ER25+FV25+GB25</f>
        <v>6569573711</v>
      </c>
      <c r="CQ25" s="303">
        <f>CR25+CW25</f>
        <v>6331045695</v>
      </c>
      <c r="CR25" s="303">
        <f>SUM(CS25:CV25)</f>
        <v>0</v>
      </c>
      <c r="CS25" s="272"/>
      <c r="CT25" s="272"/>
      <c r="CU25" s="272"/>
      <c r="CV25" s="272"/>
      <c r="CW25" s="303">
        <f>SUM(CX25:EQ25)</f>
        <v>6331045695</v>
      </c>
      <c r="CX25" s="272"/>
      <c r="CY25" s="272"/>
      <c r="CZ25" s="272"/>
      <c r="DA25" s="272"/>
      <c r="DB25" s="272"/>
      <c r="DC25" s="272"/>
      <c r="DD25" s="272"/>
      <c r="DE25" s="272"/>
      <c r="DF25" s="272"/>
      <c r="DG25" s="272"/>
      <c r="DH25" s="272"/>
      <c r="DI25" s="272"/>
      <c r="DJ25" s="272"/>
      <c r="DK25" s="272"/>
      <c r="DL25" s="272"/>
      <c r="DM25" s="272"/>
      <c r="DN25" s="272"/>
      <c r="DO25" s="272"/>
      <c r="DP25" s="272"/>
      <c r="DQ25" s="272"/>
      <c r="DR25" s="272"/>
      <c r="DS25" s="272"/>
      <c r="DT25" s="272"/>
      <c r="DU25" s="272"/>
      <c r="DV25" s="272"/>
      <c r="DW25" s="272"/>
      <c r="DX25" s="272">
        <v>2580032927</v>
      </c>
      <c r="DY25" s="272"/>
      <c r="DZ25" s="272"/>
      <c r="EA25" s="272">
        <v>921161000</v>
      </c>
      <c r="EB25" s="272"/>
      <c r="EC25" s="272"/>
      <c r="ED25" s="272"/>
      <c r="EE25" s="272"/>
      <c r="EF25" s="272"/>
      <c r="EG25" s="272"/>
      <c r="EH25" s="272"/>
      <c r="EI25" s="272">
        <f>9982360+1500000</f>
        <v>11482360</v>
      </c>
      <c r="EJ25" s="272"/>
      <c r="EK25" s="272"/>
      <c r="EL25" s="272">
        <v>1821683710</v>
      </c>
      <c r="EM25" s="272"/>
      <c r="EN25" s="272">
        <f>906552000+28930500+61203198</f>
        <v>996685698</v>
      </c>
      <c r="EO25" s="272"/>
      <c r="EP25" s="272"/>
      <c r="EQ25" s="272"/>
      <c r="ER25" s="303">
        <f>SUM(ES25:ET25)</f>
        <v>236950000</v>
      </c>
      <c r="ES25" s="303">
        <f>SUM(EU25:EV25)+EW25+SUM(EY25:FA25)+FJ25+FR25</f>
        <v>0</v>
      </c>
      <c r="ET25" s="303">
        <f>EX25+SUM(FB25:FI25)+SUM(FK25:FQ25)+SUM(FS25:FU25)</f>
        <v>236950000</v>
      </c>
      <c r="EU25" s="272"/>
      <c r="EV25" s="272"/>
      <c r="EW25" s="272"/>
      <c r="EX25" s="272"/>
      <c r="EY25" s="272"/>
      <c r="EZ25" s="272"/>
      <c r="FA25" s="272"/>
      <c r="FB25" s="272"/>
      <c r="FC25" s="272"/>
      <c r="FD25" s="272"/>
      <c r="FE25" s="272"/>
      <c r="FF25" s="272"/>
      <c r="FG25" s="272"/>
      <c r="FH25" s="272"/>
      <c r="FI25" s="272"/>
      <c r="FJ25" s="272"/>
      <c r="FK25" s="272"/>
      <c r="FL25" s="272"/>
      <c r="FM25" s="272"/>
      <c r="FN25" s="272"/>
      <c r="FO25" s="272"/>
      <c r="FP25" s="272"/>
      <c r="FQ25" s="272"/>
      <c r="FR25" s="272"/>
      <c r="FS25" s="272"/>
      <c r="FT25" s="272">
        <f>200000000</f>
        <v>200000000</v>
      </c>
      <c r="FU25" s="272">
        <f>29939624+7010376</f>
        <v>36950000</v>
      </c>
      <c r="FV25" s="303">
        <f>SUM(FW25:FX25)</f>
        <v>0</v>
      </c>
      <c r="FW25" s="303">
        <f>SUM(FY25:FY25)</f>
        <v>0</v>
      </c>
      <c r="FX25" s="303">
        <f>SUM(FZ25:GA25)</f>
        <v>0</v>
      </c>
      <c r="FY25" s="272"/>
      <c r="FZ25" s="272"/>
      <c r="GA25" s="272"/>
      <c r="GB25" s="303">
        <f>1500000+60376+17640</f>
        <v>1578016</v>
      </c>
      <c r="GC25" s="328">
        <f>CP25/C25</f>
        <v>1</v>
      </c>
      <c r="GD25" s="328"/>
      <c r="GE25" s="328">
        <f>CW25/J25</f>
        <v>0.99976034349445631</v>
      </c>
      <c r="GF25" s="328">
        <f>ER25/BE25</f>
        <v>0.99974526009781106</v>
      </c>
      <c r="GG25" s="328"/>
    </row>
    <row r="26" spans="1:189" s="264" customFormat="1" ht="17.25" customHeight="1">
      <c r="A26" s="227">
        <v>5</v>
      </c>
      <c r="B26" s="228" t="s">
        <v>189</v>
      </c>
      <c r="C26" s="270">
        <f t="shared" ref="C26:AI26" si="32">C27+C28</f>
        <v>1004081720</v>
      </c>
      <c r="D26" s="270">
        <f t="shared" si="32"/>
        <v>1004081720</v>
      </c>
      <c r="E26" s="270">
        <f t="shared" si="32"/>
        <v>0</v>
      </c>
      <c r="F26" s="229">
        <f t="shared" si="32"/>
        <v>0</v>
      </c>
      <c r="G26" s="229">
        <f t="shared" si="32"/>
        <v>0</v>
      </c>
      <c r="H26" s="229">
        <f t="shared" si="32"/>
        <v>0</v>
      </c>
      <c r="I26" s="229">
        <f t="shared" si="32"/>
        <v>0</v>
      </c>
      <c r="J26" s="270">
        <f t="shared" si="32"/>
        <v>1004081720</v>
      </c>
      <c r="K26" s="229">
        <f t="shared" si="32"/>
        <v>0</v>
      </c>
      <c r="L26" s="229">
        <f t="shared" si="32"/>
        <v>0</v>
      </c>
      <c r="M26" s="229">
        <f t="shared" si="32"/>
        <v>0</v>
      </c>
      <c r="N26" s="229">
        <f t="shared" si="32"/>
        <v>0</v>
      </c>
      <c r="O26" s="229">
        <f t="shared" si="32"/>
        <v>0</v>
      </c>
      <c r="P26" s="229">
        <f t="shared" si="32"/>
        <v>0</v>
      </c>
      <c r="Q26" s="229">
        <f t="shared" si="32"/>
        <v>0</v>
      </c>
      <c r="R26" s="229">
        <f t="shared" si="32"/>
        <v>0</v>
      </c>
      <c r="S26" s="229">
        <f t="shared" si="32"/>
        <v>0</v>
      </c>
      <c r="T26" s="229">
        <f t="shared" si="32"/>
        <v>0</v>
      </c>
      <c r="U26" s="229">
        <f t="shared" si="32"/>
        <v>0</v>
      </c>
      <c r="V26" s="229">
        <f t="shared" si="32"/>
        <v>0</v>
      </c>
      <c r="W26" s="229">
        <f t="shared" si="32"/>
        <v>0</v>
      </c>
      <c r="X26" s="229">
        <f t="shared" si="32"/>
        <v>0</v>
      </c>
      <c r="Y26" s="229">
        <f t="shared" si="32"/>
        <v>0</v>
      </c>
      <c r="Z26" s="229">
        <f t="shared" si="32"/>
        <v>0</v>
      </c>
      <c r="AA26" s="229">
        <f t="shared" si="32"/>
        <v>0</v>
      </c>
      <c r="AB26" s="229">
        <f t="shared" si="32"/>
        <v>0</v>
      </c>
      <c r="AC26" s="229">
        <f t="shared" si="32"/>
        <v>0</v>
      </c>
      <c r="AD26" s="229">
        <f t="shared" si="32"/>
        <v>0</v>
      </c>
      <c r="AE26" s="229">
        <f t="shared" si="32"/>
        <v>0</v>
      </c>
      <c r="AF26" s="229">
        <f t="shared" si="32"/>
        <v>0</v>
      </c>
      <c r="AG26" s="229">
        <f t="shared" si="32"/>
        <v>0</v>
      </c>
      <c r="AH26" s="229">
        <f t="shared" si="32"/>
        <v>0</v>
      </c>
      <c r="AI26" s="229">
        <f t="shared" si="32"/>
        <v>0</v>
      </c>
      <c r="AJ26" s="229">
        <f t="shared" ref="AJ26:AO26" si="33">AJ27+AJ28</f>
        <v>0</v>
      </c>
      <c r="AK26" s="229">
        <f t="shared" si="33"/>
        <v>0</v>
      </c>
      <c r="AL26" s="229">
        <f t="shared" si="33"/>
        <v>0</v>
      </c>
      <c r="AM26" s="229">
        <f t="shared" si="33"/>
        <v>0</v>
      </c>
      <c r="AN26" s="229">
        <f t="shared" si="33"/>
        <v>0</v>
      </c>
      <c r="AO26" s="229">
        <f t="shared" si="33"/>
        <v>0</v>
      </c>
      <c r="AP26" s="229">
        <f t="shared" ref="AP26:AU26" si="34">AP27+AP28</f>
        <v>0</v>
      </c>
      <c r="AQ26" s="229">
        <f t="shared" si="34"/>
        <v>0</v>
      </c>
      <c r="AR26" s="229">
        <f t="shared" si="34"/>
        <v>0</v>
      </c>
      <c r="AS26" s="229">
        <f t="shared" si="34"/>
        <v>0</v>
      </c>
      <c r="AT26" s="229">
        <f t="shared" si="34"/>
        <v>0</v>
      </c>
      <c r="AU26" s="229">
        <f t="shared" si="34"/>
        <v>0</v>
      </c>
      <c r="AV26" s="229">
        <f>AV27+AV28</f>
        <v>0</v>
      </c>
      <c r="AW26" s="229">
        <f>AW27+AW28</f>
        <v>0</v>
      </c>
      <c r="AX26" s="229">
        <f t="shared" ref="AX26:CN26" si="35">AX27+AX28</f>
        <v>0</v>
      </c>
      <c r="AY26" s="229">
        <f t="shared" si="35"/>
        <v>0</v>
      </c>
      <c r="AZ26" s="229">
        <f t="shared" si="35"/>
        <v>0</v>
      </c>
      <c r="BA26" s="229">
        <f t="shared" si="35"/>
        <v>1004081720</v>
      </c>
      <c r="BB26" s="229">
        <f t="shared" si="35"/>
        <v>0</v>
      </c>
      <c r="BC26" s="229">
        <f t="shared" si="35"/>
        <v>0</v>
      </c>
      <c r="BD26" s="229">
        <f t="shared" si="35"/>
        <v>0</v>
      </c>
      <c r="BE26" s="270">
        <f t="shared" si="35"/>
        <v>0</v>
      </c>
      <c r="BF26" s="270">
        <f t="shared" si="35"/>
        <v>0</v>
      </c>
      <c r="BG26" s="270">
        <f t="shared" si="35"/>
        <v>0</v>
      </c>
      <c r="BH26" s="229">
        <f t="shared" si="35"/>
        <v>0</v>
      </c>
      <c r="BI26" s="229">
        <f t="shared" si="35"/>
        <v>0</v>
      </c>
      <c r="BJ26" s="229">
        <f t="shared" si="35"/>
        <v>0</v>
      </c>
      <c r="BK26" s="229">
        <f t="shared" si="35"/>
        <v>0</v>
      </c>
      <c r="BL26" s="229">
        <f>BL27+BL28</f>
        <v>0</v>
      </c>
      <c r="BM26" s="229">
        <f>BM27+BM28</f>
        <v>0</v>
      </c>
      <c r="BN26" s="229">
        <f t="shared" si="35"/>
        <v>0</v>
      </c>
      <c r="BO26" s="229">
        <f t="shared" si="35"/>
        <v>0</v>
      </c>
      <c r="BP26" s="229">
        <f t="shared" si="35"/>
        <v>0</v>
      </c>
      <c r="BQ26" s="229">
        <f t="shared" si="35"/>
        <v>0</v>
      </c>
      <c r="BR26" s="229">
        <f t="shared" si="35"/>
        <v>0</v>
      </c>
      <c r="BS26" s="229">
        <f t="shared" si="35"/>
        <v>0</v>
      </c>
      <c r="BT26" s="229">
        <f t="shared" si="35"/>
        <v>0</v>
      </c>
      <c r="BU26" s="229">
        <f t="shared" si="35"/>
        <v>0</v>
      </c>
      <c r="BV26" s="229">
        <f t="shared" si="35"/>
        <v>0</v>
      </c>
      <c r="BW26" s="229">
        <f t="shared" si="35"/>
        <v>0</v>
      </c>
      <c r="BX26" s="229">
        <f t="shared" si="35"/>
        <v>0</v>
      </c>
      <c r="BY26" s="229">
        <f t="shared" si="35"/>
        <v>0</v>
      </c>
      <c r="BZ26" s="229">
        <f t="shared" si="35"/>
        <v>0</v>
      </c>
      <c r="CA26" s="229">
        <f t="shared" si="35"/>
        <v>0</v>
      </c>
      <c r="CB26" s="229">
        <f t="shared" si="35"/>
        <v>0</v>
      </c>
      <c r="CC26" s="229">
        <f t="shared" si="35"/>
        <v>0</v>
      </c>
      <c r="CD26" s="229">
        <f t="shared" si="35"/>
        <v>0</v>
      </c>
      <c r="CE26" s="229">
        <f t="shared" si="35"/>
        <v>0</v>
      </c>
      <c r="CF26" s="229">
        <f t="shared" si="35"/>
        <v>0</v>
      </c>
      <c r="CG26" s="229">
        <f t="shared" si="35"/>
        <v>0</v>
      </c>
      <c r="CH26" s="229">
        <f t="shared" si="35"/>
        <v>0</v>
      </c>
      <c r="CI26" s="270">
        <f t="shared" si="35"/>
        <v>0</v>
      </c>
      <c r="CJ26" s="270">
        <f t="shared" si="35"/>
        <v>0</v>
      </c>
      <c r="CK26" s="270">
        <f t="shared" si="35"/>
        <v>0</v>
      </c>
      <c r="CL26" s="229">
        <f t="shared" si="35"/>
        <v>0</v>
      </c>
      <c r="CM26" s="229">
        <f t="shared" si="35"/>
        <v>0</v>
      </c>
      <c r="CN26" s="229">
        <f t="shared" si="35"/>
        <v>0</v>
      </c>
      <c r="CO26" s="271" t="s">
        <v>189</v>
      </c>
      <c r="CP26" s="303">
        <f t="shared" ref="CP26:ER26" si="36">CP27+CP28</f>
        <v>1004081720</v>
      </c>
      <c r="CQ26" s="303">
        <f t="shared" si="36"/>
        <v>1004081720</v>
      </c>
      <c r="CR26" s="303">
        <f t="shared" si="36"/>
        <v>0</v>
      </c>
      <c r="CS26" s="272">
        <f t="shared" si="36"/>
        <v>0</v>
      </c>
      <c r="CT26" s="272">
        <f t="shared" si="36"/>
        <v>0</v>
      </c>
      <c r="CU26" s="272">
        <f t="shared" si="36"/>
        <v>0</v>
      </c>
      <c r="CV26" s="272">
        <f t="shared" si="36"/>
        <v>0</v>
      </c>
      <c r="CW26" s="303">
        <f t="shared" si="36"/>
        <v>1004081720</v>
      </c>
      <c r="CX26" s="272">
        <f t="shared" si="36"/>
        <v>0</v>
      </c>
      <c r="CY26" s="272">
        <f t="shared" si="36"/>
        <v>0</v>
      </c>
      <c r="CZ26" s="272">
        <f t="shared" si="36"/>
        <v>0</v>
      </c>
      <c r="DA26" s="272">
        <f t="shared" si="36"/>
        <v>0</v>
      </c>
      <c r="DB26" s="272">
        <f t="shared" si="36"/>
        <v>0</v>
      </c>
      <c r="DC26" s="272">
        <f t="shared" si="36"/>
        <v>0</v>
      </c>
      <c r="DD26" s="272">
        <f t="shared" si="36"/>
        <v>0</v>
      </c>
      <c r="DE26" s="272">
        <f t="shared" si="36"/>
        <v>0</v>
      </c>
      <c r="DF26" s="272">
        <f t="shared" si="36"/>
        <v>0</v>
      </c>
      <c r="DG26" s="272">
        <f t="shared" si="36"/>
        <v>0</v>
      </c>
      <c r="DH26" s="272">
        <f t="shared" si="36"/>
        <v>0</v>
      </c>
      <c r="DI26" s="272">
        <f t="shared" si="36"/>
        <v>0</v>
      </c>
      <c r="DJ26" s="272">
        <f t="shared" si="36"/>
        <v>0</v>
      </c>
      <c r="DK26" s="272">
        <f t="shared" si="36"/>
        <v>0</v>
      </c>
      <c r="DL26" s="272">
        <f t="shared" si="36"/>
        <v>0</v>
      </c>
      <c r="DM26" s="272">
        <f>DM27+DM28</f>
        <v>0</v>
      </c>
      <c r="DN26" s="272">
        <f t="shared" si="36"/>
        <v>0</v>
      </c>
      <c r="DO26" s="272">
        <f t="shared" si="36"/>
        <v>0</v>
      </c>
      <c r="DP26" s="272">
        <f t="shared" si="36"/>
        <v>0</v>
      </c>
      <c r="DQ26" s="272">
        <f t="shared" si="36"/>
        <v>0</v>
      </c>
      <c r="DR26" s="272">
        <f t="shared" si="36"/>
        <v>0</v>
      </c>
      <c r="DS26" s="272">
        <f t="shared" si="36"/>
        <v>0</v>
      </c>
      <c r="DT26" s="272">
        <f t="shared" si="36"/>
        <v>0</v>
      </c>
      <c r="DU26" s="272">
        <f t="shared" si="36"/>
        <v>0</v>
      </c>
      <c r="DV26" s="272">
        <f t="shared" si="36"/>
        <v>0</v>
      </c>
      <c r="DW26" s="272">
        <f t="shared" si="36"/>
        <v>0</v>
      </c>
      <c r="DX26" s="272">
        <f t="shared" si="36"/>
        <v>0</v>
      </c>
      <c r="DY26" s="272">
        <f t="shared" si="36"/>
        <v>0</v>
      </c>
      <c r="DZ26" s="272">
        <f t="shared" si="36"/>
        <v>0</v>
      </c>
      <c r="EA26" s="272">
        <f t="shared" si="36"/>
        <v>0</v>
      </c>
      <c r="EB26" s="272">
        <f t="shared" si="36"/>
        <v>0</v>
      </c>
      <c r="EC26" s="272">
        <f t="shared" si="36"/>
        <v>0</v>
      </c>
      <c r="ED26" s="272">
        <f t="shared" si="36"/>
        <v>0</v>
      </c>
      <c r="EE26" s="272">
        <f t="shared" si="36"/>
        <v>0</v>
      </c>
      <c r="EF26" s="272">
        <f t="shared" si="36"/>
        <v>0</v>
      </c>
      <c r="EG26" s="272">
        <f t="shared" si="36"/>
        <v>0</v>
      </c>
      <c r="EH26" s="272">
        <f t="shared" si="36"/>
        <v>0</v>
      </c>
      <c r="EI26" s="272">
        <f>EI27+EI28</f>
        <v>0</v>
      </c>
      <c r="EJ26" s="272">
        <f>EJ27+EJ28</f>
        <v>0</v>
      </c>
      <c r="EK26" s="272">
        <f t="shared" si="36"/>
        <v>0</v>
      </c>
      <c r="EL26" s="272">
        <f t="shared" si="36"/>
        <v>0</v>
      </c>
      <c r="EM26" s="272">
        <f t="shared" si="36"/>
        <v>0</v>
      </c>
      <c r="EN26" s="272">
        <f t="shared" si="36"/>
        <v>1004081720</v>
      </c>
      <c r="EO26" s="272">
        <f t="shared" si="36"/>
        <v>0</v>
      </c>
      <c r="EP26" s="272">
        <f t="shared" si="36"/>
        <v>0</v>
      </c>
      <c r="EQ26" s="272">
        <f t="shared" si="36"/>
        <v>0</v>
      </c>
      <c r="ER26" s="303">
        <f t="shared" si="36"/>
        <v>0</v>
      </c>
      <c r="ES26" s="303">
        <f t="shared" ref="ES26:GB26" si="37">ES27+ES28</f>
        <v>0</v>
      </c>
      <c r="ET26" s="303">
        <f t="shared" si="37"/>
        <v>0</v>
      </c>
      <c r="EU26" s="272">
        <f t="shared" si="37"/>
        <v>0</v>
      </c>
      <c r="EV26" s="272">
        <f t="shared" si="37"/>
        <v>0</v>
      </c>
      <c r="EW26" s="272">
        <f t="shared" si="37"/>
        <v>0</v>
      </c>
      <c r="EX26" s="272">
        <f t="shared" si="37"/>
        <v>0</v>
      </c>
      <c r="EY26" s="272">
        <f>EY27+EY28</f>
        <v>0</v>
      </c>
      <c r="EZ26" s="272">
        <f>EZ27+EZ28</f>
        <v>0</v>
      </c>
      <c r="FA26" s="272">
        <f t="shared" si="37"/>
        <v>0</v>
      </c>
      <c r="FB26" s="272">
        <f t="shared" si="37"/>
        <v>0</v>
      </c>
      <c r="FC26" s="272">
        <f t="shared" si="37"/>
        <v>0</v>
      </c>
      <c r="FD26" s="272">
        <f t="shared" si="37"/>
        <v>0</v>
      </c>
      <c r="FE26" s="272">
        <f t="shared" si="37"/>
        <v>0</v>
      </c>
      <c r="FF26" s="272">
        <f t="shared" si="37"/>
        <v>0</v>
      </c>
      <c r="FG26" s="272">
        <f t="shared" si="37"/>
        <v>0</v>
      </c>
      <c r="FH26" s="272">
        <f t="shared" si="37"/>
        <v>0</v>
      </c>
      <c r="FI26" s="272">
        <f t="shared" si="37"/>
        <v>0</v>
      </c>
      <c r="FJ26" s="272">
        <f t="shared" si="37"/>
        <v>0</v>
      </c>
      <c r="FK26" s="272">
        <f t="shared" si="37"/>
        <v>0</v>
      </c>
      <c r="FL26" s="272">
        <f t="shared" si="37"/>
        <v>0</v>
      </c>
      <c r="FM26" s="272">
        <f t="shared" si="37"/>
        <v>0</v>
      </c>
      <c r="FN26" s="272">
        <f t="shared" si="37"/>
        <v>0</v>
      </c>
      <c r="FO26" s="272">
        <f t="shared" si="37"/>
        <v>0</v>
      </c>
      <c r="FP26" s="272">
        <f t="shared" si="37"/>
        <v>0</v>
      </c>
      <c r="FQ26" s="272">
        <f t="shared" si="37"/>
        <v>0</v>
      </c>
      <c r="FR26" s="272">
        <f t="shared" si="37"/>
        <v>0</v>
      </c>
      <c r="FS26" s="272">
        <f t="shared" si="37"/>
        <v>0</v>
      </c>
      <c r="FT26" s="272">
        <f t="shared" si="37"/>
        <v>0</v>
      </c>
      <c r="FU26" s="272">
        <f t="shared" si="37"/>
        <v>0</v>
      </c>
      <c r="FV26" s="303">
        <f t="shared" si="37"/>
        <v>0</v>
      </c>
      <c r="FW26" s="303">
        <f t="shared" si="37"/>
        <v>0</v>
      </c>
      <c r="FX26" s="303">
        <f t="shared" si="37"/>
        <v>0</v>
      </c>
      <c r="FY26" s="272">
        <f t="shared" si="37"/>
        <v>0</v>
      </c>
      <c r="FZ26" s="272">
        <f t="shared" si="37"/>
        <v>0</v>
      </c>
      <c r="GA26" s="272">
        <f t="shared" si="37"/>
        <v>0</v>
      </c>
      <c r="GB26" s="303">
        <f t="shared" si="37"/>
        <v>0</v>
      </c>
      <c r="GC26" s="328">
        <f>CP26/C26</f>
        <v>1</v>
      </c>
      <c r="GD26" s="328"/>
      <c r="GE26" s="328">
        <f>CW26/J26</f>
        <v>1</v>
      </c>
      <c r="GF26" s="328"/>
      <c r="GG26" s="328"/>
    </row>
    <row r="27" spans="1:189" s="264" customFormat="1" ht="17.25" customHeight="1">
      <c r="A27" s="227"/>
      <c r="B27" s="228" t="s">
        <v>183</v>
      </c>
      <c r="C27" s="270">
        <f>D27+BE27+CI27</f>
        <v>0</v>
      </c>
      <c r="D27" s="270">
        <f>E27+J27</f>
        <v>0</v>
      </c>
      <c r="E27" s="270">
        <f>SUM(F27:I27)</f>
        <v>0</v>
      </c>
      <c r="F27" s="229"/>
      <c r="G27" s="229"/>
      <c r="H27" s="229"/>
      <c r="I27" s="229"/>
      <c r="J27" s="270">
        <f>SUM(K27:BD27)</f>
        <v>0</v>
      </c>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29"/>
      <c r="AT27" s="229"/>
      <c r="AU27" s="229"/>
      <c r="AV27" s="229"/>
      <c r="AW27" s="229"/>
      <c r="AX27" s="229"/>
      <c r="AY27" s="229"/>
      <c r="AZ27" s="229"/>
      <c r="BA27" s="229"/>
      <c r="BB27" s="229"/>
      <c r="BC27" s="229"/>
      <c r="BD27" s="229"/>
      <c r="BE27" s="270">
        <f>SUM(BF27:BG27)</f>
        <v>0</v>
      </c>
      <c r="BF27" s="270">
        <f>SUM(BH27:BI27)+BJ27+SUM(BL27:BN27)+BW27+CE27</f>
        <v>0</v>
      </c>
      <c r="BG27" s="270">
        <f>BK27+SUM(BO27:BV27)+SUM(BX27:CD27)+SUM(CF27:CH27)</f>
        <v>0</v>
      </c>
      <c r="BH27" s="229"/>
      <c r="BI27" s="229"/>
      <c r="BJ27" s="229"/>
      <c r="BK27" s="229"/>
      <c r="BL27" s="229"/>
      <c r="BM27" s="229"/>
      <c r="BN27" s="229"/>
      <c r="BO27" s="229"/>
      <c r="BP27" s="229"/>
      <c r="BQ27" s="229"/>
      <c r="BR27" s="229"/>
      <c r="BS27" s="229"/>
      <c r="BT27" s="229"/>
      <c r="BU27" s="229"/>
      <c r="BV27" s="229"/>
      <c r="BW27" s="229"/>
      <c r="BX27" s="229"/>
      <c r="BY27" s="229"/>
      <c r="BZ27" s="229"/>
      <c r="CA27" s="229"/>
      <c r="CB27" s="229"/>
      <c r="CC27" s="229"/>
      <c r="CD27" s="229"/>
      <c r="CE27" s="229"/>
      <c r="CF27" s="229"/>
      <c r="CG27" s="229"/>
      <c r="CH27" s="229"/>
      <c r="CI27" s="270">
        <f>SUM(CJ27:CK27)</f>
        <v>0</v>
      </c>
      <c r="CJ27" s="270">
        <f>SUM(CL27:CL27)</f>
        <v>0</v>
      </c>
      <c r="CK27" s="270">
        <f>SUM(CM27:CN27)</f>
        <v>0</v>
      </c>
      <c r="CL27" s="229"/>
      <c r="CM27" s="229"/>
      <c r="CN27" s="229"/>
      <c r="CO27" s="271" t="s">
        <v>183</v>
      </c>
      <c r="CP27" s="303">
        <f>CQ27+ER27+FV27+GB27</f>
        <v>0</v>
      </c>
      <c r="CQ27" s="303">
        <f>CR27+CW27</f>
        <v>0</v>
      </c>
      <c r="CR27" s="303">
        <f>SUM(CS27:CV27)</f>
        <v>0</v>
      </c>
      <c r="CS27" s="272"/>
      <c r="CT27" s="272"/>
      <c r="CU27" s="272"/>
      <c r="CV27" s="272"/>
      <c r="CW27" s="303">
        <f>SUM(CX27:EQ27)</f>
        <v>0</v>
      </c>
      <c r="CX27" s="272"/>
      <c r="CY27" s="272"/>
      <c r="CZ27" s="272"/>
      <c r="DA27" s="272"/>
      <c r="DB27" s="272"/>
      <c r="DC27" s="272"/>
      <c r="DD27" s="272"/>
      <c r="DE27" s="272"/>
      <c r="DF27" s="272"/>
      <c r="DG27" s="272"/>
      <c r="DH27" s="272"/>
      <c r="DI27" s="272"/>
      <c r="DJ27" s="272"/>
      <c r="DK27" s="272"/>
      <c r="DL27" s="272"/>
      <c r="DM27" s="272"/>
      <c r="DN27" s="272"/>
      <c r="DO27" s="272"/>
      <c r="DP27" s="272"/>
      <c r="DQ27" s="272"/>
      <c r="DR27" s="272"/>
      <c r="DS27" s="272"/>
      <c r="DT27" s="272"/>
      <c r="DU27" s="272"/>
      <c r="DV27" s="272"/>
      <c r="DW27" s="272"/>
      <c r="DX27" s="272"/>
      <c r="DY27" s="272"/>
      <c r="DZ27" s="272"/>
      <c r="EA27" s="272"/>
      <c r="EB27" s="272"/>
      <c r="EC27" s="272"/>
      <c r="ED27" s="272"/>
      <c r="EE27" s="272"/>
      <c r="EF27" s="272"/>
      <c r="EG27" s="272"/>
      <c r="EH27" s="272"/>
      <c r="EI27" s="272"/>
      <c r="EJ27" s="272"/>
      <c r="EK27" s="272"/>
      <c r="EL27" s="272"/>
      <c r="EM27" s="272"/>
      <c r="EN27" s="272"/>
      <c r="EO27" s="272"/>
      <c r="EP27" s="272"/>
      <c r="EQ27" s="272"/>
      <c r="ER27" s="303">
        <f>SUM(ES27:ET27)</f>
        <v>0</v>
      </c>
      <c r="ES27" s="303">
        <f>SUM(EU27:EV27)+EW27+SUM(EY27:FA27)+FJ27+FR27</f>
        <v>0</v>
      </c>
      <c r="ET27" s="303">
        <f>EX27+SUM(FB27:FI27)+SUM(FK27:FQ27)+SUM(FS27:FU27)</f>
        <v>0</v>
      </c>
      <c r="EU27" s="272"/>
      <c r="EV27" s="272"/>
      <c r="EW27" s="272"/>
      <c r="EX27" s="272"/>
      <c r="EY27" s="272"/>
      <c r="EZ27" s="272"/>
      <c r="FA27" s="272"/>
      <c r="FB27" s="272"/>
      <c r="FC27" s="272"/>
      <c r="FD27" s="272"/>
      <c r="FE27" s="272"/>
      <c r="FF27" s="272"/>
      <c r="FG27" s="272"/>
      <c r="FH27" s="272"/>
      <c r="FI27" s="272"/>
      <c r="FJ27" s="272"/>
      <c r="FK27" s="272"/>
      <c r="FL27" s="272"/>
      <c r="FM27" s="272"/>
      <c r="FN27" s="272"/>
      <c r="FO27" s="272"/>
      <c r="FP27" s="272"/>
      <c r="FQ27" s="272"/>
      <c r="FR27" s="272"/>
      <c r="FS27" s="272"/>
      <c r="FT27" s="272"/>
      <c r="FU27" s="272"/>
      <c r="FV27" s="303">
        <f>SUM(FW27:FX27)</f>
        <v>0</v>
      </c>
      <c r="FW27" s="303">
        <f>SUM(FY27:FY27)</f>
        <v>0</v>
      </c>
      <c r="FX27" s="303">
        <f>SUM(FZ27:GA27)</f>
        <v>0</v>
      </c>
      <c r="FY27" s="272"/>
      <c r="FZ27" s="272"/>
      <c r="GA27" s="272"/>
      <c r="GB27" s="303"/>
      <c r="GC27" s="328"/>
      <c r="GD27" s="328"/>
      <c r="GE27" s="328"/>
      <c r="GF27" s="328"/>
      <c r="GG27" s="328"/>
    </row>
    <row r="28" spans="1:189" s="264" customFormat="1" ht="17.25" customHeight="1">
      <c r="A28" s="227"/>
      <c r="B28" s="228" t="s">
        <v>184</v>
      </c>
      <c r="C28" s="270">
        <f>D28+BE28+CI28</f>
        <v>1004081720</v>
      </c>
      <c r="D28" s="270">
        <f>E28+J28</f>
        <v>1004081720</v>
      </c>
      <c r="E28" s="270">
        <f>SUM(F28:I28)</f>
        <v>0</v>
      </c>
      <c r="F28" s="229"/>
      <c r="G28" s="229"/>
      <c r="H28" s="229"/>
      <c r="I28" s="229"/>
      <c r="J28" s="270">
        <f>SUM(K28:BD28)</f>
        <v>1004081720</v>
      </c>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c r="BA28" s="229">
        <v>1004081720</v>
      </c>
      <c r="BB28" s="229"/>
      <c r="BC28" s="229"/>
      <c r="BD28" s="229"/>
      <c r="BE28" s="270">
        <f>SUM(BF28:BG28)</f>
        <v>0</v>
      </c>
      <c r="BF28" s="270">
        <f>SUM(BH28:BI28)+BJ28+SUM(BL28:BN28)+BW28+CE28</f>
        <v>0</v>
      </c>
      <c r="BG28" s="270">
        <f>BK28+SUM(BO28:BV28)+SUM(BX28:CD28)+SUM(CF28:CH28)</f>
        <v>0</v>
      </c>
      <c r="BH28" s="229"/>
      <c r="BI28" s="229"/>
      <c r="BJ28" s="229"/>
      <c r="BK28" s="229"/>
      <c r="BL28" s="229"/>
      <c r="BM28" s="229"/>
      <c r="BN28" s="229"/>
      <c r="BO28" s="229"/>
      <c r="BP28" s="229"/>
      <c r="BQ28" s="229"/>
      <c r="BR28" s="229"/>
      <c r="BS28" s="229"/>
      <c r="BT28" s="229"/>
      <c r="BU28" s="229"/>
      <c r="BV28" s="229"/>
      <c r="BW28" s="229"/>
      <c r="BX28" s="229"/>
      <c r="BY28" s="229"/>
      <c r="BZ28" s="229"/>
      <c r="CA28" s="229"/>
      <c r="CB28" s="229"/>
      <c r="CC28" s="229"/>
      <c r="CD28" s="229"/>
      <c r="CE28" s="229"/>
      <c r="CF28" s="229"/>
      <c r="CG28" s="229"/>
      <c r="CH28" s="229"/>
      <c r="CI28" s="270">
        <f>SUM(CJ28:CK28)</f>
        <v>0</v>
      </c>
      <c r="CJ28" s="270">
        <f>SUM(CL28:CL28)</f>
        <v>0</v>
      </c>
      <c r="CK28" s="270">
        <f>SUM(CM28:CN28)</f>
        <v>0</v>
      </c>
      <c r="CL28" s="229"/>
      <c r="CM28" s="229"/>
      <c r="CN28" s="229"/>
      <c r="CO28" s="271" t="s">
        <v>184</v>
      </c>
      <c r="CP28" s="303">
        <f>CQ28+ER28+FV28+GB28</f>
        <v>1004081720</v>
      </c>
      <c r="CQ28" s="303">
        <f>CR28+CW28</f>
        <v>1004081720</v>
      </c>
      <c r="CR28" s="303">
        <f>SUM(CS28:CV28)</f>
        <v>0</v>
      </c>
      <c r="CS28" s="272"/>
      <c r="CT28" s="272"/>
      <c r="CU28" s="272"/>
      <c r="CV28" s="272"/>
      <c r="CW28" s="303">
        <f>SUM(CX28:EQ28)</f>
        <v>1004081720</v>
      </c>
      <c r="CX28" s="272"/>
      <c r="CY28" s="272"/>
      <c r="CZ28" s="272"/>
      <c r="DA28" s="272"/>
      <c r="DB28" s="272"/>
      <c r="DC28" s="272"/>
      <c r="DD28" s="272"/>
      <c r="DE28" s="272"/>
      <c r="DF28" s="272"/>
      <c r="DG28" s="272"/>
      <c r="DH28" s="272"/>
      <c r="DI28" s="272"/>
      <c r="DJ28" s="272"/>
      <c r="DK28" s="272"/>
      <c r="DL28" s="272"/>
      <c r="DM28" s="272"/>
      <c r="DN28" s="272"/>
      <c r="DO28" s="272"/>
      <c r="DP28" s="272"/>
      <c r="DQ28" s="272"/>
      <c r="DR28" s="272"/>
      <c r="DS28" s="272"/>
      <c r="DT28" s="272"/>
      <c r="DU28" s="272"/>
      <c r="DV28" s="272"/>
      <c r="DW28" s="272"/>
      <c r="DX28" s="272"/>
      <c r="DY28" s="272"/>
      <c r="DZ28" s="272"/>
      <c r="EA28" s="272"/>
      <c r="EB28" s="272"/>
      <c r="EC28" s="272"/>
      <c r="ED28" s="272"/>
      <c r="EE28" s="272"/>
      <c r="EF28" s="272"/>
      <c r="EG28" s="272"/>
      <c r="EH28" s="272"/>
      <c r="EI28" s="272"/>
      <c r="EJ28" s="272"/>
      <c r="EK28" s="272"/>
      <c r="EL28" s="272"/>
      <c r="EM28" s="272"/>
      <c r="EN28" s="272">
        <v>1004081720</v>
      </c>
      <c r="EO28" s="272"/>
      <c r="EP28" s="272"/>
      <c r="EQ28" s="272"/>
      <c r="ER28" s="303">
        <f>SUM(ES28:ET28)</f>
        <v>0</v>
      </c>
      <c r="ES28" s="303">
        <f>SUM(EU28:EV28)+EW28+SUM(EY28:FA28)+FJ28+FR28</f>
        <v>0</v>
      </c>
      <c r="ET28" s="303">
        <f>EX28+SUM(FB28:FI28)+SUM(FK28:FQ28)+SUM(FS28:FU28)</f>
        <v>0</v>
      </c>
      <c r="EU28" s="272"/>
      <c r="EV28" s="272"/>
      <c r="EW28" s="272"/>
      <c r="EX28" s="272"/>
      <c r="EY28" s="272"/>
      <c r="EZ28" s="272"/>
      <c r="FA28" s="272"/>
      <c r="FB28" s="272"/>
      <c r="FC28" s="272"/>
      <c r="FD28" s="272"/>
      <c r="FE28" s="272"/>
      <c r="FF28" s="272"/>
      <c r="FG28" s="272"/>
      <c r="FH28" s="272"/>
      <c r="FI28" s="272"/>
      <c r="FJ28" s="272"/>
      <c r="FK28" s="272"/>
      <c r="FL28" s="272"/>
      <c r="FM28" s="272"/>
      <c r="FN28" s="272"/>
      <c r="FO28" s="272"/>
      <c r="FP28" s="272"/>
      <c r="FQ28" s="272"/>
      <c r="FR28" s="272"/>
      <c r="FS28" s="272"/>
      <c r="FT28" s="272"/>
      <c r="FU28" s="272"/>
      <c r="FV28" s="303">
        <f>SUM(FW28:FX28)</f>
        <v>0</v>
      </c>
      <c r="FW28" s="303">
        <f>SUM(FY28:FY28)</f>
        <v>0</v>
      </c>
      <c r="FX28" s="303">
        <f>SUM(FZ28:GA28)</f>
        <v>0</v>
      </c>
      <c r="FY28" s="272"/>
      <c r="FZ28" s="272"/>
      <c r="GA28" s="272"/>
      <c r="GB28" s="303"/>
      <c r="GC28" s="328">
        <f>CP28/C28</f>
        <v>1</v>
      </c>
      <c r="GD28" s="328"/>
      <c r="GE28" s="328">
        <f>CW28/J28</f>
        <v>1</v>
      </c>
      <c r="GF28" s="328"/>
      <c r="GG28" s="328"/>
    </row>
    <row r="29" spans="1:189" s="264" customFormat="1" ht="17.25" customHeight="1">
      <c r="A29" s="227">
        <v>6</v>
      </c>
      <c r="B29" s="228" t="s">
        <v>187</v>
      </c>
      <c r="C29" s="270">
        <f t="shared" ref="C29:AI29" si="38">C30+C31</f>
        <v>1546272213</v>
      </c>
      <c r="D29" s="270">
        <f t="shared" si="38"/>
        <v>1546272213</v>
      </c>
      <c r="E29" s="270">
        <f t="shared" si="38"/>
        <v>0</v>
      </c>
      <c r="F29" s="229">
        <f t="shared" si="38"/>
        <v>0</v>
      </c>
      <c r="G29" s="229">
        <f t="shared" si="38"/>
        <v>0</v>
      </c>
      <c r="H29" s="229">
        <f t="shared" si="38"/>
        <v>0</v>
      </c>
      <c r="I29" s="229">
        <f t="shared" si="38"/>
        <v>0</v>
      </c>
      <c r="J29" s="270">
        <f t="shared" si="38"/>
        <v>1546272213</v>
      </c>
      <c r="K29" s="229">
        <f t="shared" si="38"/>
        <v>0</v>
      </c>
      <c r="L29" s="229">
        <f t="shared" si="38"/>
        <v>0</v>
      </c>
      <c r="M29" s="229">
        <f t="shared" si="38"/>
        <v>0</v>
      </c>
      <c r="N29" s="229">
        <f t="shared" si="38"/>
        <v>0</v>
      </c>
      <c r="O29" s="229">
        <f t="shared" si="38"/>
        <v>0</v>
      </c>
      <c r="P29" s="229">
        <f t="shared" si="38"/>
        <v>0</v>
      </c>
      <c r="Q29" s="229">
        <f t="shared" si="38"/>
        <v>0</v>
      </c>
      <c r="R29" s="229">
        <f t="shared" si="38"/>
        <v>0</v>
      </c>
      <c r="S29" s="229">
        <f t="shared" si="38"/>
        <v>0</v>
      </c>
      <c r="T29" s="229">
        <f t="shared" si="38"/>
        <v>0</v>
      </c>
      <c r="U29" s="229">
        <f t="shared" si="38"/>
        <v>0</v>
      </c>
      <c r="V29" s="229">
        <f t="shared" si="38"/>
        <v>0</v>
      </c>
      <c r="W29" s="229">
        <f t="shared" si="38"/>
        <v>0</v>
      </c>
      <c r="X29" s="229">
        <f t="shared" si="38"/>
        <v>0</v>
      </c>
      <c r="Y29" s="229">
        <f t="shared" si="38"/>
        <v>0</v>
      </c>
      <c r="Z29" s="229">
        <f t="shared" si="38"/>
        <v>0</v>
      </c>
      <c r="AA29" s="229">
        <f t="shared" si="38"/>
        <v>0</v>
      </c>
      <c r="AB29" s="229">
        <f t="shared" si="38"/>
        <v>0</v>
      </c>
      <c r="AC29" s="229">
        <f t="shared" si="38"/>
        <v>0</v>
      </c>
      <c r="AD29" s="229">
        <f t="shared" si="38"/>
        <v>0</v>
      </c>
      <c r="AE29" s="229">
        <f t="shared" si="38"/>
        <v>0</v>
      </c>
      <c r="AF29" s="229">
        <f t="shared" si="38"/>
        <v>0</v>
      </c>
      <c r="AG29" s="229">
        <f t="shared" si="38"/>
        <v>0</v>
      </c>
      <c r="AH29" s="229">
        <f t="shared" si="38"/>
        <v>0</v>
      </c>
      <c r="AI29" s="229">
        <f t="shared" si="38"/>
        <v>0</v>
      </c>
      <c r="AJ29" s="229">
        <f t="shared" ref="AJ29:AO29" si="39">AJ30+AJ31</f>
        <v>0</v>
      </c>
      <c r="AK29" s="229">
        <f t="shared" si="39"/>
        <v>0</v>
      </c>
      <c r="AL29" s="229">
        <f t="shared" si="39"/>
        <v>0</v>
      </c>
      <c r="AM29" s="229">
        <f t="shared" si="39"/>
        <v>0</v>
      </c>
      <c r="AN29" s="229">
        <f t="shared" si="39"/>
        <v>0</v>
      </c>
      <c r="AO29" s="229">
        <f t="shared" si="39"/>
        <v>0</v>
      </c>
      <c r="AP29" s="229">
        <f t="shared" ref="AP29:AU29" si="40">AP30+AP31</f>
        <v>0</v>
      </c>
      <c r="AQ29" s="229">
        <f t="shared" si="40"/>
        <v>0</v>
      </c>
      <c r="AR29" s="229">
        <f t="shared" si="40"/>
        <v>0</v>
      </c>
      <c r="AS29" s="229">
        <f t="shared" si="40"/>
        <v>0</v>
      </c>
      <c r="AT29" s="229">
        <f t="shared" si="40"/>
        <v>0</v>
      </c>
      <c r="AU29" s="229">
        <f t="shared" si="40"/>
        <v>0</v>
      </c>
      <c r="AV29" s="229">
        <f>AV30+AV31</f>
        <v>0</v>
      </c>
      <c r="AW29" s="229">
        <f>AW30+AW31</f>
        <v>0</v>
      </c>
      <c r="AX29" s="229">
        <f t="shared" ref="AX29:CN29" si="41">AX30+AX31</f>
        <v>0</v>
      </c>
      <c r="AY29" s="229">
        <f t="shared" si="41"/>
        <v>0</v>
      </c>
      <c r="AZ29" s="229">
        <f t="shared" si="41"/>
        <v>0</v>
      </c>
      <c r="BA29" s="229">
        <f t="shared" si="41"/>
        <v>1546272213</v>
      </c>
      <c r="BB29" s="229">
        <f t="shared" si="41"/>
        <v>0</v>
      </c>
      <c r="BC29" s="229">
        <f t="shared" si="41"/>
        <v>0</v>
      </c>
      <c r="BD29" s="229">
        <f t="shared" si="41"/>
        <v>0</v>
      </c>
      <c r="BE29" s="270">
        <f t="shared" si="41"/>
        <v>0</v>
      </c>
      <c r="BF29" s="270">
        <f t="shared" si="41"/>
        <v>0</v>
      </c>
      <c r="BG29" s="270">
        <f t="shared" si="41"/>
        <v>0</v>
      </c>
      <c r="BH29" s="229">
        <f t="shared" si="41"/>
        <v>0</v>
      </c>
      <c r="BI29" s="229">
        <f t="shared" si="41"/>
        <v>0</v>
      </c>
      <c r="BJ29" s="229">
        <f t="shared" si="41"/>
        <v>0</v>
      </c>
      <c r="BK29" s="229">
        <f t="shared" si="41"/>
        <v>0</v>
      </c>
      <c r="BL29" s="229">
        <f>BL30+BL31</f>
        <v>0</v>
      </c>
      <c r="BM29" s="229">
        <f>BM30+BM31</f>
        <v>0</v>
      </c>
      <c r="BN29" s="229">
        <f t="shared" si="41"/>
        <v>0</v>
      </c>
      <c r="BO29" s="229">
        <f t="shared" si="41"/>
        <v>0</v>
      </c>
      <c r="BP29" s="229">
        <f t="shared" si="41"/>
        <v>0</v>
      </c>
      <c r="BQ29" s="229">
        <f t="shared" si="41"/>
        <v>0</v>
      </c>
      <c r="BR29" s="229">
        <f t="shared" si="41"/>
        <v>0</v>
      </c>
      <c r="BS29" s="229">
        <f t="shared" si="41"/>
        <v>0</v>
      </c>
      <c r="BT29" s="229">
        <f t="shared" si="41"/>
        <v>0</v>
      </c>
      <c r="BU29" s="229">
        <f t="shared" si="41"/>
        <v>0</v>
      </c>
      <c r="BV29" s="229">
        <f t="shared" si="41"/>
        <v>0</v>
      </c>
      <c r="BW29" s="229">
        <f t="shared" si="41"/>
        <v>0</v>
      </c>
      <c r="BX29" s="229">
        <f t="shared" si="41"/>
        <v>0</v>
      </c>
      <c r="BY29" s="229">
        <f t="shared" si="41"/>
        <v>0</v>
      </c>
      <c r="BZ29" s="229">
        <f t="shared" si="41"/>
        <v>0</v>
      </c>
      <c r="CA29" s="229">
        <f t="shared" si="41"/>
        <v>0</v>
      </c>
      <c r="CB29" s="229">
        <f t="shared" si="41"/>
        <v>0</v>
      </c>
      <c r="CC29" s="229">
        <f t="shared" si="41"/>
        <v>0</v>
      </c>
      <c r="CD29" s="229">
        <f t="shared" si="41"/>
        <v>0</v>
      </c>
      <c r="CE29" s="229">
        <f t="shared" si="41"/>
        <v>0</v>
      </c>
      <c r="CF29" s="229">
        <f t="shared" si="41"/>
        <v>0</v>
      </c>
      <c r="CG29" s="229">
        <f t="shared" si="41"/>
        <v>0</v>
      </c>
      <c r="CH29" s="229">
        <f t="shared" si="41"/>
        <v>0</v>
      </c>
      <c r="CI29" s="270">
        <f t="shared" si="41"/>
        <v>0</v>
      </c>
      <c r="CJ29" s="270">
        <f t="shared" si="41"/>
        <v>0</v>
      </c>
      <c r="CK29" s="270">
        <f t="shared" si="41"/>
        <v>0</v>
      </c>
      <c r="CL29" s="229">
        <f t="shared" si="41"/>
        <v>0</v>
      </c>
      <c r="CM29" s="229">
        <f t="shared" si="41"/>
        <v>0</v>
      </c>
      <c r="CN29" s="229">
        <f t="shared" si="41"/>
        <v>0</v>
      </c>
      <c r="CO29" s="271" t="s">
        <v>187</v>
      </c>
      <c r="CP29" s="303">
        <f t="shared" ref="CP29:ER29" si="42">CP30+CP31</f>
        <v>1546272213</v>
      </c>
      <c r="CQ29" s="303">
        <f t="shared" si="42"/>
        <v>1546272213</v>
      </c>
      <c r="CR29" s="303">
        <f t="shared" si="42"/>
        <v>0</v>
      </c>
      <c r="CS29" s="272">
        <f t="shared" si="42"/>
        <v>0</v>
      </c>
      <c r="CT29" s="272">
        <f t="shared" si="42"/>
        <v>0</v>
      </c>
      <c r="CU29" s="272">
        <f t="shared" si="42"/>
        <v>0</v>
      </c>
      <c r="CV29" s="272">
        <f t="shared" si="42"/>
        <v>0</v>
      </c>
      <c r="CW29" s="303">
        <f t="shared" si="42"/>
        <v>1546272213</v>
      </c>
      <c r="CX29" s="272">
        <f t="shared" si="42"/>
        <v>0</v>
      </c>
      <c r="CY29" s="272">
        <f t="shared" si="42"/>
        <v>0</v>
      </c>
      <c r="CZ29" s="272">
        <f t="shared" si="42"/>
        <v>0</v>
      </c>
      <c r="DA29" s="272">
        <f t="shared" si="42"/>
        <v>0</v>
      </c>
      <c r="DB29" s="272">
        <f t="shared" si="42"/>
        <v>0</v>
      </c>
      <c r="DC29" s="272">
        <f t="shared" si="42"/>
        <v>0</v>
      </c>
      <c r="DD29" s="272">
        <f t="shared" si="42"/>
        <v>0</v>
      </c>
      <c r="DE29" s="272">
        <f t="shared" si="42"/>
        <v>0</v>
      </c>
      <c r="DF29" s="272">
        <f t="shared" si="42"/>
        <v>0</v>
      </c>
      <c r="DG29" s="272">
        <f t="shared" si="42"/>
        <v>0</v>
      </c>
      <c r="DH29" s="272">
        <f t="shared" si="42"/>
        <v>0</v>
      </c>
      <c r="DI29" s="272">
        <f t="shared" si="42"/>
        <v>0</v>
      </c>
      <c r="DJ29" s="272">
        <f t="shared" si="42"/>
        <v>0</v>
      </c>
      <c r="DK29" s="272">
        <f t="shared" si="42"/>
        <v>0</v>
      </c>
      <c r="DL29" s="272">
        <f t="shared" si="42"/>
        <v>0</v>
      </c>
      <c r="DM29" s="272">
        <f>DM30+DM31</f>
        <v>0</v>
      </c>
      <c r="DN29" s="272">
        <f t="shared" si="42"/>
        <v>0</v>
      </c>
      <c r="DO29" s="272">
        <f t="shared" si="42"/>
        <v>0</v>
      </c>
      <c r="DP29" s="272">
        <f t="shared" si="42"/>
        <v>0</v>
      </c>
      <c r="DQ29" s="272">
        <f t="shared" si="42"/>
        <v>0</v>
      </c>
      <c r="DR29" s="272">
        <f t="shared" si="42"/>
        <v>0</v>
      </c>
      <c r="DS29" s="272">
        <f t="shared" si="42"/>
        <v>0</v>
      </c>
      <c r="DT29" s="272">
        <f t="shared" si="42"/>
        <v>0</v>
      </c>
      <c r="DU29" s="272">
        <f t="shared" si="42"/>
        <v>0</v>
      </c>
      <c r="DV29" s="272">
        <f t="shared" si="42"/>
        <v>0</v>
      </c>
      <c r="DW29" s="272">
        <f t="shared" si="42"/>
        <v>0</v>
      </c>
      <c r="DX29" s="272">
        <f t="shared" si="42"/>
        <v>0</v>
      </c>
      <c r="DY29" s="272">
        <f t="shared" si="42"/>
        <v>0</v>
      </c>
      <c r="DZ29" s="272">
        <f t="shared" si="42"/>
        <v>0</v>
      </c>
      <c r="EA29" s="272">
        <f t="shared" si="42"/>
        <v>0</v>
      </c>
      <c r="EB29" s="272">
        <f t="shared" si="42"/>
        <v>0</v>
      </c>
      <c r="EC29" s="272">
        <f t="shared" si="42"/>
        <v>0</v>
      </c>
      <c r="ED29" s="272">
        <f t="shared" si="42"/>
        <v>0</v>
      </c>
      <c r="EE29" s="272">
        <f t="shared" si="42"/>
        <v>0</v>
      </c>
      <c r="EF29" s="272">
        <f t="shared" si="42"/>
        <v>0</v>
      </c>
      <c r="EG29" s="272">
        <f t="shared" si="42"/>
        <v>0</v>
      </c>
      <c r="EH29" s="272">
        <f t="shared" si="42"/>
        <v>0</v>
      </c>
      <c r="EI29" s="272">
        <f>EI30+EI31</f>
        <v>0</v>
      </c>
      <c r="EJ29" s="272">
        <f>EJ30+EJ31</f>
        <v>0</v>
      </c>
      <c r="EK29" s="272">
        <f t="shared" si="42"/>
        <v>0</v>
      </c>
      <c r="EL29" s="272">
        <f t="shared" si="42"/>
        <v>0</v>
      </c>
      <c r="EM29" s="272">
        <f t="shared" si="42"/>
        <v>0</v>
      </c>
      <c r="EN29" s="272">
        <f t="shared" si="42"/>
        <v>1546272213</v>
      </c>
      <c r="EO29" s="272">
        <f t="shared" si="42"/>
        <v>0</v>
      </c>
      <c r="EP29" s="272">
        <f t="shared" si="42"/>
        <v>0</v>
      </c>
      <c r="EQ29" s="272">
        <f t="shared" si="42"/>
        <v>0</v>
      </c>
      <c r="ER29" s="303">
        <f t="shared" si="42"/>
        <v>0</v>
      </c>
      <c r="ES29" s="303">
        <f t="shared" ref="ES29:GB29" si="43">ES30+ES31</f>
        <v>0</v>
      </c>
      <c r="ET29" s="303">
        <f t="shared" si="43"/>
        <v>0</v>
      </c>
      <c r="EU29" s="272">
        <f t="shared" si="43"/>
        <v>0</v>
      </c>
      <c r="EV29" s="272">
        <f t="shared" si="43"/>
        <v>0</v>
      </c>
      <c r="EW29" s="272">
        <f t="shared" si="43"/>
        <v>0</v>
      </c>
      <c r="EX29" s="272">
        <f t="shared" si="43"/>
        <v>0</v>
      </c>
      <c r="EY29" s="272">
        <f>EY30+EY31</f>
        <v>0</v>
      </c>
      <c r="EZ29" s="272">
        <f>EZ30+EZ31</f>
        <v>0</v>
      </c>
      <c r="FA29" s="272">
        <f t="shared" si="43"/>
        <v>0</v>
      </c>
      <c r="FB29" s="272">
        <f t="shared" si="43"/>
        <v>0</v>
      </c>
      <c r="FC29" s="272">
        <f t="shared" si="43"/>
        <v>0</v>
      </c>
      <c r="FD29" s="272">
        <f t="shared" si="43"/>
        <v>0</v>
      </c>
      <c r="FE29" s="272">
        <f t="shared" si="43"/>
        <v>0</v>
      </c>
      <c r="FF29" s="272">
        <f t="shared" si="43"/>
        <v>0</v>
      </c>
      <c r="FG29" s="272">
        <f t="shared" si="43"/>
        <v>0</v>
      </c>
      <c r="FH29" s="272">
        <f t="shared" si="43"/>
        <v>0</v>
      </c>
      <c r="FI29" s="272">
        <f t="shared" si="43"/>
        <v>0</v>
      </c>
      <c r="FJ29" s="272">
        <f t="shared" si="43"/>
        <v>0</v>
      </c>
      <c r="FK29" s="272">
        <f t="shared" si="43"/>
        <v>0</v>
      </c>
      <c r="FL29" s="272">
        <f t="shared" si="43"/>
        <v>0</v>
      </c>
      <c r="FM29" s="272">
        <f t="shared" si="43"/>
        <v>0</v>
      </c>
      <c r="FN29" s="272">
        <f t="shared" si="43"/>
        <v>0</v>
      </c>
      <c r="FO29" s="272">
        <f t="shared" si="43"/>
        <v>0</v>
      </c>
      <c r="FP29" s="272">
        <f t="shared" si="43"/>
        <v>0</v>
      </c>
      <c r="FQ29" s="272">
        <f t="shared" si="43"/>
        <v>0</v>
      </c>
      <c r="FR29" s="272">
        <f t="shared" si="43"/>
        <v>0</v>
      </c>
      <c r="FS29" s="272">
        <f t="shared" si="43"/>
        <v>0</v>
      </c>
      <c r="FT29" s="272">
        <f t="shared" si="43"/>
        <v>0</v>
      </c>
      <c r="FU29" s="272">
        <f t="shared" si="43"/>
        <v>0</v>
      </c>
      <c r="FV29" s="303">
        <f t="shared" si="43"/>
        <v>0</v>
      </c>
      <c r="FW29" s="303">
        <f t="shared" si="43"/>
        <v>0</v>
      </c>
      <c r="FX29" s="303">
        <f t="shared" si="43"/>
        <v>0</v>
      </c>
      <c r="FY29" s="272">
        <f t="shared" si="43"/>
        <v>0</v>
      </c>
      <c r="FZ29" s="272">
        <f t="shared" si="43"/>
        <v>0</v>
      </c>
      <c r="GA29" s="272">
        <f t="shared" si="43"/>
        <v>0</v>
      </c>
      <c r="GB29" s="303">
        <f t="shared" si="43"/>
        <v>0</v>
      </c>
      <c r="GC29" s="328">
        <f>CP29/C29</f>
        <v>1</v>
      </c>
      <c r="GD29" s="328"/>
      <c r="GE29" s="328">
        <f>CW29/J29</f>
        <v>1</v>
      </c>
      <c r="GF29" s="328"/>
      <c r="GG29" s="328"/>
    </row>
    <row r="30" spans="1:189" s="264" customFormat="1" ht="17.25" customHeight="1">
      <c r="A30" s="227"/>
      <c r="B30" s="228" t="s">
        <v>183</v>
      </c>
      <c r="C30" s="270">
        <f>D30+BE30+CI30</f>
        <v>0</v>
      </c>
      <c r="D30" s="270">
        <f>E30+J30</f>
        <v>0</v>
      </c>
      <c r="E30" s="270">
        <f>SUM(F30:I30)</f>
        <v>0</v>
      </c>
      <c r="F30" s="229"/>
      <c r="G30" s="229"/>
      <c r="H30" s="229"/>
      <c r="I30" s="229"/>
      <c r="J30" s="270">
        <f>SUM(K30:BD30)</f>
        <v>0</v>
      </c>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70">
        <f>SUM(BF30:BG30)</f>
        <v>0</v>
      </c>
      <c r="BF30" s="270">
        <f>SUM(BH30:BI30)+BJ30+SUM(BL30:BN30)+BW30+CE30</f>
        <v>0</v>
      </c>
      <c r="BG30" s="270">
        <f>BK30+SUM(BO30:BV30)+SUM(BX30:CD30)+SUM(CF30:CH30)</f>
        <v>0</v>
      </c>
      <c r="BH30" s="229"/>
      <c r="BI30" s="229"/>
      <c r="BJ30" s="229"/>
      <c r="BK30" s="229"/>
      <c r="BL30" s="229"/>
      <c r="BM30" s="229"/>
      <c r="BN30" s="229"/>
      <c r="BO30" s="229"/>
      <c r="BP30" s="229"/>
      <c r="BQ30" s="229"/>
      <c r="BR30" s="229"/>
      <c r="BS30" s="229"/>
      <c r="BT30" s="229"/>
      <c r="BU30" s="229"/>
      <c r="BV30" s="229"/>
      <c r="BW30" s="229"/>
      <c r="BX30" s="229"/>
      <c r="BY30" s="229"/>
      <c r="BZ30" s="229"/>
      <c r="CA30" s="229"/>
      <c r="CB30" s="229"/>
      <c r="CC30" s="229"/>
      <c r="CD30" s="229"/>
      <c r="CE30" s="229"/>
      <c r="CF30" s="229"/>
      <c r="CG30" s="229"/>
      <c r="CH30" s="229"/>
      <c r="CI30" s="270">
        <f>SUM(CJ30:CK30)</f>
        <v>0</v>
      </c>
      <c r="CJ30" s="270">
        <f>SUM(CL30:CL30)</f>
        <v>0</v>
      </c>
      <c r="CK30" s="270">
        <f>SUM(CM30:CN30)</f>
        <v>0</v>
      </c>
      <c r="CL30" s="229"/>
      <c r="CM30" s="229"/>
      <c r="CN30" s="229"/>
      <c r="CO30" s="271" t="s">
        <v>183</v>
      </c>
      <c r="CP30" s="303">
        <f>CQ30+ER30+FV30+GB30</f>
        <v>0</v>
      </c>
      <c r="CQ30" s="303">
        <f>CR30+CW30</f>
        <v>0</v>
      </c>
      <c r="CR30" s="303">
        <f>SUM(CS30:CV30)</f>
        <v>0</v>
      </c>
      <c r="CS30" s="272"/>
      <c r="CT30" s="272"/>
      <c r="CU30" s="272"/>
      <c r="CV30" s="272"/>
      <c r="CW30" s="303">
        <f>SUM(CX30:EQ30)</f>
        <v>0</v>
      </c>
      <c r="CX30" s="272"/>
      <c r="CY30" s="272"/>
      <c r="CZ30" s="272"/>
      <c r="DA30" s="272"/>
      <c r="DB30" s="272"/>
      <c r="DC30" s="272"/>
      <c r="DD30" s="272"/>
      <c r="DE30" s="272"/>
      <c r="DF30" s="272"/>
      <c r="DG30" s="272"/>
      <c r="DH30" s="272"/>
      <c r="DI30" s="272"/>
      <c r="DJ30" s="272"/>
      <c r="DK30" s="272"/>
      <c r="DL30" s="272"/>
      <c r="DM30" s="272"/>
      <c r="DN30" s="272"/>
      <c r="DO30" s="272"/>
      <c r="DP30" s="272"/>
      <c r="DQ30" s="272"/>
      <c r="DR30" s="272"/>
      <c r="DS30" s="272"/>
      <c r="DT30" s="272"/>
      <c r="DU30" s="272"/>
      <c r="DV30" s="272"/>
      <c r="DW30" s="272"/>
      <c r="DX30" s="272"/>
      <c r="DY30" s="272"/>
      <c r="DZ30" s="272"/>
      <c r="EA30" s="272"/>
      <c r="EB30" s="272"/>
      <c r="EC30" s="272"/>
      <c r="ED30" s="272"/>
      <c r="EE30" s="272"/>
      <c r="EF30" s="272"/>
      <c r="EG30" s="272"/>
      <c r="EH30" s="272"/>
      <c r="EI30" s="272"/>
      <c r="EJ30" s="272"/>
      <c r="EK30" s="272"/>
      <c r="EL30" s="272"/>
      <c r="EM30" s="272"/>
      <c r="EN30" s="272"/>
      <c r="EO30" s="272"/>
      <c r="EP30" s="272"/>
      <c r="EQ30" s="272"/>
      <c r="ER30" s="303">
        <f>SUM(ES30:ET30)</f>
        <v>0</v>
      </c>
      <c r="ES30" s="303">
        <f>SUM(EU30:EV30)+EW30+SUM(EY30:FA30)+FJ30+FR30</f>
        <v>0</v>
      </c>
      <c r="ET30" s="303">
        <f>EX30+SUM(FB30:FI30)+SUM(FK30:FQ30)+SUM(FS30:FU30)</f>
        <v>0</v>
      </c>
      <c r="EU30" s="272"/>
      <c r="EV30" s="272"/>
      <c r="EW30" s="272"/>
      <c r="EX30" s="272"/>
      <c r="EY30" s="272"/>
      <c r="EZ30" s="272"/>
      <c r="FA30" s="272"/>
      <c r="FB30" s="272"/>
      <c r="FC30" s="272"/>
      <c r="FD30" s="272"/>
      <c r="FE30" s="272"/>
      <c r="FF30" s="272"/>
      <c r="FG30" s="272"/>
      <c r="FH30" s="272"/>
      <c r="FI30" s="272"/>
      <c r="FJ30" s="272"/>
      <c r="FK30" s="272"/>
      <c r="FL30" s="272"/>
      <c r="FM30" s="272"/>
      <c r="FN30" s="272"/>
      <c r="FO30" s="272"/>
      <c r="FP30" s="272"/>
      <c r="FQ30" s="272"/>
      <c r="FR30" s="272"/>
      <c r="FS30" s="272"/>
      <c r="FT30" s="272"/>
      <c r="FU30" s="272"/>
      <c r="FV30" s="303">
        <f>SUM(FW30:FX30)</f>
        <v>0</v>
      </c>
      <c r="FW30" s="303">
        <f>SUM(FY30:FY30)</f>
        <v>0</v>
      </c>
      <c r="FX30" s="303">
        <f>SUM(FZ30:GA30)</f>
        <v>0</v>
      </c>
      <c r="FY30" s="272"/>
      <c r="FZ30" s="272"/>
      <c r="GA30" s="272"/>
      <c r="GB30" s="303"/>
      <c r="GC30" s="328"/>
      <c r="GD30" s="328"/>
      <c r="GE30" s="328"/>
      <c r="GF30" s="328"/>
      <c r="GG30" s="328"/>
    </row>
    <row r="31" spans="1:189" s="264" customFormat="1" ht="17.25" customHeight="1">
      <c r="A31" s="227"/>
      <c r="B31" s="228" t="s">
        <v>184</v>
      </c>
      <c r="C31" s="270">
        <f>D31+BE31+CI31</f>
        <v>1546272213</v>
      </c>
      <c r="D31" s="270">
        <f>E31+J31</f>
        <v>1546272213</v>
      </c>
      <c r="E31" s="270">
        <f>SUM(F31:I31)</f>
        <v>0</v>
      </c>
      <c r="F31" s="229"/>
      <c r="G31" s="229"/>
      <c r="H31" s="229"/>
      <c r="I31" s="229"/>
      <c r="J31" s="270">
        <f>SUM(K31:BD31)</f>
        <v>1546272213</v>
      </c>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v>1546272213</v>
      </c>
      <c r="BB31" s="229"/>
      <c r="BC31" s="229"/>
      <c r="BD31" s="229"/>
      <c r="BE31" s="270">
        <f>SUM(BF31:BG31)</f>
        <v>0</v>
      </c>
      <c r="BF31" s="270">
        <f>SUM(BH31:BI31)+BJ31+SUM(BL31:BN31)+BW31+CE31</f>
        <v>0</v>
      </c>
      <c r="BG31" s="270">
        <f>BK31+SUM(BO31:BV31)+SUM(BX31:CD31)+SUM(CF31:CH31)</f>
        <v>0</v>
      </c>
      <c r="BH31" s="229"/>
      <c r="BI31" s="229"/>
      <c r="BJ31" s="229"/>
      <c r="BK31" s="229"/>
      <c r="BL31" s="229"/>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70">
        <f>SUM(CJ31:CK31)</f>
        <v>0</v>
      </c>
      <c r="CJ31" s="270">
        <f>SUM(CL31:CL31)</f>
        <v>0</v>
      </c>
      <c r="CK31" s="270">
        <f>SUM(CM31:CN31)</f>
        <v>0</v>
      </c>
      <c r="CL31" s="229"/>
      <c r="CM31" s="229"/>
      <c r="CN31" s="229"/>
      <c r="CO31" s="271" t="s">
        <v>184</v>
      </c>
      <c r="CP31" s="303">
        <f>CQ31+ER31+FV31+GB31</f>
        <v>1546272213</v>
      </c>
      <c r="CQ31" s="303">
        <f>CR31+CW31</f>
        <v>1546272213</v>
      </c>
      <c r="CR31" s="303">
        <f>SUM(CS31:CV31)</f>
        <v>0</v>
      </c>
      <c r="CS31" s="272"/>
      <c r="CT31" s="272"/>
      <c r="CU31" s="272"/>
      <c r="CV31" s="272"/>
      <c r="CW31" s="303">
        <f>SUM(CX31:EQ31)</f>
        <v>1546272213</v>
      </c>
      <c r="CX31" s="272"/>
      <c r="CY31" s="272"/>
      <c r="CZ31" s="272"/>
      <c r="DA31" s="272"/>
      <c r="DB31" s="272"/>
      <c r="DC31" s="272"/>
      <c r="DD31" s="272"/>
      <c r="DE31" s="272"/>
      <c r="DF31" s="272"/>
      <c r="DG31" s="272"/>
      <c r="DH31" s="272"/>
      <c r="DI31" s="272"/>
      <c r="DJ31" s="272"/>
      <c r="DK31" s="272"/>
      <c r="DL31" s="272"/>
      <c r="DM31" s="272"/>
      <c r="DN31" s="272"/>
      <c r="DO31" s="272"/>
      <c r="DP31" s="272"/>
      <c r="DQ31" s="272"/>
      <c r="DR31" s="272"/>
      <c r="DS31" s="272"/>
      <c r="DT31" s="272"/>
      <c r="DU31" s="272"/>
      <c r="DV31" s="272"/>
      <c r="DW31" s="272"/>
      <c r="DX31" s="272"/>
      <c r="DY31" s="272"/>
      <c r="DZ31" s="272"/>
      <c r="EA31" s="272"/>
      <c r="EB31" s="272"/>
      <c r="EC31" s="272"/>
      <c r="ED31" s="272"/>
      <c r="EE31" s="272"/>
      <c r="EF31" s="272"/>
      <c r="EG31" s="272"/>
      <c r="EH31" s="272"/>
      <c r="EI31" s="272"/>
      <c r="EJ31" s="272"/>
      <c r="EK31" s="272"/>
      <c r="EL31" s="272"/>
      <c r="EM31" s="272"/>
      <c r="EN31" s="272">
        <v>1546272213</v>
      </c>
      <c r="EO31" s="272"/>
      <c r="EP31" s="272"/>
      <c r="EQ31" s="272"/>
      <c r="ER31" s="303">
        <f>SUM(ES31:ET31)</f>
        <v>0</v>
      </c>
      <c r="ES31" s="303">
        <f>SUM(EU31:EV31)+EW31+SUM(EY31:FA31)+FJ31+FR31</f>
        <v>0</v>
      </c>
      <c r="ET31" s="303">
        <f>EX31+SUM(FB31:FI31)+SUM(FK31:FQ31)+SUM(FS31:FU31)</f>
        <v>0</v>
      </c>
      <c r="EU31" s="272"/>
      <c r="EV31" s="272"/>
      <c r="EW31" s="272"/>
      <c r="EX31" s="272"/>
      <c r="EY31" s="272"/>
      <c r="EZ31" s="272"/>
      <c r="FA31" s="272"/>
      <c r="FB31" s="272"/>
      <c r="FC31" s="272"/>
      <c r="FD31" s="272"/>
      <c r="FE31" s="272"/>
      <c r="FF31" s="272"/>
      <c r="FG31" s="272"/>
      <c r="FH31" s="272"/>
      <c r="FI31" s="272"/>
      <c r="FJ31" s="272"/>
      <c r="FK31" s="272"/>
      <c r="FL31" s="272"/>
      <c r="FM31" s="272"/>
      <c r="FN31" s="272"/>
      <c r="FO31" s="272"/>
      <c r="FP31" s="272"/>
      <c r="FQ31" s="272"/>
      <c r="FR31" s="272"/>
      <c r="FS31" s="272"/>
      <c r="FT31" s="272"/>
      <c r="FU31" s="272"/>
      <c r="FV31" s="303">
        <f>SUM(FW31:FX31)</f>
        <v>0</v>
      </c>
      <c r="FW31" s="303">
        <f>SUM(FY31:FY31)</f>
        <v>0</v>
      </c>
      <c r="FX31" s="303">
        <f>SUM(FZ31:GA31)</f>
        <v>0</v>
      </c>
      <c r="FY31" s="272"/>
      <c r="FZ31" s="272"/>
      <c r="GA31" s="272"/>
      <c r="GB31" s="303"/>
      <c r="GC31" s="328">
        <f>CP31/C31</f>
        <v>1</v>
      </c>
      <c r="GD31" s="328"/>
      <c r="GE31" s="328">
        <f>CW31/J31</f>
        <v>1</v>
      </c>
      <c r="GF31" s="328"/>
      <c r="GG31" s="328"/>
    </row>
    <row r="32" spans="1:189" s="264" customFormat="1" ht="17.25" customHeight="1">
      <c r="A32" s="227">
        <v>7</v>
      </c>
      <c r="B32" s="228" t="s">
        <v>395</v>
      </c>
      <c r="C32" s="270">
        <f t="shared" ref="C32:AI32" si="44">C33+C34</f>
        <v>19324676084</v>
      </c>
      <c r="D32" s="270">
        <f t="shared" si="44"/>
        <v>14925676084</v>
      </c>
      <c r="E32" s="270">
        <f t="shared" si="44"/>
        <v>0</v>
      </c>
      <c r="F32" s="229">
        <f t="shared" si="44"/>
        <v>0</v>
      </c>
      <c r="G32" s="229">
        <f t="shared" si="44"/>
        <v>0</v>
      </c>
      <c r="H32" s="229">
        <f t="shared" si="44"/>
        <v>0</v>
      </c>
      <c r="I32" s="229">
        <f t="shared" si="44"/>
        <v>0</v>
      </c>
      <c r="J32" s="270">
        <f t="shared" si="44"/>
        <v>14925676084</v>
      </c>
      <c r="K32" s="229">
        <f t="shared" si="44"/>
        <v>0</v>
      </c>
      <c r="L32" s="229">
        <f t="shared" si="44"/>
        <v>0</v>
      </c>
      <c r="M32" s="229">
        <f t="shared" si="44"/>
        <v>0</v>
      </c>
      <c r="N32" s="229">
        <f t="shared" si="44"/>
        <v>0</v>
      </c>
      <c r="O32" s="229">
        <f t="shared" si="44"/>
        <v>0</v>
      </c>
      <c r="P32" s="229">
        <f t="shared" si="44"/>
        <v>0</v>
      </c>
      <c r="Q32" s="229">
        <f t="shared" si="44"/>
        <v>0</v>
      </c>
      <c r="R32" s="229">
        <f t="shared" si="44"/>
        <v>0</v>
      </c>
      <c r="S32" s="229">
        <f t="shared" si="44"/>
        <v>0</v>
      </c>
      <c r="T32" s="229">
        <f t="shared" si="44"/>
        <v>0</v>
      </c>
      <c r="U32" s="229">
        <f t="shared" si="44"/>
        <v>0</v>
      </c>
      <c r="V32" s="229">
        <f t="shared" si="44"/>
        <v>0</v>
      </c>
      <c r="W32" s="229">
        <f t="shared" si="44"/>
        <v>0</v>
      </c>
      <c r="X32" s="229">
        <f t="shared" si="44"/>
        <v>0</v>
      </c>
      <c r="Y32" s="229">
        <f t="shared" si="44"/>
        <v>0</v>
      </c>
      <c r="Z32" s="229">
        <f t="shared" si="44"/>
        <v>0</v>
      </c>
      <c r="AA32" s="229">
        <f t="shared" si="44"/>
        <v>0</v>
      </c>
      <c r="AB32" s="229">
        <f t="shared" si="44"/>
        <v>315080670</v>
      </c>
      <c r="AC32" s="229">
        <f t="shared" si="44"/>
        <v>0</v>
      </c>
      <c r="AD32" s="229">
        <f t="shared" si="44"/>
        <v>0</v>
      </c>
      <c r="AE32" s="229">
        <f t="shared" si="44"/>
        <v>0</v>
      </c>
      <c r="AF32" s="229">
        <f t="shared" si="44"/>
        <v>0</v>
      </c>
      <c r="AG32" s="229">
        <f t="shared" si="44"/>
        <v>0</v>
      </c>
      <c r="AH32" s="229">
        <f t="shared" si="44"/>
        <v>0</v>
      </c>
      <c r="AI32" s="229">
        <f t="shared" si="44"/>
        <v>0</v>
      </c>
      <c r="AJ32" s="229">
        <f t="shared" ref="AJ32:AO32" si="45">AJ33+AJ34</f>
        <v>0</v>
      </c>
      <c r="AK32" s="229">
        <f t="shared" si="45"/>
        <v>0</v>
      </c>
      <c r="AL32" s="229">
        <f t="shared" si="45"/>
        <v>0</v>
      </c>
      <c r="AM32" s="229">
        <f t="shared" si="45"/>
        <v>0</v>
      </c>
      <c r="AN32" s="229">
        <f t="shared" si="45"/>
        <v>0</v>
      </c>
      <c r="AO32" s="229">
        <f t="shared" si="45"/>
        <v>7921741000</v>
      </c>
      <c r="AP32" s="229">
        <f t="shared" ref="AP32:AU32" si="46">AP33+AP34</f>
        <v>1314429823</v>
      </c>
      <c r="AQ32" s="229">
        <f t="shared" si="46"/>
        <v>0</v>
      </c>
      <c r="AR32" s="229">
        <f t="shared" si="46"/>
        <v>0</v>
      </c>
      <c r="AS32" s="229">
        <f t="shared" si="46"/>
        <v>0</v>
      </c>
      <c r="AT32" s="229">
        <f t="shared" si="46"/>
        <v>0</v>
      </c>
      <c r="AU32" s="229">
        <f t="shared" si="46"/>
        <v>33000000</v>
      </c>
      <c r="AV32" s="229">
        <f>AV33+AV34</f>
        <v>0</v>
      </c>
      <c r="AW32" s="229">
        <f>AW33+AW34</f>
        <v>0</v>
      </c>
      <c r="AX32" s="229">
        <f t="shared" ref="AX32:CN32" si="47">AX33+AX34</f>
        <v>0</v>
      </c>
      <c r="AY32" s="229">
        <f t="shared" si="47"/>
        <v>0</v>
      </c>
      <c r="AZ32" s="229">
        <f t="shared" si="47"/>
        <v>0</v>
      </c>
      <c r="BA32" s="229">
        <f t="shared" si="47"/>
        <v>5341424591</v>
      </c>
      <c r="BB32" s="229">
        <f t="shared" si="47"/>
        <v>0</v>
      </c>
      <c r="BC32" s="229">
        <f t="shared" si="47"/>
        <v>0</v>
      </c>
      <c r="BD32" s="229">
        <f t="shared" si="47"/>
        <v>0</v>
      </c>
      <c r="BE32" s="270">
        <f t="shared" si="47"/>
        <v>4304000000</v>
      </c>
      <c r="BF32" s="270">
        <f t="shared" si="47"/>
        <v>0</v>
      </c>
      <c r="BG32" s="270">
        <f t="shared" si="47"/>
        <v>4304000000</v>
      </c>
      <c r="BH32" s="229">
        <f t="shared" si="47"/>
        <v>0</v>
      </c>
      <c r="BI32" s="229">
        <f t="shared" si="47"/>
        <v>0</v>
      </c>
      <c r="BJ32" s="229">
        <f t="shared" si="47"/>
        <v>0</v>
      </c>
      <c r="BK32" s="229">
        <f t="shared" si="47"/>
        <v>0</v>
      </c>
      <c r="BL32" s="229">
        <f>BL33+BL34</f>
        <v>0</v>
      </c>
      <c r="BM32" s="229">
        <f>BM33+BM34</f>
        <v>0</v>
      </c>
      <c r="BN32" s="229">
        <f t="shared" si="47"/>
        <v>0</v>
      </c>
      <c r="BO32" s="229">
        <f t="shared" si="47"/>
        <v>0</v>
      </c>
      <c r="BP32" s="229">
        <f t="shared" si="47"/>
        <v>0</v>
      </c>
      <c r="BQ32" s="229">
        <f t="shared" si="47"/>
        <v>0</v>
      </c>
      <c r="BR32" s="229">
        <f t="shared" si="47"/>
        <v>0</v>
      </c>
      <c r="BS32" s="229">
        <f t="shared" si="47"/>
        <v>0</v>
      </c>
      <c r="BT32" s="229">
        <f t="shared" si="47"/>
        <v>0</v>
      </c>
      <c r="BU32" s="229">
        <f t="shared" si="47"/>
        <v>0</v>
      </c>
      <c r="BV32" s="229">
        <f t="shared" si="47"/>
        <v>0</v>
      </c>
      <c r="BW32" s="229">
        <f t="shared" si="47"/>
        <v>0</v>
      </c>
      <c r="BX32" s="229">
        <f t="shared" si="47"/>
        <v>4304000000</v>
      </c>
      <c r="BY32" s="229">
        <f t="shared" si="47"/>
        <v>0</v>
      </c>
      <c r="BZ32" s="229">
        <f t="shared" si="47"/>
        <v>0</v>
      </c>
      <c r="CA32" s="229">
        <f t="shared" si="47"/>
        <v>0</v>
      </c>
      <c r="CB32" s="229">
        <f t="shared" si="47"/>
        <v>0</v>
      </c>
      <c r="CC32" s="229">
        <f t="shared" si="47"/>
        <v>0</v>
      </c>
      <c r="CD32" s="229">
        <f t="shared" si="47"/>
        <v>0</v>
      </c>
      <c r="CE32" s="229">
        <f t="shared" si="47"/>
        <v>0</v>
      </c>
      <c r="CF32" s="229">
        <f t="shared" si="47"/>
        <v>0</v>
      </c>
      <c r="CG32" s="229">
        <f t="shared" si="47"/>
        <v>0</v>
      </c>
      <c r="CH32" s="229">
        <f t="shared" si="47"/>
        <v>0</v>
      </c>
      <c r="CI32" s="270">
        <f t="shared" si="47"/>
        <v>95000000</v>
      </c>
      <c r="CJ32" s="270">
        <f t="shared" si="47"/>
        <v>0</v>
      </c>
      <c r="CK32" s="270">
        <f t="shared" si="47"/>
        <v>95000000</v>
      </c>
      <c r="CL32" s="229">
        <f t="shared" si="47"/>
        <v>0</v>
      </c>
      <c r="CM32" s="229">
        <f t="shared" si="47"/>
        <v>0</v>
      </c>
      <c r="CN32" s="229">
        <f t="shared" si="47"/>
        <v>95000000</v>
      </c>
      <c r="CO32" s="271" t="s">
        <v>399</v>
      </c>
      <c r="CP32" s="303">
        <f t="shared" ref="CP32:ER32" si="48">CP33+CP34</f>
        <v>19324676084</v>
      </c>
      <c r="CQ32" s="303">
        <f t="shared" si="48"/>
        <v>14925676084</v>
      </c>
      <c r="CR32" s="303">
        <f t="shared" si="48"/>
        <v>0</v>
      </c>
      <c r="CS32" s="272">
        <f t="shared" si="48"/>
        <v>0</v>
      </c>
      <c r="CT32" s="272">
        <f t="shared" si="48"/>
        <v>0</v>
      </c>
      <c r="CU32" s="272">
        <f t="shared" si="48"/>
        <v>0</v>
      </c>
      <c r="CV32" s="272">
        <f t="shared" si="48"/>
        <v>0</v>
      </c>
      <c r="CW32" s="303">
        <f t="shared" si="48"/>
        <v>14925676084</v>
      </c>
      <c r="CX32" s="272">
        <f t="shared" si="48"/>
        <v>0</v>
      </c>
      <c r="CY32" s="272">
        <f t="shared" si="48"/>
        <v>0</v>
      </c>
      <c r="CZ32" s="272">
        <f t="shared" si="48"/>
        <v>0</v>
      </c>
      <c r="DA32" s="272">
        <f t="shared" si="48"/>
        <v>0</v>
      </c>
      <c r="DB32" s="272">
        <f t="shared" si="48"/>
        <v>0</v>
      </c>
      <c r="DC32" s="272">
        <f t="shared" si="48"/>
        <v>0</v>
      </c>
      <c r="DD32" s="272">
        <f t="shared" si="48"/>
        <v>0</v>
      </c>
      <c r="DE32" s="272">
        <f t="shared" si="48"/>
        <v>0</v>
      </c>
      <c r="DF32" s="272">
        <f t="shared" si="48"/>
        <v>0</v>
      </c>
      <c r="DG32" s="272">
        <f t="shared" si="48"/>
        <v>0</v>
      </c>
      <c r="DH32" s="272">
        <f t="shared" si="48"/>
        <v>0</v>
      </c>
      <c r="DI32" s="272">
        <f t="shared" si="48"/>
        <v>0</v>
      </c>
      <c r="DJ32" s="272">
        <f t="shared" si="48"/>
        <v>0</v>
      </c>
      <c r="DK32" s="272">
        <f t="shared" si="48"/>
        <v>0</v>
      </c>
      <c r="DL32" s="272">
        <f t="shared" si="48"/>
        <v>0</v>
      </c>
      <c r="DM32" s="272">
        <f>DM33+DM34</f>
        <v>0</v>
      </c>
      <c r="DN32" s="272">
        <f t="shared" si="48"/>
        <v>0</v>
      </c>
      <c r="DO32" s="272">
        <f t="shared" si="48"/>
        <v>315080670</v>
      </c>
      <c r="DP32" s="272">
        <f t="shared" si="48"/>
        <v>0</v>
      </c>
      <c r="DQ32" s="272">
        <f t="shared" si="48"/>
        <v>0</v>
      </c>
      <c r="DR32" s="272">
        <f t="shared" si="48"/>
        <v>0</v>
      </c>
      <c r="DS32" s="272">
        <f t="shared" si="48"/>
        <v>0</v>
      </c>
      <c r="DT32" s="272">
        <f t="shared" si="48"/>
        <v>0</v>
      </c>
      <c r="DU32" s="272">
        <f t="shared" si="48"/>
        <v>0</v>
      </c>
      <c r="DV32" s="272">
        <f t="shared" si="48"/>
        <v>0</v>
      </c>
      <c r="DW32" s="272">
        <f t="shared" si="48"/>
        <v>0</v>
      </c>
      <c r="DX32" s="272">
        <f t="shared" si="48"/>
        <v>0</v>
      </c>
      <c r="DY32" s="272">
        <f t="shared" si="48"/>
        <v>0</v>
      </c>
      <c r="DZ32" s="272">
        <f t="shared" si="48"/>
        <v>0</v>
      </c>
      <c r="EA32" s="272">
        <f t="shared" si="48"/>
        <v>0</v>
      </c>
      <c r="EB32" s="272">
        <f t="shared" si="48"/>
        <v>7921741000</v>
      </c>
      <c r="EC32" s="272">
        <f t="shared" si="48"/>
        <v>1314429823</v>
      </c>
      <c r="ED32" s="272">
        <f t="shared" si="48"/>
        <v>0</v>
      </c>
      <c r="EE32" s="272">
        <f t="shared" si="48"/>
        <v>0</v>
      </c>
      <c r="EF32" s="272">
        <f t="shared" si="48"/>
        <v>0</v>
      </c>
      <c r="EG32" s="272">
        <f t="shared" si="48"/>
        <v>0</v>
      </c>
      <c r="EH32" s="272">
        <f t="shared" si="48"/>
        <v>33000000</v>
      </c>
      <c r="EI32" s="272">
        <f>EI33+EI34</f>
        <v>0</v>
      </c>
      <c r="EJ32" s="272">
        <f>EJ33+EJ34</f>
        <v>0</v>
      </c>
      <c r="EK32" s="272">
        <f t="shared" si="48"/>
        <v>0</v>
      </c>
      <c r="EL32" s="272">
        <f t="shared" si="48"/>
        <v>0</v>
      </c>
      <c r="EM32" s="272">
        <f t="shared" si="48"/>
        <v>0</v>
      </c>
      <c r="EN32" s="272">
        <f t="shared" si="48"/>
        <v>5341424591</v>
      </c>
      <c r="EO32" s="272">
        <f t="shared" si="48"/>
        <v>0</v>
      </c>
      <c r="EP32" s="272">
        <f t="shared" si="48"/>
        <v>0</v>
      </c>
      <c r="EQ32" s="272">
        <f t="shared" si="48"/>
        <v>0</v>
      </c>
      <c r="ER32" s="303">
        <f t="shared" si="48"/>
        <v>2890129000</v>
      </c>
      <c r="ES32" s="303">
        <f t="shared" ref="ES32:GB32" si="49">ES33+ES34</f>
        <v>0</v>
      </c>
      <c r="ET32" s="303">
        <f t="shared" si="49"/>
        <v>2890129000</v>
      </c>
      <c r="EU32" s="272">
        <f t="shared" si="49"/>
        <v>0</v>
      </c>
      <c r="EV32" s="272">
        <f t="shared" si="49"/>
        <v>0</v>
      </c>
      <c r="EW32" s="272">
        <f t="shared" si="49"/>
        <v>0</v>
      </c>
      <c r="EX32" s="272">
        <f t="shared" si="49"/>
        <v>0</v>
      </c>
      <c r="EY32" s="272">
        <f>EY33+EY34</f>
        <v>0</v>
      </c>
      <c r="EZ32" s="272">
        <f>EZ33+EZ34</f>
        <v>0</v>
      </c>
      <c r="FA32" s="272">
        <f t="shared" si="49"/>
        <v>0</v>
      </c>
      <c r="FB32" s="272">
        <f t="shared" si="49"/>
        <v>0</v>
      </c>
      <c r="FC32" s="272">
        <f t="shared" si="49"/>
        <v>0</v>
      </c>
      <c r="FD32" s="272">
        <f t="shared" si="49"/>
        <v>0</v>
      </c>
      <c r="FE32" s="272">
        <f t="shared" si="49"/>
        <v>0</v>
      </c>
      <c r="FF32" s="272">
        <f t="shared" si="49"/>
        <v>0</v>
      </c>
      <c r="FG32" s="272">
        <f t="shared" si="49"/>
        <v>0</v>
      </c>
      <c r="FH32" s="272">
        <f t="shared" si="49"/>
        <v>0</v>
      </c>
      <c r="FI32" s="272">
        <f t="shared" si="49"/>
        <v>0</v>
      </c>
      <c r="FJ32" s="272">
        <f t="shared" si="49"/>
        <v>0</v>
      </c>
      <c r="FK32" s="272">
        <f t="shared" si="49"/>
        <v>2890129000</v>
      </c>
      <c r="FL32" s="272">
        <f t="shared" si="49"/>
        <v>0</v>
      </c>
      <c r="FM32" s="272">
        <f t="shared" si="49"/>
        <v>0</v>
      </c>
      <c r="FN32" s="272">
        <f t="shared" si="49"/>
        <v>0</v>
      </c>
      <c r="FO32" s="272">
        <f t="shared" si="49"/>
        <v>0</v>
      </c>
      <c r="FP32" s="272">
        <f t="shared" si="49"/>
        <v>0</v>
      </c>
      <c r="FQ32" s="272">
        <f t="shared" si="49"/>
        <v>0</v>
      </c>
      <c r="FR32" s="272">
        <f t="shared" si="49"/>
        <v>0</v>
      </c>
      <c r="FS32" s="272">
        <f t="shared" si="49"/>
        <v>0</v>
      </c>
      <c r="FT32" s="272">
        <f t="shared" si="49"/>
        <v>0</v>
      </c>
      <c r="FU32" s="272">
        <f t="shared" si="49"/>
        <v>0</v>
      </c>
      <c r="FV32" s="303">
        <f t="shared" si="49"/>
        <v>95000000</v>
      </c>
      <c r="FW32" s="303">
        <f t="shared" si="49"/>
        <v>0</v>
      </c>
      <c r="FX32" s="303">
        <f t="shared" si="49"/>
        <v>95000000</v>
      </c>
      <c r="FY32" s="272">
        <f t="shared" si="49"/>
        <v>0</v>
      </c>
      <c r="FZ32" s="272">
        <f t="shared" si="49"/>
        <v>0</v>
      </c>
      <c r="GA32" s="272">
        <f t="shared" si="49"/>
        <v>95000000</v>
      </c>
      <c r="GB32" s="303">
        <f t="shared" si="49"/>
        <v>1413871000</v>
      </c>
      <c r="GC32" s="328">
        <f>CP32/C32</f>
        <v>1</v>
      </c>
      <c r="GD32" s="328"/>
      <c r="GE32" s="328">
        <f>CW32/J32</f>
        <v>1</v>
      </c>
      <c r="GF32" s="328">
        <f>ER32/BE32</f>
        <v>0.671498373605948</v>
      </c>
      <c r="GG32" s="328">
        <f>FV32/CI32</f>
        <v>1</v>
      </c>
    </row>
    <row r="33" spans="1:189" s="264" customFormat="1" ht="17.25" customHeight="1">
      <c r="A33" s="227"/>
      <c r="B33" s="228" t="s">
        <v>183</v>
      </c>
      <c r="C33" s="270">
        <f>D33+BE33+CI33</f>
        <v>0</v>
      </c>
      <c r="D33" s="270">
        <f>E33+J33</f>
        <v>0</v>
      </c>
      <c r="E33" s="270">
        <f>SUM(F33:I33)</f>
        <v>0</v>
      </c>
      <c r="F33" s="229"/>
      <c r="G33" s="229"/>
      <c r="H33" s="229"/>
      <c r="I33" s="229"/>
      <c r="J33" s="270">
        <f>SUM(K33:BD33)</f>
        <v>0</v>
      </c>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70">
        <f>SUM(BF33:BG33)</f>
        <v>0</v>
      </c>
      <c r="BF33" s="270">
        <f>SUM(BH33:BI33)+BJ33+SUM(BL33:BN33)+BW33+CE33</f>
        <v>0</v>
      </c>
      <c r="BG33" s="270">
        <f>BK33+SUM(BO33:BV33)+SUM(BX33:CD33)+SUM(CF33:CH33)</f>
        <v>0</v>
      </c>
      <c r="BH33" s="229"/>
      <c r="BI33" s="229"/>
      <c r="BJ33" s="229"/>
      <c r="BK33" s="229"/>
      <c r="BL33" s="229"/>
      <c r="BM33" s="229"/>
      <c r="BN33" s="229"/>
      <c r="BO33" s="229"/>
      <c r="BP33" s="229"/>
      <c r="BQ33" s="229"/>
      <c r="BR33" s="229"/>
      <c r="BS33" s="229"/>
      <c r="BT33" s="229"/>
      <c r="BU33" s="229"/>
      <c r="BV33" s="229"/>
      <c r="BW33" s="229"/>
      <c r="BX33" s="229"/>
      <c r="BY33" s="229"/>
      <c r="BZ33" s="229"/>
      <c r="CA33" s="229"/>
      <c r="CB33" s="229"/>
      <c r="CC33" s="229"/>
      <c r="CD33" s="229"/>
      <c r="CE33" s="229"/>
      <c r="CF33" s="229"/>
      <c r="CG33" s="229"/>
      <c r="CH33" s="229"/>
      <c r="CI33" s="270">
        <f>SUM(CJ33:CK33)</f>
        <v>0</v>
      </c>
      <c r="CJ33" s="270">
        <f>SUM(CL33:CL33)</f>
        <v>0</v>
      </c>
      <c r="CK33" s="270">
        <f>SUM(CM33:CN33)</f>
        <v>0</v>
      </c>
      <c r="CL33" s="229"/>
      <c r="CM33" s="229"/>
      <c r="CN33" s="229"/>
      <c r="CO33" s="271" t="s">
        <v>183</v>
      </c>
      <c r="CP33" s="303">
        <f>CQ33+ER33+FV33+GB33</f>
        <v>0</v>
      </c>
      <c r="CQ33" s="303">
        <f>CR33+CW33</f>
        <v>0</v>
      </c>
      <c r="CR33" s="303">
        <f>SUM(CS33:CV33)</f>
        <v>0</v>
      </c>
      <c r="CS33" s="272"/>
      <c r="CT33" s="272"/>
      <c r="CU33" s="272"/>
      <c r="CV33" s="272"/>
      <c r="CW33" s="303">
        <f>SUM(CX33:EQ33)</f>
        <v>0</v>
      </c>
      <c r="CX33" s="272"/>
      <c r="CY33" s="272"/>
      <c r="CZ33" s="272"/>
      <c r="DA33" s="272"/>
      <c r="DB33" s="272"/>
      <c r="DC33" s="272"/>
      <c r="DD33" s="272"/>
      <c r="DE33" s="272"/>
      <c r="DF33" s="272"/>
      <c r="DG33" s="272"/>
      <c r="DH33" s="272"/>
      <c r="DI33" s="272"/>
      <c r="DJ33" s="272"/>
      <c r="DK33" s="272"/>
      <c r="DL33" s="272"/>
      <c r="DM33" s="272"/>
      <c r="DN33" s="272"/>
      <c r="DO33" s="272"/>
      <c r="DP33" s="272"/>
      <c r="DQ33" s="272"/>
      <c r="DR33" s="272"/>
      <c r="DS33" s="272"/>
      <c r="DT33" s="272"/>
      <c r="DU33" s="272"/>
      <c r="DV33" s="272"/>
      <c r="DW33" s="272"/>
      <c r="DX33" s="272"/>
      <c r="DY33" s="272"/>
      <c r="DZ33" s="272"/>
      <c r="EA33" s="272"/>
      <c r="EB33" s="272"/>
      <c r="EC33" s="272"/>
      <c r="ED33" s="272"/>
      <c r="EE33" s="272"/>
      <c r="EF33" s="272"/>
      <c r="EG33" s="272"/>
      <c r="EH33" s="272"/>
      <c r="EI33" s="272"/>
      <c r="EJ33" s="272"/>
      <c r="EK33" s="272"/>
      <c r="EL33" s="272"/>
      <c r="EM33" s="272"/>
      <c r="EN33" s="272"/>
      <c r="EO33" s="272"/>
      <c r="EP33" s="272"/>
      <c r="EQ33" s="272"/>
      <c r="ER33" s="303">
        <f>SUM(ES33:ET33)</f>
        <v>0</v>
      </c>
      <c r="ES33" s="303">
        <f>SUM(EU33:EV33)+EW33+SUM(EY33:FA33)+FJ33+FR33</f>
        <v>0</v>
      </c>
      <c r="ET33" s="303">
        <f>EX33+SUM(FB33:FI33)+SUM(FK33:FQ33)+SUM(FS33:FU33)</f>
        <v>0</v>
      </c>
      <c r="EU33" s="272"/>
      <c r="EV33" s="272"/>
      <c r="EW33" s="272"/>
      <c r="EX33" s="272"/>
      <c r="EY33" s="272"/>
      <c r="EZ33" s="272"/>
      <c r="FA33" s="272"/>
      <c r="FB33" s="272"/>
      <c r="FC33" s="272"/>
      <c r="FD33" s="272"/>
      <c r="FE33" s="272"/>
      <c r="FF33" s="272"/>
      <c r="FG33" s="272"/>
      <c r="FH33" s="272"/>
      <c r="FI33" s="272"/>
      <c r="FJ33" s="272"/>
      <c r="FK33" s="272"/>
      <c r="FL33" s="272"/>
      <c r="FM33" s="272"/>
      <c r="FN33" s="272"/>
      <c r="FO33" s="272"/>
      <c r="FP33" s="272"/>
      <c r="FQ33" s="272"/>
      <c r="FR33" s="272"/>
      <c r="FS33" s="272"/>
      <c r="FT33" s="272"/>
      <c r="FU33" s="272"/>
      <c r="FV33" s="303">
        <f>SUM(FW33:FX33)</f>
        <v>0</v>
      </c>
      <c r="FW33" s="303">
        <f>SUM(FY33:FY33)</f>
        <v>0</v>
      </c>
      <c r="FX33" s="303">
        <f>SUM(FZ33:GA33)</f>
        <v>0</v>
      </c>
      <c r="FY33" s="272"/>
      <c r="FZ33" s="272"/>
      <c r="GA33" s="272"/>
      <c r="GB33" s="303"/>
      <c r="GC33" s="328"/>
      <c r="GD33" s="328"/>
      <c r="GE33" s="328"/>
      <c r="GF33" s="328"/>
      <c r="GG33" s="328"/>
    </row>
    <row r="34" spans="1:189" s="264" customFormat="1" ht="17.25" customHeight="1">
      <c r="A34" s="227"/>
      <c r="B34" s="228" t="s">
        <v>184</v>
      </c>
      <c r="C34" s="270">
        <f>D34+BE34+CI34</f>
        <v>19324676084</v>
      </c>
      <c r="D34" s="270">
        <f>E34+J34</f>
        <v>14925676084</v>
      </c>
      <c r="E34" s="270">
        <f>SUM(F34:I34)</f>
        <v>0</v>
      </c>
      <c r="F34" s="229"/>
      <c r="G34" s="229"/>
      <c r="H34" s="229"/>
      <c r="I34" s="229"/>
      <c r="J34" s="270">
        <f>SUM(K34:BD34)</f>
        <v>14925676084</v>
      </c>
      <c r="K34" s="229"/>
      <c r="L34" s="229"/>
      <c r="M34" s="229"/>
      <c r="N34" s="229"/>
      <c r="O34" s="229"/>
      <c r="P34" s="229"/>
      <c r="Q34" s="229"/>
      <c r="R34" s="229"/>
      <c r="S34" s="229"/>
      <c r="T34" s="229"/>
      <c r="U34" s="229"/>
      <c r="V34" s="229"/>
      <c r="W34" s="229"/>
      <c r="X34" s="229"/>
      <c r="Y34" s="229"/>
      <c r="Z34" s="229"/>
      <c r="AA34" s="229"/>
      <c r="AB34" s="229">
        <v>315080670</v>
      </c>
      <c r="AC34" s="229"/>
      <c r="AD34" s="229"/>
      <c r="AE34" s="229"/>
      <c r="AF34" s="229"/>
      <c r="AG34" s="229"/>
      <c r="AH34" s="229"/>
      <c r="AI34" s="229"/>
      <c r="AJ34" s="229"/>
      <c r="AK34" s="229"/>
      <c r="AL34" s="229"/>
      <c r="AM34" s="229"/>
      <c r="AN34" s="229"/>
      <c r="AO34" s="229">
        <v>7921741000</v>
      </c>
      <c r="AP34" s="229">
        <v>1314429823</v>
      </c>
      <c r="AQ34" s="229"/>
      <c r="AR34" s="229"/>
      <c r="AS34" s="229"/>
      <c r="AT34" s="229"/>
      <c r="AU34" s="229">
        <v>33000000</v>
      </c>
      <c r="AV34" s="229"/>
      <c r="AW34" s="229"/>
      <c r="AX34" s="229"/>
      <c r="AY34" s="229"/>
      <c r="AZ34" s="229"/>
      <c r="BA34" s="229">
        <v>5341424591</v>
      </c>
      <c r="BB34" s="229"/>
      <c r="BC34" s="229"/>
      <c r="BD34" s="229"/>
      <c r="BE34" s="270">
        <f>SUM(BF34:BG34)</f>
        <v>4304000000</v>
      </c>
      <c r="BF34" s="270">
        <f>SUM(BH34:BI34)+BJ34+SUM(BL34:BN34)+BW34+CE34</f>
        <v>0</v>
      </c>
      <c r="BG34" s="270">
        <f>BK34+SUM(BO34:BV34)+SUM(BX34:CD34)+SUM(CF34:CH34)</f>
        <v>4304000000</v>
      </c>
      <c r="BH34" s="229"/>
      <c r="BI34" s="229"/>
      <c r="BJ34" s="229"/>
      <c r="BK34" s="229"/>
      <c r="BL34" s="229"/>
      <c r="BM34" s="229"/>
      <c r="BN34" s="229"/>
      <c r="BO34" s="229"/>
      <c r="BP34" s="229"/>
      <c r="BQ34" s="229"/>
      <c r="BR34" s="229"/>
      <c r="BS34" s="229"/>
      <c r="BT34" s="229"/>
      <c r="BU34" s="229"/>
      <c r="BV34" s="229"/>
      <c r="BW34" s="229"/>
      <c r="BX34" s="229">
        <v>4304000000</v>
      </c>
      <c r="BY34" s="229"/>
      <c r="BZ34" s="229"/>
      <c r="CA34" s="229"/>
      <c r="CB34" s="229"/>
      <c r="CC34" s="229"/>
      <c r="CD34" s="229"/>
      <c r="CE34" s="229"/>
      <c r="CF34" s="229"/>
      <c r="CG34" s="229"/>
      <c r="CH34" s="229"/>
      <c r="CI34" s="270">
        <f>SUM(CJ34:CK34)</f>
        <v>95000000</v>
      </c>
      <c r="CJ34" s="270">
        <f>SUM(CL34:CL34)</f>
        <v>0</v>
      </c>
      <c r="CK34" s="270">
        <f>SUM(CM34:CN34)</f>
        <v>95000000</v>
      </c>
      <c r="CL34" s="229"/>
      <c r="CM34" s="229"/>
      <c r="CN34" s="229">
        <v>95000000</v>
      </c>
      <c r="CO34" s="271" t="s">
        <v>184</v>
      </c>
      <c r="CP34" s="303">
        <f>CQ34+ER34+FV34+GB34</f>
        <v>19324676084</v>
      </c>
      <c r="CQ34" s="303">
        <f>CR34+CW34</f>
        <v>14925676084</v>
      </c>
      <c r="CR34" s="303">
        <f>SUM(CS34:CV34)</f>
        <v>0</v>
      </c>
      <c r="CS34" s="272"/>
      <c r="CT34" s="272"/>
      <c r="CU34" s="272"/>
      <c r="CV34" s="272"/>
      <c r="CW34" s="303">
        <f>SUM(CX34:EQ34)</f>
        <v>14925676084</v>
      </c>
      <c r="CX34" s="272"/>
      <c r="CY34" s="272"/>
      <c r="CZ34" s="272"/>
      <c r="DA34" s="272"/>
      <c r="DB34" s="272"/>
      <c r="DC34" s="272"/>
      <c r="DD34" s="272"/>
      <c r="DE34" s="272"/>
      <c r="DF34" s="272"/>
      <c r="DG34" s="272"/>
      <c r="DH34" s="272"/>
      <c r="DI34" s="272"/>
      <c r="DJ34" s="272"/>
      <c r="DK34" s="272"/>
      <c r="DL34" s="272"/>
      <c r="DM34" s="272"/>
      <c r="DN34" s="272"/>
      <c r="DO34" s="272">
        <v>315080670</v>
      </c>
      <c r="DP34" s="272"/>
      <c r="DQ34" s="272"/>
      <c r="DR34" s="272"/>
      <c r="DS34" s="272"/>
      <c r="DT34" s="272"/>
      <c r="DU34" s="272"/>
      <c r="DV34" s="272"/>
      <c r="DW34" s="272"/>
      <c r="DX34" s="272"/>
      <c r="DY34" s="272"/>
      <c r="DZ34" s="272"/>
      <c r="EA34" s="272"/>
      <c r="EB34" s="272">
        <v>7921741000</v>
      </c>
      <c r="EC34" s="272">
        <v>1314429823</v>
      </c>
      <c r="ED34" s="272"/>
      <c r="EE34" s="272"/>
      <c r="EF34" s="272"/>
      <c r="EG34" s="272"/>
      <c r="EH34" s="272">
        <v>33000000</v>
      </c>
      <c r="EI34" s="272"/>
      <c r="EJ34" s="272"/>
      <c r="EK34" s="272"/>
      <c r="EL34" s="272"/>
      <c r="EM34" s="272"/>
      <c r="EN34" s="272">
        <v>5341424591</v>
      </c>
      <c r="EO34" s="272"/>
      <c r="EP34" s="272"/>
      <c r="EQ34" s="272"/>
      <c r="ER34" s="303">
        <f>SUM(ES34:ET34)</f>
        <v>2890129000</v>
      </c>
      <c r="ES34" s="303">
        <f>SUM(EU34:EV34)+EW34+SUM(EY34:FA34)+FJ34+FR34</f>
        <v>0</v>
      </c>
      <c r="ET34" s="303">
        <f>EX34+SUM(FB34:FI34)+SUM(FK34:FQ34)+SUM(FS34:FU34)</f>
        <v>2890129000</v>
      </c>
      <c r="EU34" s="272"/>
      <c r="EV34" s="272"/>
      <c r="EW34" s="272"/>
      <c r="EX34" s="272"/>
      <c r="EY34" s="272"/>
      <c r="EZ34" s="272"/>
      <c r="FA34" s="272"/>
      <c r="FB34" s="272"/>
      <c r="FC34" s="272"/>
      <c r="FD34" s="272"/>
      <c r="FE34" s="272"/>
      <c r="FF34" s="272"/>
      <c r="FG34" s="272"/>
      <c r="FH34" s="272"/>
      <c r="FI34" s="272"/>
      <c r="FJ34" s="272"/>
      <c r="FK34" s="272">
        <v>2890129000</v>
      </c>
      <c r="FL34" s="272"/>
      <c r="FM34" s="272"/>
      <c r="FN34" s="272"/>
      <c r="FO34" s="272"/>
      <c r="FP34" s="272"/>
      <c r="FQ34" s="272"/>
      <c r="FR34" s="272"/>
      <c r="FS34" s="272"/>
      <c r="FT34" s="272"/>
      <c r="FU34" s="272"/>
      <c r="FV34" s="303">
        <f>SUM(FW34:FX34)</f>
        <v>95000000</v>
      </c>
      <c r="FW34" s="303">
        <f>SUM(FY34:FY34)</f>
        <v>0</v>
      </c>
      <c r="FX34" s="303">
        <f>SUM(FZ34:GA34)</f>
        <v>95000000</v>
      </c>
      <c r="FY34" s="272"/>
      <c r="FZ34" s="272"/>
      <c r="GA34" s="272">
        <v>95000000</v>
      </c>
      <c r="GB34" s="303">
        <v>1413871000</v>
      </c>
      <c r="GC34" s="328">
        <f>CP34/C34</f>
        <v>1</v>
      </c>
      <c r="GD34" s="328"/>
      <c r="GE34" s="328">
        <f>CW34/J34</f>
        <v>1</v>
      </c>
      <c r="GF34" s="328">
        <f>ER34/BE34</f>
        <v>0.671498373605948</v>
      </c>
      <c r="GG34" s="328">
        <f>FV34/CI34</f>
        <v>1</v>
      </c>
    </row>
    <row r="35" spans="1:189" s="264" customFormat="1" ht="17.25" customHeight="1">
      <c r="A35" s="227">
        <v>8</v>
      </c>
      <c r="B35" s="228" t="s">
        <v>398</v>
      </c>
      <c r="C35" s="270">
        <f t="shared" ref="C35:AI35" si="50">C36+C37</f>
        <v>460428776509</v>
      </c>
      <c r="D35" s="270">
        <f t="shared" si="50"/>
        <v>460428776509</v>
      </c>
      <c r="E35" s="270">
        <f t="shared" si="50"/>
        <v>1833372000</v>
      </c>
      <c r="F35" s="229">
        <f t="shared" si="50"/>
        <v>0</v>
      </c>
      <c r="G35" s="229">
        <f t="shared" si="50"/>
        <v>0</v>
      </c>
      <c r="H35" s="229">
        <f t="shared" si="50"/>
        <v>1833372000</v>
      </c>
      <c r="I35" s="229">
        <f t="shared" si="50"/>
        <v>0</v>
      </c>
      <c r="J35" s="270">
        <f t="shared" si="50"/>
        <v>458595404509</v>
      </c>
      <c r="K35" s="229">
        <f t="shared" si="50"/>
        <v>0</v>
      </c>
      <c r="L35" s="229">
        <f t="shared" si="50"/>
        <v>0</v>
      </c>
      <c r="M35" s="229">
        <f t="shared" si="50"/>
        <v>382976553509</v>
      </c>
      <c r="N35" s="229">
        <f t="shared" si="50"/>
        <v>28029225000</v>
      </c>
      <c r="O35" s="229">
        <f t="shared" si="50"/>
        <v>1615790000</v>
      </c>
      <c r="P35" s="229">
        <f t="shared" si="50"/>
        <v>29515801000</v>
      </c>
      <c r="Q35" s="229">
        <f t="shared" si="50"/>
        <v>5060180000</v>
      </c>
      <c r="R35" s="229">
        <f t="shared" si="50"/>
        <v>7279200000</v>
      </c>
      <c r="S35" s="229">
        <f t="shared" si="50"/>
        <v>1096200000</v>
      </c>
      <c r="T35" s="229">
        <f t="shared" si="50"/>
        <v>1524000000</v>
      </c>
      <c r="U35" s="229">
        <f t="shared" si="50"/>
        <v>21714000</v>
      </c>
      <c r="V35" s="229">
        <f t="shared" si="50"/>
        <v>0</v>
      </c>
      <c r="W35" s="229">
        <f t="shared" si="50"/>
        <v>0</v>
      </c>
      <c r="X35" s="229">
        <f t="shared" si="50"/>
        <v>0</v>
      </c>
      <c r="Y35" s="229">
        <f t="shared" si="50"/>
        <v>0</v>
      </c>
      <c r="Z35" s="229">
        <f t="shared" si="50"/>
        <v>0</v>
      </c>
      <c r="AA35" s="229">
        <f t="shared" si="50"/>
        <v>0</v>
      </c>
      <c r="AB35" s="229">
        <f t="shared" si="50"/>
        <v>0</v>
      </c>
      <c r="AC35" s="229">
        <f t="shared" si="50"/>
        <v>0</v>
      </c>
      <c r="AD35" s="229">
        <f t="shared" si="50"/>
        <v>0</v>
      </c>
      <c r="AE35" s="229">
        <f t="shared" si="50"/>
        <v>0</v>
      </c>
      <c r="AF35" s="229">
        <f t="shared" si="50"/>
        <v>0</v>
      </c>
      <c r="AG35" s="229">
        <f t="shared" si="50"/>
        <v>0</v>
      </c>
      <c r="AH35" s="229">
        <f t="shared" si="50"/>
        <v>0</v>
      </c>
      <c r="AI35" s="229">
        <f t="shared" si="50"/>
        <v>0</v>
      </c>
      <c r="AJ35" s="229">
        <f t="shared" ref="AJ35:AO35" si="51">AJ36+AJ37</f>
        <v>0</v>
      </c>
      <c r="AK35" s="229">
        <f t="shared" si="51"/>
        <v>0</v>
      </c>
      <c r="AL35" s="229">
        <f t="shared" si="51"/>
        <v>0</v>
      </c>
      <c r="AM35" s="229">
        <f t="shared" si="51"/>
        <v>0</v>
      </c>
      <c r="AN35" s="229">
        <f t="shared" si="51"/>
        <v>0</v>
      </c>
      <c r="AO35" s="229">
        <f t="shared" si="51"/>
        <v>0</v>
      </c>
      <c r="AP35" s="229">
        <f t="shared" ref="AP35:AU35" si="52">AP36+AP37</f>
        <v>0</v>
      </c>
      <c r="AQ35" s="229">
        <f t="shared" si="52"/>
        <v>0</v>
      </c>
      <c r="AR35" s="229">
        <f t="shared" si="52"/>
        <v>0</v>
      </c>
      <c r="AS35" s="229">
        <f t="shared" si="52"/>
        <v>0</v>
      </c>
      <c r="AT35" s="229">
        <f t="shared" si="52"/>
        <v>0</v>
      </c>
      <c r="AU35" s="229">
        <f t="shared" si="52"/>
        <v>0</v>
      </c>
      <c r="AV35" s="229">
        <f>AV36+AV37</f>
        <v>0</v>
      </c>
      <c r="AW35" s="229">
        <f>AW36+AW37</f>
        <v>0</v>
      </c>
      <c r="AX35" s="229">
        <f t="shared" ref="AX35:CN35" si="53">AX36+AX37</f>
        <v>0</v>
      </c>
      <c r="AY35" s="229">
        <f t="shared" si="53"/>
        <v>0</v>
      </c>
      <c r="AZ35" s="229">
        <f t="shared" si="53"/>
        <v>0</v>
      </c>
      <c r="BA35" s="229">
        <f t="shared" si="53"/>
        <v>1456741000</v>
      </c>
      <c r="BB35" s="229">
        <f t="shared" si="53"/>
        <v>20000000</v>
      </c>
      <c r="BC35" s="229">
        <f t="shared" si="53"/>
        <v>0</v>
      </c>
      <c r="BD35" s="229">
        <f t="shared" si="53"/>
        <v>0</v>
      </c>
      <c r="BE35" s="270">
        <f t="shared" si="53"/>
        <v>0</v>
      </c>
      <c r="BF35" s="270">
        <f t="shared" si="53"/>
        <v>0</v>
      </c>
      <c r="BG35" s="270">
        <f t="shared" si="53"/>
        <v>0</v>
      </c>
      <c r="BH35" s="229">
        <f t="shared" si="53"/>
        <v>0</v>
      </c>
      <c r="BI35" s="229">
        <f t="shared" si="53"/>
        <v>0</v>
      </c>
      <c r="BJ35" s="229">
        <f t="shared" si="53"/>
        <v>0</v>
      </c>
      <c r="BK35" s="229">
        <f t="shared" si="53"/>
        <v>0</v>
      </c>
      <c r="BL35" s="229">
        <f>BL36+BL37</f>
        <v>0</v>
      </c>
      <c r="BM35" s="229">
        <f>BM36+BM37</f>
        <v>0</v>
      </c>
      <c r="BN35" s="229">
        <f t="shared" si="53"/>
        <v>0</v>
      </c>
      <c r="BO35" s="229">
        <f t="shared" si="53"/>
        <v>0</v>
      </c>
      <c r="BP35" s="229">
        <f t="shared" si="53"/>
        <v>0</v>
      </c>
      <c r="BQ35" s="229">
        <f t="shared" si="53"/>
        <v>0</v>
      </c>
      <c r="BR35" s="229">
        <f t="shared" si="53"/>
        <v>0</v>
      </c>
      <c r="BS35" s="229">
        <f t="shared" si="53"/>
        <v>0</v>
      </c>
      <c r="BT35" s="229">
        <f t="shared" si="53"/>
        <v>0</v>
      </c>
      <c r="BU35" s="229">
        <f t="shared" si="53"/>
        <v>0</v>
      </c>
      <c r="BV35" s="229">
        <f t="shared" si="53"/>
        <v>0</v>
      </c>
      <c r="BW35" s="229">
        <f t="shared" si="53"/>
        <v>0</v>
      </c>
      <c r="BX35" s="229">
        <f t="shared" si="53"/>
        <v>0</v>
      </c>
      <c r="BY35" s="229">
        <f t="shared" si="53"/>
        <v>0</v>
      </c>
      <c r="BZ35" s="229">
        <f t="shared" si="53"/>
        <v>0</v>
      </c>
      <c r="CA35" s="229">
        <f t="shared" si="53"/>
        <v>0</v>
      </c>
      <c r="CB35" s="229">
        <f t="shared" si="53"/>
        <v>0</v>
      </c>
      <c r="CC35" s="229">
        <f t="shared" si="53"/>
        <v>0</v>
      </c>
      <c r="CD35" s="229">
        <f t="shared" si="53"/>
        <v>0</v>
      </c>
      <c r="CE35" s="229">
        <f t="shared" si="53"/>
        <v>0</v>
      </c>
      <c r="CF35" s="229">
        <f t="shared" si="53"/>
        <v>0</v>
      </c>
      <c r="CG35" s="229">
        <f t="shared" si="53"/>
        <v>0</v>
      </c>
      <c r="CH35" s="229">
        <f t="shared" si="53"/>
        <v>0</v>
      </c>
      <c r="CI35" s="270">
        <f t="shared" si="53"/>
        <v>0</v>
      </c>
      <c r="CJ35" s="270">
        <f t="shared" si="53"/>
        <v>0</v>
      </c>
      <c r="CK35" s="270">
        <f t="shared" si="53"/>
        <v>0</v>
      </c>
      <c r="CL35" s="229">
        <f t="shared" si="53"/>
        <v>0</v>
      </c>
      <c r="CM35" s="229">
        <f t="shared" si="53"/>
        <v>0</v>
      </c>
      <c r="CN35" s="229">
        <f t="shared" si="53"/>
        <v>0</v>
      </c>
      <c r="CO35" s="271" t="s">
        <v>194</v>
      </c>
      <c r="CP35" s="303">
        <f t="shared" ref="CP35:ER35" si="54">CP36+CP37</f>
        <v>460428776509</v>
      </c>
      <c r="CQ35" s="303">
        <f t="shared" si="54"/>
        <v>459164280509</v>
      </c>
      <c r="CR35" s="303">
        <f t="shared" si="54"/>
        <v>1833372000</v>
      </c>
      <c r="CS35" s="272">
        <f t="shared" si="54"/>
        <v>0</v>
      </c>
      <c r="CT35" s="272">
        <f t="shared" si="54"/>
        <v>0</v>
      </c>
      <c r="CU35" s="272">
        <f t="shared" si="54"/>
        <v>1833372000</v>
      </c>
      <c r="CV35" s="272">
        <f t="shared" si="54"/>
        <v>0</v>
      </c>
      <c r="CW35" s="303">
        <f t="shared" si="54"/>
        <v>457330908509</v>
      </c>
      <c r="CX35" s="272">
        <f t="shared" si="54"/>
        <v>0</v>
      </c>
      <c r="CY35" s="272">
        <f t="shared" si="54"/>
        <v>0</v>
      </c>
      <c r="CZ35" s="272">
        <f t="shared" si="54"/>
        <v>381712057509</v>
      </c>
      <c r="DA35" s="272">
        <f t="shared" si="54"/>
        <v>28029225000</v>
      </c>
      <c r="DB35" s="272">
        <f t="shared" si="54"/>
        <v>1615790000</v>
      </c>
      <c r="DC35" s="272">
        <f t="shared" si="54"/>
        <v>29515801000</v>
      </c>
      <c r="DD35" s="272">
        <f t="shared" si="54"/>
        <v>5060180000</v>
      </c>
      <c r="DE35" s="272">
        <f t="shared" si="54"/>
        <v>7279200000</v>
      </c>
      <c r="DF35" s="272">
        <f t="shared" si="54"/>
        <v>1096200000</v>
      </c>
      <c r="DG35" s="272">
        <f t="shared" si="54"/>
        <v>1524000000</v>
      </c>
      <c r="DH35" s="272">
        <f t="shared" si="54"/>
        <v>21714000</v>
      </c>
      <c r="DI35" s="272">
        <f t="shared" si="54"/>
        <v>0</v>
      </c>
      <c r="DJ35" s="272">
        <f t="shared" si="54"/>
        <v>0</v>
      </c>
      <c r="DK35" s="272">
        <f t="shared" si="54"/>
        <v>0</v>
      </c>
      <c r="DL35" s="272">
        <f t="shared" si="54"/>
        <v>0</v>
      </c>
      <c r="DM35" s="272">
        <f>DM36+DM37</f>
        <v>0</v>
      </c>
      <c r="DN35" s="272">
        <f t="shared" si="54"/>
        <v>0</v>
      </c>
      <c r="DO35" s="272">
        <f t="shared" si="54"/>
        <v>0</v>
      </c>
      <c r="DP35" s="272">
        <f t="shared" si="54"/>
        <v>0</v>
      </c>
      <c r="DQ35" s="272">
        <f t="shared" si="54"/>
        <v>0</v>
      </c>
      <c r="DR35" s="272">
        <f t="shared" si="54"/>
        <v>0</v>
      </c>
      <c r="DS35" s="272">
        <f t="shared" si="54"/>
        <v>0</v>
      </c>
      <c r="DT35" s="272">
        <f t="shared" si="54"/>
        <v>0</v>
      </c>
      <c r="DU35" s="272">
        <f t="shared" si="54"/>
        <v>0</v>
      </c>
      <c r="DV35" s="272">
        <f t="shared" si="54"/>
        <v>0</v>
      </c>
      <c r="DW35" s="272">
        <f t="shared" si="54"/>
        <v>0</v>
      </c>
      <c r="DX35" s="272">
        <f t="shared" si="54"/>
        <v>0</v>
      </c>
      <c r="DY35" s="272">
        <f t="shared" si="54"/>
        <v>0</v>
      </c>
      <c r="DZ35" s="272">
        <f t="shared" si="54"/>
        <v>0</v>
      </c>
      <c r="EA35" s="272">
        <f t="shared" si="54"/>
        <v>0</v>
      </c>
      <c r="EB35" s="272">
        <f t="shared" si="54"/>
        <v>0</v>
      </c>
      <c r="EC35" s="272">
        <f t="shared" si="54"/>
        <v>0</v>
      </c>
      <c r="ED35" s="272">
        <f t="shared" si="54"/>
        <v>0</v>
      </c>
      <c r="EE35" s="272">
        <f t="shared" si="54"/>
        <v>0</v>
      </c>
      <c r="EF35" s="272">
        <f t="shared" si="54"/>
        <v>0</v>
      </c>
      <c r="EG35" s="272">
        <f t="shared" si="54"/>
        <v>0</v>
      </c>
      <c r="EH35" s="272">
        <f t="shared" si="54"/>
        <v>0</v>
      </c>
      <c r="EI35" s="272">
        <f>EI36+EI37</f>
        <v>0</v>
      </c>
      <c r="EJ35" s="272">
        <f>EJ36+EJ37</f>
        <v>0</v>
      </c>
      <c r="EK35" s="272">
        <f t="shared" si="54"/>
        <v>0</v>
      </c>
      <c r="EL35" s="272">
        <f t="shared" si="54"/>
        <v>0</v>
      </c>
      <c r="EM35" s="272">
        <f t="shared" si="54"/>
        <v>0</v>
      </c>
      <c r="EN35" s="272">
        <f t="shared" si="54"/>
        <v>1456741000</v>
      </c>
      <c r="EO35" s="272">
        <f t="shared" si="54"/>
        <v>20000000</v>
      </c>
      <c r="EP35" s="272">
        <f t="shared" si="54"/>
        <v>0</v>
      </c>
      <c r="EQ35" s="272">
        <f t="shared" si="54"/>
        <v>0</v>
      </c>
      <c r="ER35" s="303">
        <f t="shared" si="54"/>
        <v>0</v>
      </c>
      <c r="ES35" s="303">
        <f t="shared" ref="ES35:GB35" si="55">ES36+ES37</f>
        <v>0</v>
      </c>
      <c r="ET35" s="303">
        <f t="shared" si="55"/>
        <v>0</v>
      </c>
      <c r="EU35" s="272">
        <f t="shared" si="55"/>
        <v>0</v>
      </c>
      <c r="EV35" s="272">
        <f t="shared" si="55"/>
        <v>0</v>
      </c>
      <c r="EW35" s="272">
        <f t="shared" si="55"/>
        <v>0</v>
      </c>
      <c r="EX35" s="272">
        <f t="shared" si="55"/>
        <v>0</v>
      </c>
      <c r="EY35" s="272">
        <f>EY36+EY37</f>
        <v>0</v>
      </c>
      <c r="EZ35" s="272">
        <f>EZ36+EZ37</f>
        <v>0</v>
      </c>
      <c r="FA35" s="272">
        <f t="shared" si="55"/>
        <v>0</v>
      </c>
      <c r="FB35" s="272">
        <f t="shared" si="55"/>
        <v>0</v>
      </c>
      <c r="FC35" s="272">
        <f t="shared" si="55"/>
        <v>0</v>
      </c>
      <c r="FD35" s="272">
        <f t="shared" si="55"/>
        <v>0</v>
      </c>
      <c r="FE35" s="272">
        <f t="shared" si="55"/>
        <v>0</v>
      </c>
      <c r="FF35" s="272">
        <f t="shared" si="55"/>
        <v>0</v>
      </c>
      <c r="FG35" s="272">
        <f t="shared" si="55"/>
        <v>0</v>
      </c>
      <c r="FH35" s="272">
        <f t="shared" si="55"/>
        <v>0</v>
      </c>
      <c r="FI35" s="272">
        <f t="shared" si="55"/>
        <v>0</v>
      </c>
      <c r="FJ35" s="272">
        <f t="shared" si="55"/>
        <v>0</v>
      </c>
      <c r="FK35" s="272">
        <f t="shared" si="55"/>
        <v>0</v>
      </c>
      <c r="FL35" s="272">
        <f t="shared" si="55"/>
        <v>0</v>
      </c>
      <c r="FM35" s="272">
        <f t="shared" si="55"/>
        <v>0</v>
      </c>
      <c r="FN35" s="272">
        <f t="shared" si="55"/>
        <v>0</v>
      </c>
      <c r="FO35" s="272">
        <f t="shared" si="55"/>
        <v>0</v>
      </c>
      <c r="FP35" s="272">
        <f t="shared" si="55"/>
        <v>0</v>
      </c>
      <c r="FQ35" s="272">
        <f t="shared" si="55"/>
        <v>0</v>
      </c>
      <c r="FR35" s="272">
        <f t="shared" si="55"/>
        <v>0</v>
      </c>
      <c r="FS35" s="272">
        <f t="shared" si="55"/>
        <v>0</v>
      </c>
      <c r="FT35" s="272">
        <f t="shared" si="55"/>
        <v>0</v>
      </c>
      <c r="FU35" s="272">
        <f t="shared" si="55"/>
        <v>0</v>
      </c>
      <c r="FV35" s="303">
        <f t="shared" si="55"/>
        <v>0</v>
      </c>
      <c r="FW35" s="303">
        <f t="shared" si="55"/>
        <v>0</v>
      </c>
      <c r="FX35" s="303">
        <f t="shared" si="55"/>
        <v>0</v>
      </c>
      <c r="FY35" s="272">
        <f t="shared" si="55"/>
        <v>0</v>
      </c>
      <c r="FZ35" s="272">
        <f t="shared" si="55"/>
        <v>0</v>
      </c>
      <c r="GA35" s="272">
        <f t="shared" si="55"/>
        <v>0</v>
      </c>
      <c r="GB35" s="303">
        <f t="shared" si="55"/>
        <v>1264496000</v>
      </c>
      <c r="GC35" s="328">
        <f>CP35/C35</f>
        <v>1</v>
      </c>
      <c r="GD35" s="328"/>
      <c r="GE35" s="328">
        <f>CW35/J35</f>
        <v>0.99724267625107621</v>
      </c>
      <c r="GF35" s="328"/>
      <c r="GG35" s="328"/>
    </row>
    <row r="36" spans="1:189" s="264" customFormat="1" ht="17.25" customHeight="1">
      <c r="A36" s="227"/>
      <c r="B36" s="228" t="s">
        <v>183</v>
      </c>
      <c r="C36" s="270">
        <f>D36+BE36+CI36</f>
        <v>1833372000</v>
      </c>
      <c r="D36" s="270">
        <f>E36+J36</f>
        <v>1833372000</v>
      </c>
      <c r="E36" s="270">
        <f>SUM(F36:I36)</f>
        <v>1833372000</v>
      </c>
      <c r="F36" s="229"/>
      <c r="G36" s="229"/>
      <c r="H36" s="229">
        <v>1833372000</v>
      </c>
      <c r="I36" s="229"/>
      <c r="J36" s="270">
        <f>SUM(K36:BD36)</f>
        <v>0</v>
      </c>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70">
        <f>SUM(BF36:BG36)</f>
        <v>0</v>
      </c>
      <c r="BF36" s="270">
        <f>SUM(BH36:BI36)+BJ36+SUM(BL36:BN36)+BW36+CE36</f>
        <v>0</v>
      </c>
      <c r="BG36" s="270">
        <f>BK36+SUM(BO36:BV36)+SUM(BX36:CD36)+SUM(CF36:CH36)</f>
        <v>0</v>
      </c>
      <c r="BH36" s="229"/>
      <c r="BI36" s="229"/>
      <c r="BJ36" s="229"/>
      <c r="BK36" s="229"/>
      <c r="BL36" s="229"/>
      <c r="BM36" s="229"/>
      <c r="BN36" s="229"/>
      <c r="BO36" s="229"/>
      <c r="BP36" s="229"/>
      <c r="BQ36" s="229"/>
      <c r="BR36" s="229"/>
      <c r="BS36" s="229"/>
      <c r="BT36" s="229"/>
      <c r="BU36" s="229"/>
      <c r="BV36" s="229"/>
      <c r="BW36" s="229"/>
      <c r="BX36" s="229"/>
      <c r="BY36" s="229"/>
      <c r="BZ36" s="229"/>
      <c r="CA36" s="229"/>
      <c r="CB36" s="229"/>
      <c r="CC36" s="229"/>
      <c r="CD36" s="229"/>
      <c r="CE36" s="229"/>
      <c r="CF36" s="229"/>
      <c r="CG36" s="229"/>
      <c r="CH36" s="229"/>
      <c r="CI36" s="270">
        <f>SUM(CJ36:CK36)</f>
        <v>0</v>
      </c>
      <c r="CJ36" s="270">
        <f>SUM(CL36:CL36)</f>
        <v>0</v>
      </c>
      <c r="CK36" s="270">
        <f>SUM(CM36:CN36)</f>
        <v>0</v>
      </c>
      <c r="CL36" s="229"/>
      <c r="CM36" s="229"/>
      <c r="CN36" s="229"/>
      <c r="CO36" s="271" t="s">
        <v>183</v>
      </c>
      <c r="CP36" s="303">
        <f>CQ36+ER36+FV36+GB36</f>
        <v>1833372000</v>
      </c>
      <c r="CQ36" s="303">
        <f>CR36+CW36</f>
        <v>1833372000</v>
      </c>
      <c r="CR36" s="303">
        <f>SUM(CS36:CV36)</f>
        <v>1833372000</v>
      </c>
      <c r="CS36" s="272"/>
      <c r="CT36" s="272"/>
      <c r="CU36" s="272">
        <v>1833372000</v>
      </c>
      <c r="CV36" s="272"/>
      <c r="CW36" s="303">
        <f>SUM(CX36:EQ36)</f>
        <v>0</v>
      </c>
      <c r="CX36" s="272"/>
      <c r="CY36" s="272"/>
      <c r="CZ36" s="272"/>
      <c r="DA36" s="272"/>
      <c r="DB36" s="272"/>
      <c r="DC36" s="272"/>
      <c r="DD36" s="272"/>
      <c r="DE36" s="272"/>
      <c r="DF36" s="272"/>
      <c r="DG36" s="272"/>
      <c r="DH36" s="272"/>
      <c r="DI36" s="272"/>
      <c r="DJ36" s="272"/>
      <c r="DK36" s="272"/>
      <c r="DL36" s="272"/>
      <c r="DM36" s="272"/>
      <c r="DN36" s="272"/>
      <c r="DO36" s="272"/>
      <c r="DP36" s="272"/>
      <c r="DQ36" s="272"/>
      <c r="DR36" s="272"/>
      <c r="DS36" s="272"/>
      <c r="DT36" s="272"/>
      <c r="DU36" s="272"/>
      <c r="DV36" s="272"/>
      <c r="DW36" s="272"/>
      <c r="DX36" s="272"/>
      <c r="DY36" s="272"/>
      <c r="DZ36" s="272"/>
      <c r="EA36" s="272"/>
      <c r="EB36" s="272"/>
      <c r="EC36" s="272"/>
      <c r="ED36" s="272"/>
      <c r="EE36" s="272"/>
      <c r="EF36" s="272"/>
      <c r="EG36" s="272"/>
      <c r="EH36" s="272"/>
      <c r="EI36" s="272"/>
      <c r="EJ36" s="272"/>
      <c r="EK36" s="272"/>
      <c r="EL36" s="272"/>
      <c r="EM36" s="272"/>
      <c r="EN36" s="272"/>
      <c r="EO36" s="272"/>
      <c r="EP36" s="272"/>
      <c r="EQ36" s="272"/>
      <c r="ER36" s="303">
        <f>SUM(ES36:ET36)</f>
        <v>0</v>
      </c>
      <c r="ES36" s="303">
        <f>SUM(EU36:EV36)+EW36+SUM(EY36:FA36)+FJ36+FR36</f>
        <v>0</v>
      </c>
      <c r="ET36" s="303">
        <f>EX36+SUM(FB36:FI36)+SUM(FK36:FQ36)+SUM(FS36:FU36)</f>
        <v>0</v>
      </c>
      <c r="EU36" s="272"/>
      <c r="EV36" s="272"/>
      <c r="EW36" s="272"/>
      <c r="EX36" s="272"/>
      <c r="EY36" s="272"/>
      <c r="EZ36" s="272"/>
      <c r="FA36" s="272"/>
      <c r="FB36" s="272"/>
      <c r="FC36" s="272"/>
      <c r="FD36" s="272"/>
      <c r="FE36" s="272"/>
      <c r="FF36" s="272"/>
      <c r="FG36" s="272"/>
      <c r="FH36" s="272"/>
      <c r="FI36" s="272"/>
      <c r="FJ36" s="272"/>
      <c r="FK36" s="272"/>
      <c r="FL36" s="272"/>
      <c r="FM36" s="272"/>
      <c r="FN36" s="272"/>
      <c r="FO36" s="272"/>
      <c r="FP36" s="272"/>
      <c r="FQ36" s="272"/>
      <c r="FR36" s="272"/>
      <c r="FS36" s="272"/>
      <c r="FT36" s="272"/>
      <c r="FU36" s="272"/>
      <c r="FV36" s="303">
        <f>SUM(FW36:FX36)</f>
        <v>0</v>
      </c>
      <c r="FW36" s="303">
        <f>SUM(FY36:FY36)</f>
        <v>0</v>
      </c>
      <c r="FX36" s="303">
        <f>SUM(FZ36:GA36)</f>
        <v>0</v>
      </c>
      <c r="FY36" s="272"/>
      <c r="FZ36" s="272"/>
      <c r="GA36" s="272"/>
      <c r="GB36" s="303"/>
      <c r="GC36" s="328">
        <f>CP36/C36</f>
        <v>1</v>
      </c>
      <c r="GD36" s="328"/>
      <c r="GE36" s="328"/>
      <c r="GF36" s="328"/>
      <c r="GG36" s="328"/>
    </row>
    <row r="37" spans="1:189" s="264" customFormat="1" ht="17.25" customHeight="1">
      <c r="A37" s="227"/>
      <c r="B37" s="228" t="s">
        <v>184</v>
      </c>
      <c r="C37" s="270">
        <f>D37+BE37+CI37</f>
        <v>458595404509</v>
      </c>
      <c r="D37" s="270">
        <f>E37+J37</f>
        <v>458595404509</v>
      </c>
      <c r="E37" s="270">
        <f>SUM(F37:I37)</f>
        <v>0</v>
      </c>
      <c r="F37" s="229"/>
      <c r="G37" s="229"/>
      <c r="H37" s="229"/>
      <c r="I37" s="229"/>
      <c r="J37" s="270">
        <f>SUM(K37:BD37)</f>
        <v>458595404509</v>
      </c>
      <c r="K37" s="229"/>
      <c r="L37" s="229"/>
      <c r="M37" s="229">
        <f>(457102894656+15768853)-74142110000</f>
        <v>382976553509</v>
      </c>
      <c r="N37" s="229">
        <v>28029225000</v>
      </c>
      <c r="O37" s="229">
        <v>1615790000</v>
      </c>
      <c r="P37" s="229">
        <v>29515801000</v>
      </c>
      <c r="Q37" s="229">
        <v>5060180000</v>
      </c>
      <c r="R37" s="229">
        <v>7279200000</v>
      </c>
      <c r="S37" s="229">
        <v>1096200000</v>
      </c>
      <c r="T37" s="229">
        <v>1524000000</v>
      </c>
      <c r="U37" s="229">
        <v>21714000</v>
      </c>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v>1456741000</v>
      </c>
      <c r="BB37" s="229">
        <v>20000000</v>
      </c>
      <c r="BC37" s="229"/>
      <c r="BD37" s="229"/>
      <c r="BE37" s="270">
        <f>SUM(BF37:BG37)</f>
        <v>0</v>
      </c>
      <c r="BF37" s="270">
        <f>SUM(BH37:BI37)+BJ37+SUM(BL37:BN37)+BW37+CE37</f>
        <v>0</v>
      </c>
      <c r="BG37" s="270">
        <f>BK37+SUM(BO37:BV37)+SUM(BX37:CD37)+SUM(CF37:CH37)</f>
        <v>0</v>
      </c>
      <c r="BH37" s="229"/>
      <c r="BI37" s="229"/>
      <c r="BJ37" s="229"/>
      <c r="BK37" s="229"/>
      <c r="BL37" s="229"/>
      <c r="BM37" s="229"/>
      <c r="BN37" s="229"/>
      <c r="BO37" s="229"/>
      <c r="BP37" s="229"/>
      <c r="BQ37" s="229"/>
      <c r="BR37" s="229"/>
      <c r="BS37" s="229"/>
      <c r="BT37" s="229"/>
      <c r="BU37" s="229"/>
      <c r="BV37" s="229"/>
      <c r="BW37" s="229"/>
      <c r="BX37" s="229"/>
      <c r="BY37" s="229"/>
      <c r="BZ37" s="229"/>
      <c r="CA37" s="229"/>
      <c r="CB37" s="229"/>
      <c r="CC37" s="229"/>
      <c r="CD37" s="229"/>
      <c r="CE37" s="229"/>
      <c r="CF37" s="229"/>
      <c r="CG37" s="229"/>
      <c r="CH37" s="229"/>
      <c r="CI37" s="270">
        <f>SUM(CJ37:CK37)</f>
        <v>0</v>
      </c>
      <c r="CJ37" s="270">
        <f>SUM(CL37:CL37)</f>
        <v>0</v>
      </c>
      <c r="CK37" s="270">
        <f>SUM(CM37:CN37)</f>
        <v>0</v>
      </c>
      <c r="CL37" s="229"/>
      <c r="CM37" s="229"/>
      <c r="CN37" s="229"/>
      <c r="CO37" s="271" t="s">
        <v>184</v>
      </c>
      <c r="CP37" s="303">
        <f>CQ37+ER37+FV37+GB37</f>
        <v>458595404509</v>
      </c>
      <c r="CQ37" s="303">
        <f>CR37+CW37</f>
        <v>457330908509</v>
      </c>
      <c r="CR37" s="303">
        <f>SUM(CS37:CV37)</f>
        <v>0</v>
      </c>
      <c r="CS37" s="272"/>
      <c r="CT37" s="272"/>
      <c r="CU37" s="272"/>
      <c r="CV37" s="272"/>
      <c r="CW37" s="303">
        <f>SUM(CX37:EQ37)</f>
        <v>457330908509</v>
      </c>
      <c r="CX37" s="272"/>
      <c r="CY37" s="272"/>
      <c r="CZ37" s="272">
        <f>(457102894656+15768853)-74142110000-1264496000</f>
        <v>381712057509</v>
      </c>
      <c r="DA37" s="272">
        <v>28029225000</v>
      </c>
      <c r="DB37" s="272">
        <v>1615790000</v>
      </c>
      <c r="DC37" s="272">
        <v>29515801000</v>
      </c>
      <c r="DD37" s="272">
        <v>5060180000</v>
      </c>
      <c r="DE37" s="272">
        <v>7279200000</v>
      </c>
      <c r="DF37" s="272">
        <v>1096200000</v>
      </c>
      <c r="DG37" s="272">
        <v>1524000000</v>
      </c>
      <c r="DH37" s="272">
        <v>21714000</v>
      </c>
      <c r="DI37" s="272"/>
      <c r="DJ37" s="272"/>
      <c r="DK37" s="272"/>
      <c r="DL37" s="272"/>
      <c r="DM37" s="272"/>
      <c r="DN37" s="272"/>
      <c r="DO37" s="272"/>
      <c r="DP37" s="272"/>
      <c r="DQ37" s="272"/>
      <c r="DR37" s="272"/>
      <c r="DS37" s="272"/>
      <c r="DT37" s="272"/>
      <c r="DU37" s="272"/>
      <c r="DV37" s="272"/>
      <c r="DW37" s="272"/>
      <c r="DX37" s="272"/>
      <c r="DY37" s="272"/>
      <c r="DZ37" s="272"/>
      <c r="EA37" s="272"/>
      <c r="EB37" s="272"/>
      <c r="EC37" s="272"/>
      <c r="ED37" s="272"/>
      <c r="EE37" s="272"/>
      <c r="EF37" s="272"/>
      <c r="EG37" s="272"/>
      <c r="EH37" s="272"/>
      <c r="EI37" s="272"/>
      <c r="EJ37" s="272"/>
      <c r="EK37" s="272"/>
      <c r="EL37" s="272"/>
      <c r="EM37" s="272"/>
      <c r="EN37" s="272">
        <v>1456741000</v>
      </c>
      <c r="EO37" s="272">
        <v>20000000</v>
      </c>
      <c r="EP37" s="272"/>
      <c r="EQ37" s="272"/>
      <c r="ER37" s="303">
        <f>SUM(ES37:ET37)</f>
        <v>0</v>
      </c>
      <c r="ES37" s="303">
        <f>SUM(EU37:EV37)+EW37+SUM(EY37:FA37)+FJ37+FR37</f>
        <v>0</v>
      </c>
      <c r="ET37" s="303">
        <f>EX37+SUM(FB37:FI37)+SUM(FK37:FQ37)+SUM(FS37:FU37)</f>
        <v>0</v>
      </c>
      <c r="EU37" s="272"/>
      <c r="EV37" s="272"/>
      <c r="EW37" s="272"/>
      <c r="EX37" s="272"/>
      <c r="EY37" s="272"/>
      <c r="EZ37" s="272"/>
      <c r="FA37" s="272"/>
      <c r="FB37" s="272"/>
      <c r="FC37" s="272"/>
      <c r="FD37" s="272"/>
      <c r="FE37" s="272"/>
      <c r="FF37" s="272"/>
      <c r="FG37" s="272"/>
      <c r="FH37" s="272"/>
      <c r="FI37" s="272"/>
      <c r="FJ37" s="272"/>
      <c r="FK37" s="272"/>
      <c r="FL37" s="272"/>
      <c r="FM37" s="272"/>
      <c r="FN37" s="272"/>
      <c r="FO37" s="272"/>
      <c r="FP37" s="272"/>
      <c r="FQ37" s="272"/>
      <c r="FR37" s="272"/>
      <c r="FS37" s="272"/>
      <c r="FT37" s="272"/>
      <c r="FU37" s="272"/>
      <c r="FV37" s="303">
        <f>SUM(FW37:FX37)</f>
        <v>0</v>
      </c>
      <c r="FW37" s="303">
        <f>SUM(FY37:FY37)</f>
        <v>0</v>
      </c>
      <c r="FX37" s="303">
        <f>SUM(FZ37:GA37)</f>
        <v>0</v>
      </c>
      <c r="FY37" s="272"/>
      <c r="FZ37" s="272"/>
      <c r="GA37" s="272"/>
      <c r="GB37" s="303">
        <v>1264496000</v>
      </c>
      <c r="GC37" s="328">
        <f>CP37/C37</f>
        <v>1</v>
      </c>
      <c r="GD37" s="328"/>
      <c r="GE37" s="328">
        <f>CW37/J37</f>
        <v>0.99724267625107621</v>
      </c>
      <c r="GF37" s="328"/>
      <c r="GG37" s="328"/>
    </row>
    <row r="38" spans="1:189" s="264" customFormat="1" ht="17.25" customHeight="1">
      <c r="A38" s="227">
        <v>9</v>
      </c>
      <c r="B38" s="228" t="s">
        <v>190</v>
      </c>
      <c r="C38" s="270">
        <f t="shared" ref="C38:AI38" si="56">C39+C40</f>
        <v>2125457600</v>
      </c>
      <c r="D38" s="270">
        <f t="shared" si="56"/>
        <v>310457600</v>
      </c>
      <c r="E38" s="270">
        <f t="shared" si="56"/>
        <v>0</v>
      </c>
      <c r="F38" s="229">
        <f t="shared" si="56"/>
        <v>0</v>
      </c>
      <c r="G38" s="229">
        <f t="shared" si="56"/>
        <v>0</v>
      </c>
      <c r="H38" s="229">
        <f t="shared" si="56"/>
        <v>0</v>
      </c>
      <c r="I38" s="229">
        <f t="shared" si="56"/>
        <v>0</v>
      </c>
      <c r="J38" s="270">
        <f t="shared" si="56"/>
        <v>310457600</v>
      </c>
      <c r="K38" s="229">
        <f t="shared" si="56"/>
        <v>0</v>
      </c>
      <c r="L38" s="229">
        <f t="shared" si="56"/>
        <v>0</v>
      </c>
      <c r="M38" s="229">
        <f t="shared" si="56"/>
        <v>0</v>
      </c>
      <c r="N38" s="229">
        <f t="shared" si="56"/>
        <v>0</v>
      </c>
      <c r="O38" s="229">
        <f t="shared" si="56"/>
        <v>0</v>
      </c>
      <c r="P38" s="229">
        <f t="shared" si="56"/>
        <v>0</v>
      </c>
      <c r="Q38" s="229">
        <f t="shared" si="56"/>
        <v>0</v>
      </c>
      <c r="R38" s="229">
        <f t="shared" si="56"/>
        <v>0</v>
      </c>
      <c r="S38" s="229">
        <f t="shared" si="56"/>
        <v>0</v>
      </c>
      <c r="T38" s="229">
        <f t="shared" si="56"/>
        <v>0</v>
      </c>
      <c r="U38" s="229">
        <f t="shared" si="56"/>
        <v>0</v>
      </c>
      <c r="V38" s="229">
        <f t="shared" si="56"/>
        <v>0</v>
      </c>
      <c r="W38" s="229">
        <f t="shared" si="56"/>
        <v>0</v>
      </c>
      <c r="X38" s="229">
        <f t="shared" si="56"/>
        <v>0</v>
      </c>
      <c r="Y38" s="229">
        <f t="shared" si="56"/>
        <v>0</v>
      </c>
      <c r="Z38" s="229">
        <f t="shared" si="56"/>
        <v>0</v>
      </c>
      <c r="AA38" s="229">
        <f t="shared" si="56"/>
        <v>0</v>
      </c>
      <c r="AB38" s="229">
        <f t="shared" si="56"/>
        <v>0</v>
      </c>
      <c r="AC38" s="229">
        <f t="shared" si="56"/>
        <v>0</v>
      </c>
      <c r="AD38" s="229">
        <f t="shared" si="56"/>
        <v>0</v>
      </c>
      <c r="AE38" s="229">
        <f t="shared" si="56"/>
        <v>0</v>
      </c>
      <c r="AF38" s="229">
        <f t="shared" si="56"/>
        <v>0</v>
      </c>
      <c r="AG38" s="229">
        <f t="shared" si="56"/>
        <v>0</v>
      </c>
      <c r="AH38" s="229">
        <f t="shared" si="56"/>
        <v>0</v>
      </c>
      <c r="AI38" s="229">
        <f t="shared" si="56"/>
        <v>0</v>
      </c>
      <c r="AJ38" s="229">
        <f t="shared" ref="AJ38:AO38" si="57">AJ39+AJ40</f>
        <v>0</v>
      </c>
      <c r="AK38" s="229">
        <f t="shared" si="57"/>
        <v>0</v>
      </c>
      <c r="AL38" s="229">
        <f t="shared" si="57"/>
        <v>0</v>
      </c>
      <c r="AM38" s="229">
        <f t="shared" si="57"/>
        <v>0</v>
      </c>
      <c r="AN38" s="229">
        <f t="shared" si="57"/>
        <v>0</v>
      </c>
      <c r="AO38" s="229">
        <f t="shared" si="57"/>
        <v>0</v>
      </c>
      <c r="AP38" s="229">
        <f t="shared" ref="AP38:AU38" si="58">AP39+AP40</f>
        <v>0</v>
      </c>
      <c r="AQ38" s="229">
        <f t="shared" si="58"/>
        <v>0</v>
      </c>
      <c r="AR38" s="229">
        <f t="shared" si="58"/>
        <v>0</v>
      </c>
      <c r="AS38" s="229">
        <f t="shared" si="58"/>
        <v>0</v>
      </c>
      <c r="AT38" s="229">
        <f t="shared" si="58"/>
        <v>0</v>
      </c>
      <c r="AU38" s="229">
        <f t="shared" si="58"/>
        <v>0</v>
      </c>
      <c r="AV38" s="229">
        <f>AV39+AV40</f>
        <v>0</v>
      </c>
      <c r="AW38" s="229">
        <f>AW39+AW40</f>
        <v>0</v>
      </c>
      <c r="AX38" s="229">
        <f t="shared" ref="AX38:CN38" si="59">AX39+AX40</f>
        <v>0</v>
      </c>
      <c r="AY38" s="229">
        <f t="shared" si="59"/>
        <v>0</v>
      </c>
      <c r="AZ38" s="229">
        <f t="shared" si="59"/>
        <v>0</v>
      </c>
      <c r="BA38" s="229">
        <f t="shared" si="59"/>
        <v>310457600</v>
      </c>
      <c r="BB38" s="229">
        <f t="shared" si="59"/>
        <v>0</v>
      </c>
      <c r="BC38" s="229">
        <f t="shared" si="59"/>
        <v>0</v>
      </c>
      <c r="BD38" s="229">
        <f t="shared" si="59"/>
        <v>0</v>
      </c>
      <c r="BE38" s="270">
        <f t="shared" si="59"/>
        <v>1815000000</v>
      </c>
      <c r="BF38" s="270">
        <f t="shared" si="59"/>
        <v>0</v>
      </c>
      <c r="BG38" s="270">
        <f t="shared" si="59"/>
        <v>1815000000</v>
      </c>
      <c r="BH38" s="229">
        <f t="shared" si="59"/>
        <v>0</v>
      </c>
      <c r="BI38" s="229">
        <f t="shared" si="59"/>
        <v>0</v>
      </c>
      <c r="BJ38" s="229">
        <f t="shared" si="59"/>
        <v>0</v>
      </c>
      <c r="BK38" s="229">
        <f t="shared" si="59"/>
        <v>0</v>
      </c>
      <c r="BL38" s="229">
        <f>BL39+BL40</f>
        <v>0</v>
      </c>
      <c r="BM38" s="229">
        <f>BM39+BM40</f>
        <v>0</v>
      </c>
      <c r="BN38" s="229">
        <f t="shared" si="59"/>
        <v>0</v>
      </c>
      <c r="BO38" s="229">
        <f t="shared" si="59"/>
        <v>0</v>
      </c>
      <c r="BP38" s="229">
        <f t="shared" si="59"/>
        <v>0</v>
      </c>
      <c r="BQ38" s="229">
        <f t="shared" si="59"/>
        <v>0</v>
      </c>
      <c r="BR38" s="229">
        <f t="shared" si="59"/>
        <v>0</v>
      </c>
      <c r="BS38" s="229">
        <f t="shared" si="59"/>
        <v>0</v>
      </c>
      <c r="BT38" s="229">
        <f t="shared" si="59"/>
        <v>0</v>
      </c>
      <c r="BU38" s="229">
        <f t="shared" si="59"/>
        <v>0</v>
      </c>
      <c r="BV38" s="229">
        <f t="shared" si="59"/>
        <v>0</v>
      </c>
      <c r="BW38" s="229">
        <f t="shared" si="59"/>
        <v>0</v>
      </c>
      <c r="BX38" s="229">
        <f t="shared" si="59"/>
        <v>0</v>
      </c>
      <c r="BY38" s="229">
        <f t="shared" si="59"/>
        <v>0</v>
      </c>
      <c r="BZ38" s="229">
        <f t="shared" si="59"/>
        <v>1815000000</v>
      </c>
      <c r="CA38" s="229">
        <f t="shared" si="59"/>
        <v>0</v>
      </c>
      <c r="CB38" s="229">
        <f t="shared" si="59"/>
        <v>0</v>
      </c>
      <c r="CC38" s="229">
        <f t="shared" si="59"/>
        <v>0</v>
      </c>
      <c r="CD38" s="229">
        <f t="shared" si="59"/>
        <v>0</v>
      </c>
      <c r="CE38" s="229">
        <f t="shared" si="59"/>
        <v>0</v>
      </c>
      <c r="CF38" s="229">
        <f t="shared" si="59"/>
        <v>0</v>
      </c>
      <c r="CG38" s="229">
        <f t="shared" si="59"/>
        <v>0</v>
      </c>
      <c r="CH38" s="229">
        <f t="shared" si="59"/>
        <v>0</v>
      </c>
      <c r="CI38" s="270">
        <f t="shared" si="59"/>
        <v>0</v>
      </c>
      <c r="CJ38" s="270">
        <f t="shared" si="59"/>
        <v>0</v>
      </c>
      <c r="CK38" s="270">
        <f t="shared" si="59"/>
        <v>0</v>
      </c>
      <c r="CL38" s="229">
        <f t="shared" si="59"/>
        <v>0</v>
      </c>
      <c r="CM38" s="229">
        <f t="shared" si="59"/>
        <v>0</v>
      </c>
      <c r="CN38" s="229">
        <f t="shared" si="59"/>
        <v>0</v>
      </c>
      <c r="CO38" s="271" t="s">
        <v>190</v>
      </c>
      <c r="CP38" s="303">
        <f t="shared" ref="CP38:ER38" si="60">CP39+CP40</f>
        <v>2125457600</v>
      </c>
      <c r="CQ38" s="303">
        <f t="shared" si="60"/>
        <v>310457600</v>
      </c>
      <c r="CR38" s="303">
        <f t="shared" si="60"/>
        <v>0</v>
      </c>
      <c r="CS38" s="272">
        <f t="shared" si="60"/>
        <v>0</v>
      </c>
      <c r="CT38" s="272">
        <f t="shared" si="60"/>
        <v>0</v>
      </c>
      <c r="CU38" s="272">
        <f t="shared" si="60"/>
        <v>0</v>
      </c>
      <c r="CV38" s="272">
        <f t="shared" si="60"/>
        <v>0</v>
      </c>
      <c r="CW38" s="303">
        <f t="shared" si="60"/>
        <v>310457600</v>
      </c>
      <c r="CX38" s="272">
        <f t="shared" si="60"/>
        <v>0</v>
      </c>
      <c r="CY38" s="272">
        <f t="shared" si="60"/>
        <v>0</v>
      </c>
      <c r="CZ38" s="272">
        <f t="shared" si="60"/>
        <v>0</v>
      </c>
      <c r="DA38" s="272">
        <f t="shared" si="60"/>
        <v>0</v>
      </c>
      <c r="DB38" s="272">
        <f t="shared" si="60"/>
        <v>0</v>
      </c>
      <c r="DC38" s="272">
        <f t="shared" si="60"/>
        <v>0</v>
      </c>
      <c r="DD38" s="272">
        <f t="shared" si="60"/>
        <v>0</v>
      </c>
      <c r="DE38" s="272">
        <f t="shared" si="60"/>
        <v>0</v>
      </c>
      <c r="DF38" s="272">
        <f t="shared" si="60"/>
        <v>0</v>
      </c>
      <c r="DG38" s="272">
        <f t="shared" si="60"/>
        <v>0</v>
      </c>
      <c r="DH38" s="272">
        <f t="shared" si="60"/>
        <v>0</v>
      </c>
      <c r="DI38" s="272">
        <f t="shared" si="60"/>
        <v>0</v>
      </c>
      <c r="DJ38" s="272">
        <f t="shared" si="60"/>
        <v>0</v>
      </c>
      <c r="DK38" s="272">
        <f t="shared" si="60"/>
        <v>0</v>
      </c>
      <c r="DL38" s="272">
        <f t="shared" si="60"/>
        <v>0</v>
      </c>
      <c r="DM38" s="272">
        <f>DM39+DM40</f>
        <v>0</v>
      </c>
      <c r="DN38" s="272">
        <f t="shared" si="60"/>
        <v>0</v>
      </c>
      <c r="DO38" s="272">
        <f t="shared" si="60"/>
        <v>0</v>
      </c>
      <c r="DP38" s="272">
        <f t="shared" si="60"/>
        <v>0</v>
      </c>
      <c r="DQ38" s="272">
        <f t="shared" si="60"/>
        <v>0</v>
      </c>
      <c r="DR38" s="272">
        <f t="shared" si="60"/>
        <v>0</v>
      </c>
      <c r="DS38" s="272">
        <f t="shared" si="60"/>
        <v>0</v>
      </c>
      <c r="DT38" s="272">
        <f t="shared" si="60"/>
        <v>0</v>
      </c>
      <c r="DU38" s="272">
        <f t="shared" si="60"/>
        <v>0</v>
      </c>
      <c r="DV38" s="272">
        <f t="shared" si="60"/>
        <v>0</v>
      </c>
      <c r="DW38" s="272">
        <f t="shared" si="60"/>
        <v>0</v>
      </c>
      <c r="DX38" s="272">
        <f t="shared" si="60"/>
        <v>0</v>
      </c>
      <c r="DY38" s="272">
        <f t="shared" si="60"/>
        <v>0</v>
      </c>
      <c r="DZ38" s="272">
        <f t="shared" si="60"/>
        <v>0</v>
      </c>
      <c r="EA38" s="272">
        <f t="shared" si="60"/>
        <v>0</v>
      </c>
      <c r="EB38" s="272">
        <f t="shared" si="60"/>
        <v>0</v>
      </c>
      <c r="EC38" s="272">
        <f t="shared" si="60"/>
        <v>0</v>
      </c>
      <c r="ED38" s="272">
        <f t="shared" si="60"/>
        <v>0</v>
      </c>
      <c r="EE38" s="272">
        <f t="shared" si="60"/>
        <v>0</v>
      </c>
      <c r="EF38" s="272">
        <f t="shared" si="60"/>
        <v>0</v>
      </c>
      <c r="EG38" s="272">
        <f t="shared" si="60"/>
        <v>0</v>
      </c>
      <c r="EH38" s="272">
        <f t="shared" si="60"/>
        <v>0</v>
      </c>
      <c r="EI38" s="272">
        <f>EI39+EI40</f>
        <v>0</v>
      </c>
      <c r="EJ38" s="272">
        <f>EJ39+EJ40</f>
        <v>0</v>
      </c>
      <c r="EK38" s="272">
        <f t="shared" si="60"/>
        <v>0</v>
      </c>
      <c r="EL38" s="272">
        <f t="shared" si="60"/>
        <v>0</v>
      </c>
      <c r="EM38" s="272">
        <f t="shared" si="60"/>
        <v>0</v>
      </c>
      <c r="EN38" s="272">
        <f t="shared" si="60"/>
        <v>310457600</v>
      </c>
      <c r="EO38" s="272">
        <f t="shared" si="60"/>
        <v>0</v>
      </c>
      <c r="EP38" s="272">
        <f t="shared" si="60"/>
        <v>0</v>
      </c>
      <c r="EQ38" s="272">
        <f t="shared" si="60"/>
        <v>0</v>
      </c>
      <c r="ER38" s="303">
        <f t="shared" si="60"/>
        <v>1796150000</v>
      </c>
      <c r="ES38" s="303">
        <f t="shared" ref="ES38:GB38" si="61">ES39+ES40</f>
        <v>0</v>
      </c>
      <c r="ET38" s="303">
        <f t="shared" si="61"/>
        <v>1796150000</v>
      </c>
      <c r="EU38" s="272">
        <f t="shared" si="61"/>
        <v>0</v>
      </c>
      <c r="EV38" s="272">
        <f t="shared" si="61"/>
        <v>0</v>
      </c>
      <c r="EW38" s="272">
        <f t="shared" si="61"/>
        <v>0</v>
      </c>
      <c r="EX38" s="272">
        <f t="shared" si="61"/>
        <v>0</v>
      </c>
      <c r="EY38" s="272">
        <f>EY39+EY40</f>
        <v>0</v>
      </c>
      <c r="EZ38" s="272">
        <f>EZ39+EZ40</f>
        <v>0</v>
      </c>
      <c r="FA38" s="272">
        <f t="shared" si="61"/>
        <v>0</v>
      </c>
      <c r="FB38" s="272">
        <f t="shared" si="61"/>
        <v>0</v>
      </c>
      <c r="FC38" s="272">
        <f t="shared" si="61"/>
        <v>0</v>
      </c>
      <c r="FD38" s="272">
        <f t="shared" si="61"/>
        <v>0</v>
      </c>
      <c r="FE38" s="272">
        <f t="shared" si="61"/>
        <v>0</v>
      </c>
      <c r="FF38" s="272">
        <f t="shared" si="61"/>
        <v>0</v>
      </c>
      <c r="FG38" s="272">
        <f t="shared" si="61"/>
        <v>0</v>
      </c>
      <c r="FH38" s="272">
        <f t="shared" si="61"/>
        <v>0</v>
      </c>
      <c r="FI38" s="272">
        <f t="shared" si="61"/>
        <v>0</v>
      </c>
      <c r="FJ38" s="272">
        <f t="shared" si="61"/>
        <v>0</v>
      </c>
      <c r="FK38" s="272">
        <f t="shared" si="61"/>
        <v>0</v>
      </c>
      <c r="FL38" s="272">
        <f t="shared" si="61"/>
        <v>0</v>
      </c>
      <c r="FM38" s="272">
        <f t="shared" si="61"/>
        <v>1796150000</v>
      </c>
      <c r="FN38" s="272">
        <f t="shared" si="61"/>
        <v>0</v>
      </c>
      <c r="FO38" s="272">
        <f t="shared" si="61"/>
        <v>0</v>
      </c>
      <c r="FP38" s="272">
        <f t="shared" si="61"/>
        <v>0</v>
      </c>
      <c r="FQ38" s="272">
        <f t="shared" si="61"/>
        <v>0</v>
      </c>
      <c r="FR38" s="272">
        <f t="shared" si="61"/>
        <v>0</v>
      </c>
      <c r="FS38" s="272">
        <f t="shared" si="61"/>
        <v>0</v>
      </c>
      <c r="FT38" s="272">
        <f t="shared" si="61"/>
        <v>0</v>
      </c>
      <c r="FU38" s="272">
        <f t="shared" si="61"/>
        <v>0</v>
      </c>
      <c r="FV38" s="303">
        <f t="shared" si="61"/>
        <v>0</v>
      </c>
      <c r="FW38" s="303">
        <f t="shared" si="61"/>
        <v>0</v>
      </c>
      <c r="FX38" s="303">
        <f t="shared" si="61"/>
        <v>0</v>
      </c>
      <c r="FY38" s="272">
        <f t="shared" si="61"/>
        <v>0</v>
      </c>
      <c r="FZ38" s="272">
        <f t="shared" si="61"/>
        <v>0</v>
      </c>
      <c r="GA38" s="272">
        <f t="shared" si="61"/>
        <v>0</v>
      </c>
      <c r="GB38" s="303">
        <f t="shared" si="61"/>
        <v>18850000</v>
      </c>
      <c r="GC38" s="328">
        <f>CP38/C38</f>
        <v>1</v>
      </c>
      <c r="GD38" s="328"/>
      <c r="GE38" s="328">
        <f>CW38/J38</f>
        <v>1</v>
      </c>
      <c r="GF38" s="328">
        <f>ER38/BE38</f>
        <v>0.98961432506887048</v>
      </c>
      <c r="GG38" s="328"/>
    </row>
    <row r="39" spans="1:189" s="264" customFormat="1" ht="17.25" customHeight="1">
      <c r="A39" s="227"/>
      <c r="B39" s="228" t="s">
        <v>183</v>
      </c>
      <c r="C39" s="270">
        <f>D39+BE39+CI39</f>
        <v>0</v>
      </c>
      <c r="D39" s="270">
        <f>E39+J39</f>
        <v>0</v>
      </c>
      <c r="E39" s="270">
        <f>SUM(F39:I39)</f>
        <v>0</v>
      </c>
      <c r="F39" s="229"/>
      <c r="G39" s="229"/>
      <c r="H39" s="229"/>
      <c r="I39" s="229"/>
      <c r="J39" s="270">
        <f>SUM(K39:BD39)</f>
        <v>0</v>
      </c>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70">
        <f>SUM(BF39:BG39)</f>
        <v>0</v>
      </c>
      <c r="BF39" s="270">
        <f>SUM(BH39:BI39)+BJ39+SUM(BL39:BN39)+BW39+CE39</f>
        <v>0</v>
      </c>
      <c r="BG39" s="270">
        <f>BK39+SUM(BO39:BV39)+SUM(BX39:CD39)+SUM(CF39:CH39)</f>
        <v>0</v>
      </c>
      <c r="BH39" s="229"/>
      <c r="BI39" s="229"/>
      <c r="BJ39" s="229"/>
      <c r="BK39" s="229"/>
      <c r="BL39" s="229"/>
      <c r="BM39" s="229"/>
      <c r="BN39" s="229"/>
      <c r="BO39" s="229"/>
      <c r="BP39" s="229"/>
      <c r="BQ39" s="229"/>
      <c r="BR39" s="229"/>
      <c r="BS39" s="229"/>
      <c r="BT39" s="229"/>
      <c r="BU39" s="229"/>
      <c r="BV39" s="229"/>
      <c r="BW39" s="229"/>
      <c r="BX39" s="229"/>
      <c r="BY39" s="229"/>
      <c r="BZ39" s="229"/>
      <c r="CA39" s="229"/>
      <c r="CB39" s="229"/>
      <c r="CC39" s="229"/>
      <c r="CD39" s="229"/>
      <c r="CE39" s="229"/>
      <c r="CF39" s="229"/>
      <c r="CG39" s="229"/>
      <c r="CH39" s="229"/>
      <c r="CI39" s="270">
        <f>SUM(CJ39:CK39)</f>
        <v>0</v>
      </c>
      <c r="CJ39" s="270">
        <f>SUM(CL39:CL39)</f>
        <v>0</v>
      </c>
      <c r="CK39" s="270">
        <f>SUM(CM39:CN39)</f>
        <v>0</v>
      </c>
      <c r="CL39" s="229"/>
      <c r="CM39" s="229"/>
      <c r="CN39" s="229"/>
      <c r="CO39" s="271" t="s">
        <v>183</v>
      </c>
      <c r="CP39" s="303">
        <f>CQ39+ER39+FV39+GB39</f>
        <v>0</v>
      </c>
      <c r="CQ39" s="303">
        <f>CR39+CW39</f>
        <v>0</v>
      </c>
      <c r="CR39" s="303">
        <f>SUM(CS39:CV39)</f>
        <v>0</v>
      </c>
      <c r="CS39" s="272"/>
      <c r="CT39" s="272"/>
      <c r="CU39" s="272"/>
      <c r="CV39" s="272"/>
      <c r="CW39" s="303">
        <f>SUM(CX39:EQ39)</f>
        <v>0</v>
      </c>
      <c r="CX39" s="272"/>
      <c r="CY39" s="272"/>
      <c r="CZ39" s="272"/>
      <c r="DA39" s="272"/>
      <c r="DB39" s="272"/>
      <c r="DC39" s="272"/>
      <c r="DD39" s="272"/>
      <c r="DE39" s="272"/>
      <c r="DF39" s="272"/>
      <c r="DG39" s="272"/>
      <c r="DH39" s="272"/>
      <c r="DI39" s="272"/>
      <c r="DJ39" s="272"/>
      <c r="DK39" s="272"/>
      <c r="DL39" s="272"/>
      <c r="DM39" s="272"/>
      <c r="DN39" s="272"/>
      <c r="DO39" s="272"/>
      <c r="DP39" s="272"/>
      <c r="DQ39" s="272"/>
      <c r="DR39" s="272"/>
      <c r="DS39" s="272"/>
      <c r="DT39" s="272"/>
      <c r="DU39" s="272"/>
      <c r="DV39" s="272"/>
      <c r="DW39" s="272"/>
      <c r="DX39" s="272"/>
      <c r="DY39" s="272"/>
      <c r="DZ39" s="272"/>
      <c r="EA39" s="272"/>
      <c r="EB39" s="272"/>
      <c r="EC39" s="272"/>
      <c r="ED39" s="272"/>
      <c r="EE39" s="272"/>
      <c r="EF39" s="272"/>
      <c r="EG39" s="272"/>
      <c r="EH39" s="272"/>
      <c r="EI39" s="272"/>
      <c r="EJ39" s="272"/>
      <c r="EK39" s="272"/>
      <c r="EL39" s="272"/>
      <c r="EM39" s="272"/>
      <c r="EN39" s="272"/>
      <c r="EO39" s="272"/>
      <c r="EP39" s="272"/>
      <c r="EQ39" s="272"/>
      <c r="ER39" s="303">
        <f>SUM(ES39:ET39)</f>
        <v>0</v>
      </c>
      <c r="ES39" s="303">
        <f>SUM(EU39:EV39)+EW39+SUM(EY39:FA39)+FJ39+FR39</f>
        <v>0</v>
      </c>
      <c r="ET39" s="303">
        <f>EX39+SUM(FB39:FI39)+SUM(FK39:FQ39)+SUM(FS39:FU39)</f>
        <v>0</v>
      </c>
      <c r="EU39" s="272"/>
      <c r="EV39" s="272"/>
      <c r="EW39" s="272"/>
      <c r="EX39" s="272"/>
      <c r="EY39" s="272"/>
      <c r="EZ39" s="272"/>
      <c r="FA39" s="272"/>
      <c r="FB39" s="272"/>
      <c r="FC39" s="272"/>
      <c r="FD39" s="272"/>
      <c r="FE39" s="272"/>
      <c r="FF39" s="272"/>
      <c r="FG39" s="272"/>
      <c r="FH39" s="272"/>
      <c r="FI39" s="272"/>
      <c r="FJ39" s="272"/>
      <c r="FK39" s="272"/>
      <c r="FL39" s="272"/>
      <c r="FM39" s="272"/>
      <c r="FN39" s="272"/>
      <c r="FO39" s="272"/>
      <c r="FP39" s="272"/>
      <c r="FQ39" s="272"/>
      <c r="FR39" s="272"/>
      <c r="FS39" s="272"/>
      <c r="FT39" s="272"/>
      <c r="FU39" s="272"/>
      <c r="FV39" s="303">
        <f>SUM(FW39:FX39)</f>
        <v>0</v>
      </c>
      <c r="FW39" s="303">
        <f>SUM(FY39:FY39)</f>
        <v>0</v>
      </c>
      <c r="FX39" s="303">
        <f>SUM(FZ39:GA39)</f>
        <v>0</v>
      </c>
      <c r="FY39" s="272"/>
      <c r="FZ39" s="272"/>
      <c r="GA39" s="272"/>
      <c r="GB39" s="303"/>
      <c r="GC39" s="328"/>
      <c r="GD39" s="328"/>
      <c r="GE39" s="328"/>
      <c r="GF39" s="328"/>
      <c r="GG39" s="328"/>
    </row>
    <row r="40" spans="1:189" s="264" customFormat="1" ht="17.25" customHeight="1">
      <c r="A40" s="227"/>
      <c r="B40" s="228" t="s">
        <v>184</v>
      </c>
      <c r="C40" s="270">
        <f>D40+BE40+CI40</f>
        <v>2125457600</v>
      </c>
      <c r="D40" s="270">
        <f>E40+J40</f>
        <v>310457600</v>
      </c>
      <c r="E40" s="270">
        <f>SUM(F40:I40)</f>
        <v>0</v>
      </c>
      <c r="F40" s="229"/>
      <c r="G40" s="229"/>
      <c r="H40" s="229"/>
      <c r="I40" s="229"/>
      <c r="J40" s="270">
        <f>SUM(K40:BD40)</f>
        <v>310457600</v>
      </c>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v>310457600</v>
      </c>
      <c r="BB40" s="229"/>
      <c r="BC40" s="229"/>
      <c r="BD40" s="229"/>
      <c r="BE40" s="270">
        <f>SUM(BF40:BG40)</f>
        <v>1815000000</v>
      </c>
      <c r="BF40" s="270">
        <f>SUM(BH40:BI40)+BJ40+SUM(BL40:BN40)+BW40+CE40</f>
        <v>0</v>
      </c>
      <c r="BG40" s="270">
        <f>BK40+SUM(BO40:BV40)+SUM(BX40:CD40)+SUM(CF40:CH40)</f>
        <v>1815000000</v>
      </c>
      <c r="BH40" s="229"/>
      <c r="BI40" s="229"/>
      <c r="BJ40" s="229"/>
      <c r="BK40" s="229"/>
      <c r="BL40" s="229"/>
      <c r="BM40" s="229"/>
      <c r="BN40" s="229"/>
      <c r="BO40" s="229"/>
      <c r="BP40" s="229"/>
      <c r="BQ40" s="229"/>
      <c r="BR40" s="229"/>
      <c r="BS40" s="229"/>
      <c r="BT40" s="229"/>
      <c r="BU40" s="229"/>
      <c r="BV40" s="229"/>
      <c r="BW40" s="229"/>
      <c r="BX40" s="229"/>
      <c r="BY40" s="229"/>
      <c r="BZ40" s="229">
        <v>1815000000</v>
      </c>
      <c r="CA40" s="229"/>
      <c r="CB40" s="229"/>
      <c r="CC40" s="229"/>
      <c r="CD40" s="229"/>
      <c r="CE40" s="229"/>
      <c r="CF40" s="229"/>
      <c r="CG40" s="229"/>
      <c r="CH40" s="229"/>
      <c r="CI40" s="270">
        <f>SUM(CJ40:CK40)</f>
        <v>0</v>
      </c>
      <c r="CJ40" s="270">
        <f>SUM(CL40:CL40)</f>
        <v>0</v>
      </c>
      <c r="CK40" s="270">
        <f>SUM(CM40:CN40)</f>
        <v>0</v>
      </c>
      <c r="CL40" s="229"/>
      <c r="CM40" s="229"/>
      <c r="CN40" s="229"/>
      <c r="CO40" s="271" t="s">
        <v>184</v>
      </c>
      <c r="CP40" s="303">
        <f>CQ40+ER40+FV40+GB40</f>
        <v>2125457600</v>
      </c>
      <c r="CQ40" s="303">
        <f>CR40+CW40</f>
        <v>310457600</v>
      </c>
      <c r="CR40" s="303">
        <f>SUM(CS40:CV40)</f>
        <v>0</v>
      </c>
      <c r="CS40" s="272"/>
      <c r="CT40" s="272"/>
      <c r="CU40" s="272"/>
      <c r="CV40" s="272"/>
      <c r="CW40" s="303">
        <f>SUM(CX40:EQ40)</f>
        <v>310457600</v>
      </c>
      <c r="CX40" s="272"/>
      <c r="CY40" s="272"/>
      <c r="CZ40" s="272"/>
      <c r="DA40" s="272"/>
      <c r="DB40" s="272"/>
      <c r="DC40" s="272"/>
      <c r="DD40" s="272"/>
      <c r="DE40" s="272"/>
      <c r="DF40" s="272"/>
      <c r="DG40" s="272"/>
      <c r="DH40" s="272"/>
      <c r="DI40" s="272"/>
      <c r="DJ40" s="272"/>
      <c r="DK40" s="272"/>
      <c r="DL40" s="272"/>
      <c r="DM40" s="272"/>
      <c r="DN40" s="272"/>
      <c r="DO40" s="272"/>
      <c r="DP40" s="272"/>
      <c r="DQ40" s="272"/>
      <c r="DR40" s="272"/>
      <c r="DS40" s="272"/>
      <c r="DT40" s="272"/>
      <c r="DU40" s="272"/>
      <c r="DV40" s="272"/>
      <c r="DW40" s="272"/>
      <c r="DX40" s="272"/>
      <c r="DY40" s="272"/>
      <c r="DZ40" s="272"/>
      <c r="EA40" s="272"/>
      <c r="EB40" s="272"/>
      <c r="EC40" s="272"/>
      <c r="ED40" s="272"/>
      <c r="EE40" s="272"/>
      <c r="EF40" s="272"/>
      <c r="EG40" s="272"/>
      <c r="EH40" s="272"/>
      <c r="EI40" s="272"/>
      <c r="EJ40" s="272"/>
      <c r="EK40" s="272"/>
      <c r="EL40" s="272"/>
      <c r="EM40" s="272"/>
      <c r="EN40" s="272">
        <v>310457600</v>
      </c>
      <c r="EO40" s="272"/>
      <c r="EP40" s="272"/>
      <c r="EQ40" s="272"/>
      <c r="ER40" s="303">
        <f>SUM(ES40:ET40)</f>
        <v>1796150000</v>
      </c>
      <c r="ES40" s="303">
        <f>SUM(EU40:EV40)+EW40+SUM(EY40:FA40)+FJ40+FR40</f>
        <v>0</v>
      </c>
      <c r="ET40" s="303">
        <f>EX40+SUM(FB40:FI40)+SUM(FK40:FQ40)+SUM(FS40:FU40)</f>
        <v>1796150000</v>
      </c>
      <c r="EU40" s="272"/>
      <c r="EV40" s="272"/>
      <c r="EW40" s="272"/>
      <c r="EX40" s="272"/>
      <c r="EY40" s="272"/>
      <c r="EZ40" s="272"/>
      <c r="FA40" s="272"/>
      <c r="FB40" s="272"/>
      <c r="FC40" s="272"/>
      <c r="FD40" s="272"/>
      <c r="FE40" s="272"/>
      <c r="FF40" s="272"/>
      <c r="FG40" s="272"/>
      <c r="FH40" s="272"/>
      <c r="FI40" s="272"/>
      <c r="FJ40" s="272"/>
      <c r="FK40" s="272"/>
      <c r="FL40" s="272"/>
      <c r="FM40" s="272">
        <v>1796150000</v>
      </c>
      <c r="FN40" s="272"/>
      <c r="FO40" s="272"/>
      <c r="FP40" s="272"/>
      <c r="FQ40" s="272"/>
      <c r="FR40" s="272"/>
      <c r="FS40" s="272"/>
      <c r="FT40" s="272"/>
      <c r="FU40" s="272"/>
      <c r="FV40" s="303">
        <f>SUM(FW40:FX40)</f>
        <v>0</v>
      </c>
      <c r="FW40" s="303">
        <f>SUM(FY40:FY40)</f>
        <v>0</v>
      </c>
      <c r="FX40" s="303">
        <f>SUM(FZ40:GA40)</f>
        <v>0</v>
      </c>
      <c r="FY40" s="272"/>
      <c r="FZ40" s="272"/>
      <c r="GA40" s="272"/>
      <c r="GB40" s="303">
        <v>18850000</v>
      </c>
      <c r="GC40" s="328">
        <f>CP40/C40</f>
        <v>1</v>
      </c>
      <c r="GD40" s="328"/>
      <c r="GE40" s="328">
        <f>CW40/J40</f>
        <v>1</v>
      </c>
      <c r="GF40" s="328">
        <f>ER40/BE40</f>
        <v>0.98961432506887048</v>
      </c>
      <c r="GG40" s="328"/>
    </row>
    <row r="41" spans="1:189" s="264" customFormat="1" ht="17.25" customHeight="1">
      <c r="A41" s="227">
        <v>10</v>
      </c>
      <c r="B41" s="228" t="s">
        <v>343</v>
      </c>
      <c r="C41" s="270">
        <f t="shared" ref="C41:AI41" si="62">C42+C43</f>
        <v>62876072052</v>
      </c>
      <c r="D41" s="270">
        <f t="shared" si="62"/>
        <v>56760673576</v>
      </c>
      <c r="E41" s="270">
        <f t="shared" si="62"/>
        <v>0</v>
      </c>
      <c r="F41" s="229">
        <f t="shared" si="62"/>
        <v>0</v>
      </c>
      <c r="G41" s="229">
        <f t="shared" si="62"/>
        <v>0</v>
      </c>
      <c r="H41" s="229">
        <f t="shared" si="62"/>
        <v>0</v>
      </c>
      <c r="I41" s="229">
        <f t="shared" si="62"/>
        <v>0</v>
      </c>
      <c r="J41" s="270">
        <f t="shared" si="62"/>
        <v>56760673576</v>
      </c>
      <c r="K41" s="229">
        <f t="shared" si="62"/>
        <v>0</v>
      </c>
      <c r="L41" s="229">
        <f t="shared" si="62"/>
        <v>0</v>
      </c>
      <c r="M41" s="229">
        <f t="shared" si="62"/>
        <v>0</v>
      </c>
      <c r="N41" s="229">
        <f t="shared" si="62"/>
        <v>0</v>
      </c>
      <c r="O41" s="229">
        <f t="shared" si="62"/>
        <v>0</v>
      </c>
      <c r="P41" s="229">
        <f t="shared" si="62"/>
        <v>0</v>
      </c>
      <c r="Q41" s="229">
        <f t="shared" si="62"/>
        <v>0</v>
      </c>
      <c r="R41" s="229">
        <f t="shared" si="62"/>
        <v>0</v>
      </c>
      <c r="S41" s="229">
        <f t="shared" si="62"/>
        <v>0</v>
      </c>
      <c r="T41" s="229">
        <f t="shared" si="62"/>
        <v>0</v>
      </c>
      <c r="U41" s="229">
        <f t="shared" si="62"/>
        <v>0</v>
      </c>
      <c r="V41" s="229">
        <f t="shared" si="62"/>
        <v>0</v>
      </c>
      <c r="W41" s="229">
        <f t="shared" si="62"/>
        <v>0</v>
      </c>
      <c r="X41" s="229">
        <f t="shared" si="62"/>
        <v>0</v>
      </c>
      <c r="Y41" s="229">
        <f t="shared" si="62"/>
        <v>0</v>
      </c>
      <c r="Z41" s="229">
        <f t="shared" si="62"/>
        <v>0</v>
      </c>
      <c r="AA41" s="229">
        <f t="shared" si="62"/>
        <v>0</v>
      </c>
      <c r="AB41" s="229">
        <f t="shared" si="62"/>
        <v>0</v>
      </c>
      <c r="AC41" s="229">
        <f t="shared" si="62"/>
        <v>0</v>
      </c>
      <c r="AD41" s="229">
        <f t="shared" si="62"/>
        <v>0</v>
      </c>
      <c r="AE41" s="229">
        <f t="shared" si="62"/>
        <v>0</v>
      </c>
      <c r="AF41" s="229">
        <f t="shared" si="62"/>
        <v>5645407000</v>
      </c>
      <c r="AG41" s="229">
        <f t="shared" si="62"/>
        <v>0</v>
      </c>
      <c r="AH41" s="229">
        <f t="shared" si="62"/>
        <v>46170780000</v>
      </c>
      <c r="AI41" s="229">
        <f t="shared" si="62"/>
        <v>3962284576</v>
      </c>
      <c r="AJ41" s="229">
        <f t="shared" ref="AJ41:AO41" si="63">AJ42+AJ43</f>
        <v>0</v>
      </c>
      <c r="AK41" s="229">
        <f t="shared" si="63"/>
        <v>0</v>
      </c>
      <c r="AL41" s="229">
        <f t="shared" si="63"/>
        <v>0</v>
      </c>
      <c r="AM41" s="229">
        <f t="shared" si="63"/>
        <v>0</v>
      </c>
      <c r="AN41" s="229">
        <f t="shared" si="63"/>
        <v>0</v>
      </c>
      <c r="AO41" s="229">
        <f t="shared" si="63"/>
        <v>0</v>
      </c>
      <c r="AP41" s="229">
        <f t="shared" ref="AP41:AU41" si="64">AP42+AP43</f>
        <v>0</v>
      </c>
      <c r="AQ41" s="229">
        <f t="shared" si="64"/>
        <v>0</v>
      </c>
      <c r="AR41" s="229">
        <f t="shared" si="64"/>
        <v>0</v>
      </c>
      <c r="AS41" s="229">
        <f t="shared" si="64"/>
        <v>0</v>
      </c>
      <c r="AT41" s="229">
        <f t="shared" si="64"/>
        <v>0</v>
      </c>
      <c r="AU41" s="229">
        <f t="shared" si="64"/>
        <v>0</v>
      </c>
      <c r="AV41" s="229">
        <f>AV42+AV43</f>
        <v>0</v>
      </c>
      <c r="AW41" s="229">
        <f>AW42+AW43</f>
        <v>0</v>
      </c>
      <c r="AX41" s="229">
        <f t="shared" ref="AX41:CN41" si="65">AX42+AX43</f>
        <v>0</v>
      </c>
      <c r="AY41" s="229">
        <f t="shared" si="65"/>
        <v>0</v>
      </c>
      <c r="AZ41" s="229">
        <f t="shared" si="65"/>
        <v>0</v>
      </c>
      <c r="BA41" s="229">
        <f t="shared" si="65"/>
        <v>982202000</v>
      </c>
      <c r="BB41" s="229">
        <f t="shared" si="65"/>
        <v>0</v>
      </c>
      <c r="BC41" s="229">
        <f t="shared" si="65"/>
        <v>0</v>
      </c>
      <c r="BD41" s="229">
        <f t="shared" si="65"/>
        <v>0</v>
      </c>
      <c r="BE41" s="270">
        <f t="shared" si="65"/>
        <v>6115398476</v>
      </c>
      <c r="BF41" s="270">
        <f t="shared" si="65"/>
        <v>0</v>
      </c>
      <c r="BG41" s="270">
        <f t="shared" si="65"/>
        <v>6115398476</v>
      </c>
      <c r="BH41" s="229">
        <f t="shared" si="65"/>
        <v>0</v>
      </c>
      <c r="BI41" s="229">
        <f t="shared" si="65"/>
        <v>0</v>
      </c>
      <c r="BJ41" s="229">
        <f t="shared" si="65"/>
        <v>0</v>
      </c>
      <c r="BK41" s="229">
        <f t="shared" si="65"/>
        <v>0</v>
      </c>
      <c r="BL41" s="229">
        <f>BL42+BL43</f>
        <v>0</v>
      </c>
      <c r="BM41" s="229">
        <f>BM42+BM43</f>
        <v>0</v>
      </c>
      <c r="BN41" s="229">
        <f t="shared" si="65"/>
        <v>0</v>
      </c>
      <c r="BO41" s="229">
        <f t="shared" si="65"/>
        <v>0</v>
      </c>
      <c r="BP41" s="229">
        <f t="shared" si="65"/>
        <v>0</v>
      </c>
      <c r="BQ41" s="229">
        <f t="shared" si="65"/>
        <v>0</v>
      </c>
      <c r="BR41" s="229">
        <f t="shared" si="65"/>
        <v>1328000000</v>
      </c>
      <c r="BS41" s="229">
        <f t="shared" si="65"/>
        <v>0</v>
      </c>
      <c r="BT41" s="229">
        <f t="shared" si="65"/>
        <v>0</v>
      </c>
      <c r="BU41" s="229">
        <f t="shared" si="65"/>
        <v>0</v>
      </c>
      <c r="BV41" s="229">
        <f t="shared" si="65"/>
        <v>0</v>
      </c>
      <c r="BW41" s="229">
        <f t="shared" si="65"/>
        <v>0</v>
      </c>
      <c r="BX41" s="229">
        <f t="shared" si="65"/>
        <v>0</v>
      </c>
      <c r="BY41" s="229">
        <f t="shared" si="65"/>
        <v>0</v>
      </c>
      <c r="BZ41" s="229">
        <f t="shared" si="65"/>
        <v>0</v>
      </c>
      <c r="CA41" s="229">
        <f t="shared" si="65"/>
        <v>3029000000</v>
      </c>
      <c r="CB41" s="229">
        <f t="shared" si="65"/>
        <v>0</v>
      </c>
      <c r="CC41" s="229">
        <f t="shared" si="65"/>
        <v>477000000</v>
      </c>
      <c r="CD41" s="229">
        <f t="shared" si="65"/>
        <v>1281398476</v>
      </c>
      <c r="CE41" s="229">
        <f t="shared" si="65"/>
        <v>0</v>
      </c>
      <c r="CF41" s="229">
        <f t="shared" si="65"/>
        <v>0</v>
      </c>
      <c r="CG41" s="229">
        <f t="shared" si="65"/>
        <v>0</v>
      </c>
      <c r="CH41" s="229">
        <f t="shared" si="65"/>
        <v>0</v>
      </c>
      <c r="CI41" s="270">
        <f t="shared" si="65"/>
        <v>0</v>
      </c>
      <c r="CJ41" s="270">
        <f t="shared" si="65"/>
        <v>0</v>
      </c>
      <c r="CK41" s="270">
        <f t="shared" si="65"/>
        <v>0</v>
      </c>
      <c r="CL41" s="229">
        <f t="shared" si="65"/>
        <v>0</v>
      </c>
      <c r="CM41" s="229">
        <f t="shared" si="65"/>
        <v>0</v>
      </c>
      <c r="CN41" s="229">
        <f t="shared" si="65"/>
        <v>0</v>
      </c>
      <c r="CO41" s="271" t="s">
        <v>192</v>
      </c>
      <c r="CP41" s="303">
        <f t="shared" ref="CP41:ER41" si="66">CP42+CP43</f>
        <v>62876072052</v>
      </c>
      <c r="CQ41" s="303">
        <f t="shared" si="66"/>
        <v>55918933576</v>
      </c>
      <c r="CR41" s="303">
        <f t="shared" si="66"/>
        <v>0</v>
      </c>
      <c r="CS41" s="272">
        <f t="shared" si="66"/>
        <v>0</v>
      </c>
      <c r="CT41" s="272">
        <f t="shared" si="66"/>
        <v>0</v>
      </c>
      <c r="CU41" s="272">
        <f t="shared" si="66"/>
        <v>0</v>
      </c>
      <c r="CV41" s="272">
        <f t="shared" si="66"/>
        <v>0</v>
      </c>
      <c r="CW41" s="303">
        <f t="shared" si="66"/>
        <v>55918933576</v>
      </c>
      <c r="CX41" s="272">
        <f t="shared" si="66"/>
        <v>0</v>
      </c>
      <c r="CY41" s="272">
        <f t="shared" si="66"/>
        <v>0</v>
      </c>
      <c r="CZ41" s="272">
        <f t="shared" si="66"/>
        <v>0</v>
      </c>
      <c r="DA41" s="272">
        <f t="shared" si="66"/>
        <v>0</v>
      </c>
      <c r="DB41" s="272">
        <f t="shared" si="66"/>
        <v>0</v>
      </c>
      <c r="DC41" s="272">
        <f t="shared" si="66"/>
        <v>0</v>
      </c>
      <c r="DD41" s="272">
        <f t="shared" si="66"/>
        <v>0</v>
      </c>
      <c r="DE41" s="272">
        <f t="shared" si="66"/>
        <v>0</v>
      </c>
      <c r="DF41" s="272">
        <f t="shared" si="66"/>
        <v>0</v>
      </c>
      <c r="DG41" s="272">
        <f t="shared" si="66"/>
        <v>0</v>
      </c>
      <c r="DH41" s="272">
        <f t="shared" si="66"/>
        <v>0</v>
      </c>
      <c r="DI41" s="272">
        <f t="shared" si="66"/>
        <v>0</v>
      </c>
      <c r="DJ41" s="272">
        <f t="shared" si="66"/>
        <v>0</v>
      </c>
      <c r="DK41" s="272">
        <f t="shared" si="66"/>
        <v>0</v>
      </c>
      <c r="DL41" s="272">
        <f t="shared" si="66"/>
        <v>0</v>
      </c>
      <c r="DM41" s="272">
        <f>DM42+DM43</f>
        <v>0</v>
      </c>
      <c r="DN41" s="272">
        <f t="shared" si="66"/>
        <v>0</v>
      </c>
      <c r="DO41" s="272">
        <f t="shared" si="66"/>
        <v>0</v>
      </c>
      <c r="DP41" s="272">
        <f t="shared" si="66"/>
        <v>0</v>
      </c>
      <c r="DQ41" s="272">
        <f t="shared" si="66"/>
        <v>0</v>
      </c>
      <c r="DR41" s="272">
        <f t="shared" si="66"/>
        <v>0</v>
      </c>
      <c r="DS41" s="272">
        <f t="shared" si="66"/>
        <v>5645407000</v>
      </c>
      <c r="DT41" s="272">
        <f t="shared" si="66"/>
        <v>0</v>
      </c>
      <c r="DU41" s="272">
        <f t="shared" si="66"/>
        <v>45329040000</v>
      </c>
      <c r="DV41" s="272">
        <f t="shared" si="66"/>
        <v>3962284576</v>
      </c>
      <c r="DW41" s="272">
        <f t="shared" si="66"/>
        <v>0</v>
      </c>
      <c r="DX41" s="272">
        <f t="shared" si="66"/>
        <v>0</v>
      </c>
      <c r="DY41" s="272">
        <f t="shared" si="66"/>
        <v>0</v>
      </c>
      <c r="DZ41" s="272">
        <f t="shared" si="66"/>
        <v>0</v>
      </c>
      <c r="EA41" s="272">
        <f t="shared" si="66"/>
        <v>0</v>
      </c>
      <c r="EB41" s="272">
        <f t="shared" si="66"/>
        <v>0</v>
      </c>
      <c r="EC41" s="272">
        <f t="shared" si="66"/>
        <v>0</v>
      </c>
      <c r="ED41" s="272">
        <f t="shared" si="66"/>
        <v>0</v>
      </c>
      <c r="EE41" s="272">
        <f t="shared" si="66"/>
        <v>0</v>
      </c>
      <c r="EF41" s="272">
        <f t="shared" si="66"/>
        <v>0</v>
      </c>
      <c r="EG41" s="272">
        <f t="shared" si="66"/>
        <v>0</v>
      </c>
      <c r="EH41" s="272">
        <f t="shared" si="66"/>
        <v>0</v>
      </c>
      <c r="EI41" s="272">
        <f>EI42+EI43</f>
        <v>0</v>
      </c>
      <c r="EJ41" s="272">
        <f>EJ42+EJ43</f>
        <v>0</v>
      </c>
      <c r="EK41" s="272">
        <f t="shared" si="66"/>
        <v>0</v>
      </c>
      <c r="EL41" s="272">
        <f t="shared" si="66"/>
        <v>0</v>
      </c>
      <c r="EM41" s="272">
        <f t="shared" si="66"/>
        <v>0</v>
      </c>
      <c r="EN41" s="272">
        <f t="shared" si="66"/>
        <v>982202000</v>
      </c>
      <c r="EO41" s="272">
        <f t="shared" si="66"/>
        <v>0</v>
      </c>
      <c r="EP41" s="272">
        <f t="shared" si="66"/>
        <v>0</v>
      </c>
      <c r="EQ41" s="272">
        <f t="shared" si="66"/>
        <v>0</v>
      </c>
      <c r="ER41" s="303">
        <f t="shared" si="66"/>
        <v>1970181276</v>
      </c>
      <c r="ES41" s="303">
        <f t="shared" ref="ES41:GB41" si="67">ES42+ES43</f>
        <v>0</v>
      </c>
      <c r="ET41" s="303">
        <f t="shared" si="67"/>
        <v>1970181276</v>
      </c>
      <c r="EU41" s="272">
        <f t="shared" si="67"/>
        <v>0</v>
      </c>
      <c r="EV41" s="272">
        <f t="shared" si="67"/>
        <v>0</v>
      </c>
      <c r="EW41" s="272">
        <f t="shared" si="67"/>
        <v>0</v>
      </c>
      <c r="EX41" s="272">
        <f t="shared" si="67"/>
        <v>0</v>
      </c>
      <c r="EY41" s="272">
        <f>EY42+EY43</f>
        <v>0</v>
      </c>
      <c r="EZ41" s="272">
        <f>EZ42+EZ43</f>
        <v>0</v>
      </c>
      <c r="FA41" s="272">
        <f t="shared" si="67"/>
        <v>0</v>
      </c>
      <c r="FB41" s="272">
        <f t="shared" si="67"/>
        <v>0</v>
      </c>
      <c r="FC41" s="272">
        <f t="shared" si="67"/>
        <v>0</v>
      </c>
      <c r="FD41" s="272">
        <f t="shared" si="67"/>
        <v>0</v>
      </c>
      <c r="FE41" s="272">
        <f t="shared" si="67"/>
        <v>0</v>
      </c>
      <c r="FF41" s="272">
        <f t="shared" si="67"/>
        <v>0</v>
      </c>
      <c r="FG41" s="272">
        <f t="shared" si="67"/>
        <v>0</v>
      </c>
      <c r="FH41" s="272">
        <f t="shared" si="67"/>
        <v>0</v>
      </c>
      <c r="FI41" s="272">
        <f t="shared" si="67"/>
        <v>0</v>
      </c>
      <c r="FJ41" s="272">
        <f t="shared" si="67"/>
        <v>0</v>
      </c>
      <c r="FK41" s="272">
        <f t="shared" si="67"/>
        <v>0</v>
      </c>
      <c r="FL41" s="272">
        <f t="shared" si="67"/>
        <v>0</v>
      </c>
      <c r="FM41" s="272">
        <f t="shared" si="67"/>
        <v>0</v>
      </c>
      <c r="FN41" s="272">
        <f t="shared" si="67"/>
        <v>397763800</v>
      </c>
      <c r="FO41" s="272">
        <f t="shared" si="67"/>
        <v>0</v>
      </c>
      <c r="FP41" s="272">
        <f t="shared" si="67"/>
        <v>468290000</v>
      </c>
      <c r="FQ41" s="272">
        <f t="shared" si="67"/>
        <v>1104127476</v>
      </c>
      <c r="FR41" s="272">
        <f t="shared" si="67"/>
        <v>0</v>
      </c>
      <c r="FS41" s="272">
        <f t="shared" si="67"/>
        <v>0</v>
      </c>
      <c r="FT41" s="272">
        <f t="shared" si="67"/>
        <v>0</v>
      </c>
      <c r="FU41" s="272">
        <f t="shared" si="67"/>
        <v>0</v>
      </c>
      <c r="FV41" s="303">
        <f t="shared" si="67"/>
        <v>0</v>
      </c>
      <c r="FW41" s="303">
        <f t="shared" si="67"/>
        <v>0</v>
      </c>
      <c r="FX41" s="303">
        <f t="shared" si="67"/>
        <v>0</v>
      </c>
      <c r="FY41" s="272">
        <f t="shared" si="67"/>
        <v>0</v>
      </c>
      <c r="FZ41" s="272">
        <f t="shared" si="67"/>
        <v>0</v>
      </c>
      <c r="GA41" s="272">
        <f t="shared" si="67"/>
        <v>0</v>
      </c>
      <c r="GB41" s="303">
        <f t="shared" si="67"/>
        <v>4986957200</v>
      </c>
      <c r="GC41" s="328">
        <f>CP41/C41</f>
        <v>1</v>
      </c>
      <c r="GD41" s="328"/>
      <c r="GE41" s="328">
        <f>CW41/J41</f>
        <v>0.98517036625943233</v>
      </c>
      <c r="GF41" s="328">
        <f>ER41/BE41</f>
        <v>0.3221672771990271</v>
      </c>
      <c r="GG41" s="328"/>
    </row>
    <row r="42" spans="1:189" s="264" customFormat="1" ht="17.25" customHeight="1">
      <c r="A42" s="227"/>
      <c r="B42" s="228" t="s">
        <v>183</v>
      </c>
      <c r="C42" s="270">
        <f>D42+BE42+CI42</f>
        <v>0</v>
      </c>
      <c r="D42" s="270">
        <f>E42+J42</f>
        <v>0</v>
      </c>
      <c r="E42" s="270">
        <f>SUM(F42:I42)</f>
        <v>0</v>
      </c>
      <c r="F42" s="229"/>
      <c r="G42" s="229"/>
      <c r="H42" s="229"/>
      <c r="I42" s="229"/>
      <c r="J42" s="270">
        <f>SUM(K42:BD42)</f>
        <v>0</v>
      </c>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70">
        <f>SUM(BF42:BG42)</f>
        <v>0</v>
      </c>
      <c r="BF42" s="270">
        <f>SUM(BH42:BI42)+BJ42+BM42+BW42+CE42</f>
        <v>0</v>
      </c>
      <c r="BG42" s="270">
        <f>BK42+SUM(BO42:BV42)+SUM(BX42:CD42)+SUM(CF42:CH42)</f>
        <v>0</v>
      </c>
      <c r="BH42" s="229"/>
      <c r="BI42" s="229"/>
      <c r="BJ42" s="229"/>
      <c r="BK42" s="229"/>
      <c r="BL42" s="229"/>
      <c r="BM42" s="229"/>
      <c r="BN42" s="229"/>
      <c r="BO42" s="229"/>
      <c r="BP42" s="229"/>
      <c r="BQ42" s="229"/>
      <c r="BR42" s="229"/>
      <c r="BS42" s="229"/>
      <c r="BT42" s="229"/>
      <c r="BU42" s="229"/>
      <c r="BV42" s="229"/>
      <c r="BW42" s="229"/>
      <c r="BX42" s="229"/>
      <c r="BY42" s="229"/>
      <c r="BZ42" s="229"/>
      <c r="CA42" s="229"/>
      <c r="CB42" s="229"/>
      <c r="CC42" s="229"/>
      <c r="CD42" s="229"/>
      <c r="CE42" s="229"/>
      <c r="CF42" s="229"/>
      <c r="CG42" s="229"/>
      <c r="CH42" s="229"/>
      <c r="CI42" s="270">
        <f>SUM(CJ42:CK42)</f>
        <v>0</v>
      </c>
      <c r="CJ42" s="270">
        <f>SUM(CL42:CL42)</f>
        <v>0</v>
      </c>
      <c r="CK42" s="270">
        <f>SUM(CM42:CN42)</f>
        <v>0</v>
      </c>
      <c r="CL42" s="229"/>
      <c r="CM42" s="229"/>
      <c r="CN42" s="229"/>
      <c r="CO42" s="271" t="s">
        <v>183</v>
      </c>
      <c r="CP42" s="303">
        <f>CQ42+ER42+FV42+GB42</f>
        <v>0</v>
      </c>
      <c r="CQ42" s="303">
        <f>CR42+CW42</f>
        <v>0</v>
      </c>
      <c r="CR42" s="303">
        <f>SUM(CS42:CV42)</f>
        <v>0</v>
      </c>
      <c r="CS42" s="272"/>
      <c r="CT42" s="272"/>
      <c r="CU42" s="272"/>
      <c r="CV42" s="272"/>
      <c r="CW42" s="303">
        <f>SUM(CX42:EQ42)</f>
        <v>0</v>
      </c>
      <c r="CX42" s="272"/>
      <c r="CY42" s="272"/>
      <c r="CZ42" s="272"/>
      <c r="DA42" s="272"/>
      <c r="DB42" s="272"/>
      <c r="DC42" s="272"/>
      <c r="DD42" s="272"/>
      <c r="DE42" s="272"/>
      <c r="DF42" s="272"/>
      <c r="DG42" s="272"/>
      <c r="DH42" s="272"/>
      <c r="DI42" s="272"/>
      <c r="DJ42" s="272"/>
      <c r="DK42" s="272"/>
      <c r="DL42" s="272"/>
      <c r="DM42" s="272"/>
      <c r="DN42" s="272"/>
      <c r="DO42" s="272"/>
      <c r="DP42" s="272"/>
      <c r="DQ42" s="272"/>
      <c r="DR42" s="272"/>
      <c r="DS42" s="272"/>
      <c r="DT42" s="272"/>
      <c r="DU42" s="272"/>
      <c r="DV42" s="272"/>
      <c r="DW42" s="272"/>
      <c r="DX42" s="272"/>
      <c r="DY42" s="272"/>
      <c r="DZ42" s="272"/>
      <c r="EA42" s="272"/>
      <c r="EB42" s="272"/>
      <c r="EC42" s="272"/>
      <c r="ED42" s="272"/>
      <c r="EE42" s="272"/>
      <c r="EF42" s="272"/>
      <c r="EG42" s="272"/>
      <c r="EH42" s="272"/>
      <c r="EI42" s="272"/>
      <c r="EJ42" s="272"/>
      <c r="EK42" s="272"/>
      <c r="EL42" s="272"/>
      <c r="EM42" s="272"/>
      <c r="EN42" s="272"/>
      <c r="EO42" s="272"/>
      <c r="EP42" s="272"/>
      <c r="EQ42" s="272"/>
      <c r="ER42" s="303">
        <f>SUM(ES42:ET42)</f>
        <v>0</v>
      </c>
      <c r="ES42" s="303">
        <f>SUM(EU42:EV42)+EW42+EZ42+FJ42+FR42</f>
        <v>0</v>
      </c>
      <c r="ET42" s="303">
        <f>EX42+SUM(FB42:FI42)+SUM(FK42:FQ42)+SUM(FS42:FU42)</f>
        <v>0</v>
      </c>
      <c r="EU42" s="272"/>
      <c r="EV42" s="272"/>
      <c r="EW42" s="272"/>
      <c r="EX42" s="272"/>
      <c r="EY42" s="272"/>
      <c r="EZ42" s="272"/>
      <c r="FA42" s="272"/>
      <c r="FB42" s="272"/>
      <c r="FC42" s="272"/>
      <c r="FD42" s="272"/>
      <c r="FE42" s="272"/>
      <c r="FF42" s="272"/>
      <c r="FG42" s="272"/>
      <c r="FH42" s="272"/>
      <c r="FI42" s="272"/>
      <c r="FJ42" s="272"/>
      <c r="FK42" s="272"/>
      <c r="FL42" s="272"/>
      <c r="FM42" s="272"/>
      <c r="FN42" s="272"/>
      <c r="FO42" s="272"/>
      <c r="FP42" s="272"/>
      <c r="FQ42" s="272"/>
      <c r="FR42" s="272"/>
      <c r="FS42" s="272"/>
      <c r="FT42" s="272"/>
      <c r="FU42" s="272"/>
      <c r="FV42" s="303">
        <f>SUM(FW42:FX42)</f>
        <v>0</v>
      </c>
      <c r="FW42" s="303">
        <f>SUM(FY42:FY42)</f>
        <v>0</v>
      </c>
      <c r="FX42" s="303">
        <f>SUM(FZ42:GA42)</f>
        <v>0</v>
      </c>
      <c r="FY42" s="272"/>
      <c r="FZ42" s="272"/>
      <c r="GA42" s="272"/>
      <c r="GB42" s="303"/>
      <c r="GC42" s="328"/>
      <c r="GD42" s="328"/>
      <c r="GE42" s="328"/>
      <c r="GF42" s="328"/>
      <c r="GG42" s="328"/>
    </row>
    <row r="43" spans="1:189" s="264" customFormat="1" ht="17.25" customHeight="1">
      <c r="A43" s="227"/>
      <c r="B43" s="228" t="s">
        <v>184</v>
      </c>
      <c r="C43" s="270">
        <f>D43+BE43+CI43</f>
        <v>62876072052</v>
      </c>
      <c r="D43" s="270">
        <f>E43+J43</f>
        <v>56760673576</v>
      </c>
      <c r="E43" s="270">
        <f>SUM(F43:I43)</f>
        <v>0</v>
      </c>
      <c r="F43" s="229"/>
      <c r="G43" s="229"/>
      <c r="H43" s="229"/>
      <c r="I43" s="229"/>
      <c r="J43" s="270">
        <f>SUM(K43:BD43)</f>
        <v>56760673576</v>
      </c>
      <c r="K43" s="229"/>
      <c r="L43" s="229"/>
      <c r="M43" s="229"/>
      <c r="N43" s="229"/>
      <c r="O43" s="229"/>
      <c r="P43" s="229"/>
      <c r="Q43" s="229"/>
      <c r="R43" s="229"/>
      <c r="S43" s="229"/>
      <c r="T43" s="229"/>
      <c r="U43" s="229"/>
      <c r="V43" s="229"/>
      <c r="W43" s="229"/>
      <c r="X43" s="229"/>
      <c r="Y43" s="229"/>
      <c r="Z43" s="229"/>
      <c r="AA43" s="229"/>
      <c r="AB43" s="229"/>
      <c r="AC43" s="229"/>
      <c r="AD43" s="229"/>
      <c r="AE43" s="229"/>
      <c r="AF43" s="229">
        <f>5696535000-51128000</f>
        <v>5645407000</v>
      </c>
      <c r="AG43" s="229"/>
      <c r="AH43" s="229">
        <f>35382780000+10788000000</f>
        <v>46170780000</v>
      </c>
      <c r="AI43" s="229">
        <f>3862749576+99535000</f>
        <v>3962284576</v>
      </c>
      <c r="AJ43" s="229"/>
      <c r="AK43" s="229"/>
      <c r="AL43" s="229"/>
      <c r="AM43" s="229"/>
      <c r="AN43" s="229"/>
      <c r="AO43" s="229"/>
      <c r="AP43" s="229"/>
      <c r="AQ43" s="229"/>
      <c r="AR43" s="229"/>
      <c r="AS43" s="229"/>
      <c r="AT43" s="229"/>
      <c r="AU43" s="229"/>
      <c r="AV43" s="229"/>
      <c r="AW43" s="229"/>
      <c r="AX43" s="229"/>
      <c r="AY43" s="229"/>
      <c r="AZ43" s="229"/>
      <c r="BA43" s="229">
        <v>982202000</v>
      </c>
      <c r="BB43" s="229"/>
      <c r="BC43" s="229"/>
      <c r="BD43" s="229"/>
      <c r="BE43" s="270">
        <f>SUM(BF43:BG43)</f>
        <v>6115398476</v>
      </c>
      <c r="BF43" s="270">
        <f>SUM(BH43:BI43)+BJ43+BM43+BW43+CE43</f>
        <v>0</v>
      </c>
      <c r="BG43" s="270">
        <f>BK43+SUM(BO43:BV43)+SUM(BX43:CD43)+SUM(CF43:CH43)</f>
        <v>6115398476</v>
      </c>
      <c r="BH43" s="229"/>
      <c r="BI43" s="229"/>
      <c r="BJ43" s="229"/>
      <c r="BK43" s="229"/>
      <c r="BL43" s="229"/>
      <c r="BM43" s="229"/>
      <c r="BN43" s="229"/>
      <c r="BO43" s="229"/>
      <c r="BP43" s="229"/>
      <c r="BQ43" s="229"/>
      <c r="BR43" s="229">
        <v>1328000000</v>
      </c>
      <c r="BS43" s="229"/>
      <c r="BT43" s="229"/>
      <c r="BU43" s="229"/>
      <c r="BV43" s="229"/>
      <c r="BW43" s="229"/>
      <c r="BX43" s="229"/>
      <c r="BY43" s="229"/>
      <c r="BZ43" s="229"/>
      <c r="CA43" s="229">
        <v>3029000000</v>
      </c>
      <c r="CB43" s="229"/>
      <c r="CC43" s="229">
        <v>477000000</v>
      </c>
      <c r="CD43" s="229">
        <v>1281398476</v>
      </c>
      <c r="CE43" s="229"/>
      <c r="CF43" s="229"/>
      <c r="CG43" s="229"/>
      <c r="CH43" s="229"/>
      <c r="CI43" s="270">
        <f>SUM(CJ43:CK43)</f>
        <v>0</v>
      </c>
      <c r="CJ43" s="270">
        <f>SUM(CL43:CL43)</f>
        <v>0</v>
      </c>
      <c r="CK43" s="270">
        <f>SUM(CM43:CN43)</f>
        <v>0</v>
      </c>
      <c r="CL43" s="229"/>
      <c r="CM43" s="229"/>
      <c r="CN43" s="229"/>
      <c r="CO43" s="271" t="s">
        <v>184</v>
      </c>
      <c r="CP43" s="303">
        <f>CQ43+ER43+FV43+GB43</f>
        <v>62876072052</v>
      </c>
      <c r="CQ43" s="303">
        <f>CR43+CW43</f>
        <v>55918933576</v>
      </c>
      <c r="CR43" s="303">
        <f>SUM(CS43:CV43)</f>
        <v>0</v>
      </c>
      <c r="CS43" s="272"/>
      <c r="CT43" s="272"/>
      <c r="CU43" s="272"/>
      <c r="CV43" s="272"/>
      <c r="CW43" s="303">
        <f>SUM(CX43:EQ43)</f>
        <v>55918933576</v>
      </c>
      <c r="CX43" s="272"/>
      <c r="CY43" s="272"/>
      <c r="CZ43" s="272"/>
      <c r="DA43" s="272"/>
      <c r="DB43" s="272"/>
      <c r="DC43" s="272"/>
      <c r="DD43" s="272"/>
      <c r="DE43" s="272"/>
      <c r="DF43" s="272"/>
      <c r="DG43" s="272"/>
      <c r="DH43" s="272"/>
      <c r="DI43" s="272"/>
      <c r="DJ43" s="272"/>
      <c r="DK43" s="272"/>
      <c r="DL43" s="272"/>
      <c r="DM43" s="272"/>
      <c r="DN43" s="272"/>
      <c r="DO43" s="272"/>
      <c r="DP43" s="272"/>
      <c r="DQ43" s="272"/>
      <c r="DR43" s="272"/>
      <c r="DS43" s="272">
        <f>5696535000-51128000</f>
        <v>5645407000</v>
      </c>
      <c r="DT43" s="272"/>
      <c r="DU43" s="272">
        <v>45329040000</v>
      </c>
      <c r="DV43" s="272">
        <v>3962284576</v>
      </c>
      <c r="DW43" s="272"/>
      <c r="DX43" s="272"/>
      <c r="DY43" s="272"/>
      <c r="DZ43" s="272"/>
      <c r="EA43" s="272"/>
      <c r="EB43" s="272"/>
      <c r="EC43" s="272"/>
      <c r="ED43" s="272"/>
      <c r="EE43" s="272"/>
      <c r="EF43" s="272"/>
      <c r="EG43" s="272"/>
      <c r="EH43" s="272"/>
      <c r="EI43" s="272"/>
      <c r="EJ43" s="272"/>
      <c r="EK43" s="272"/>
      <c r="EL43" s="272"/>
      <c r="EM43" s="272"/>
      <c r="EN43" s="272">
        <v>982202000</v>
      </c>
      <c r="EO43" s="272"/>
      <c r="EP43" s="272"/>
      <c r="EQ43" s="272"/>
      <c r="ER43" s="303">
        <f>SUM(ES43:ET43)</f>
        <v>1970181276</v>
      </c>
      <c r="ES43" s="303">
        <f>SUM(EU43:EV43)+EW43+EZ43+FJ43+FR43</f>
        <v>0</v>
      </c>
      <c r="ET43" s="303">
        <f>EX43+SUM(FB43:FI43)+SUM(FK43:FQ43)+SUM(FS43:FU43)</f>
        <v>1970181276</v>
      </c>
      <c r="EU43" s="272"/>
      <c r="EV43" s="272"/>
      <c r="EW43" s="272"/>
      <c r="EX43" s="272"/>
      <c r="EY43" s="272"/>
      <c r="EZ43" s="272"/>
      <c r="FA43" s="272"/>
      <c r="FB43" s="272"/>
      <c r="FC43" s="272"/>
      <c r="FD43" s="272"/>
      <c r="FE43" s="272"/>
      <c r="FF43" s="272"/>
      <c r="FG43" s="272"/>
      <c r="FH43" s="272"/>
      <c r="FI43" s="272"/>
      <c r="FJ43" s="272"/>
      <c r="FK43" s="272"/>
      <c r="FL43" s="272"/>
      <c r="FM43" s="272"/>
      <c r="FN43" s="272">
        <v>397763800</v>
      </c>
      <c r="FO43" s="272"/>
      <c r="FP43" s="272">
        <v>468290000</v>
      </c>
      <c r="FQ43" s="272">
        <v>1104127476</v>
      </c>
      <c r="FR43" s="272"/>
      <c r="FS43" s="272"/>
      <c r="FT43" s="272"/>
      <c r="FU43" s="272"/>
      <c r="FV43" s="303">
        <f>SUM(FW43:FX43)</f>
        <v>0</v>
      </c>
      <c r="FW43" s="303">
        <f>SUM(FY43:FY43)</f>
        <v>0</v>
      </c>
      <c r="FX43" s="303">
        <f>SUM(FZ43:GA43)</f>
        <v>0</v>
      </c>
      <c r="FY43" s="272"/>
      <c r="FZ43" s="272"/>
      <c r="GA43" s="272"/>
      <c r="GB43" s="303">
        <v>4986957200</v>
      </c>
      <c r="GC43" s="328">
        <f>CP43/C43</f>
        <v>1</v>
      </c>
      <c r="GD43" s="328"/>
      <c r="GE43" s="328">
        <f>CW43/J43</f>
        <v>0.98517036625943233</v>
      </c>
      <c r="GF43" s="328">
        <f>ER43/BE43</f>
        <v>0.3221672771990271</v>
      </c>
      <c r="GG43" s="328"/>
    </row>
    <row r="44" spans="1:189" s="264" customFormat="1" ht="17.25" customHeight="1">
      <c r="A44" s="227">
        <v>11</v>
      </c>
      <c r="B44" s="228" t="s">
        <v>196</v>
      </c>
      <c r="C44" s="270">
        <f t="shared" ref="C44:AI44" si="68">C45+C46</f>
        <v>5732773646</v>
      </c>
      <c r="D44" s="270">
        <f t="shared" si="68"/>
        <v>850773646</v>
      </c>
      <c r="E44" s="270">
        <f t="shared" si="68"/>
        <v>0</v>
      </c>
      <c r="F44" s="229">
        <f t="shared" si="68"/>
        <v>0</v>
      </c>
      <c r="G44" s="229">
        <f t="shared" si="68"/>
        <v>0</v>
      </c>
      <c r="H44" s="229">
        <f t="shared" si="68"/>
        <v>0</v>
      </c>
      <c r="I44" s="229">
        <f t="shared" si="68"/>
        <v>0</v>
      </c>
      <c r="J44" s="270">
        <f t="shared" si="68"/>
        <v>850773646</v>
      </c>
      <c r="K44" s="229">
        <f t="shared" si="68"/>
        <v>0</v>
      </c>
      <c r="L44" s="229">
        <f t="shared" si="68"/>
        <v>0</v>
      </c>
      <c r="M44" s="229">
        <f t="shared" si="68"/>
        <v>0</v>
      </c>
      <c r="N44" s="229">
        <f t="shared" si="68"/>
        <v>0</v>
      </c>
      <c r="O44" s="229">
        <f t="shared" si="68"/>
        <v>0</v>
      </c>
      <c r="P44" s="229">
        <f t="shared" si="68"/>
        <v>0</v>
      </c>
      <c r="Q44" s="229">
        <f t="shared" si="68"/>
        <v>0</v>
      </c>
      <c r="R44" s="229">
        <f t="shared" si="68"/>
        <v>0</v>
      </c>
      <c r="S44" s="229">
        <f t="shared" si="68"/>
        <v>0</v>
      </c>
      <c r="T44" s="229">
        <f t="shared" si="68"/>
        <v>0</v>
      </c>
      <c r="U44" s="229">
        <f t="shared" si="68"/>
        <v>0</v>
      </c>
      <c r="V44" s="229">
        <f t="shared" si="68"/>
        <v>0</v>
      </c>
      <c r="W44" s="229">
        <f t="shared" si="68"/>
        <v>0</v>
      </c>
      <c r="X44" s="229">
        <f t="shared" si="68"/>
        <v>0</v>
      </c>
      <c r="Y44" s="229">
        <f t="shared" si="68"/>
        <v>0</v>
      </c>
      <c r="Z44" s="229">
        <f t="shared" si="68"/>
        <v>0</v>
      </c>
      <c r="AA44" s="229">
        <f t="shared" si="68"/>
        <v>0</v>
      </c>
      <c r="AB44" s="229">
        <f t="shared" si="68"/>
        <v>0</v>
      </c>
      <c r="AC44" s="229">
        <f t="shared" si="68"/>
        <v>17020000</v>
      </c>
      <c r="AD44" s="229">
        <f t="shared" si="68"/>
        <v>0</v>
      </c>
      <c r="AE44" s="229">
        <f t="shared" si="68"/>
        <v>0</v>
      </c>
      <c r="AF44" s="229">
        <f t="shared" si="68"/>
        <v>0</v>
      </c>
      <c r="AG44" s="229">
        <f t="shared" si="68"/>
        <v>0</v>
      </c>
      <c r="AH44" s="229">
        <f t="shared" si="68"/>
        <v>0</v>
      </c>
      <c r="AI44" s="229">
        <f t="shared" si="68"/>
        <v>0</v>
      </c>
      <c r="AJ44" s="229">
        <f t="shared" ref="AJ44:AO44" si="69">AJ45+AJ46</f>
        <v>0</v>
      </c>
      <c r="AK44" s="229">
        <f t="shared" si="69"/>
        <v>0</v>
      </c>
      <c r="AL44" s="229">
        <f t="shared" si="69"/>
        <v>0</v>
      </c>
      <c r="AM44" s="229">
        <f t="shared" si="69"/>
        <v>0</v>
      </c>
      <c r="AN44" s="229">
        <f t="shared" si="69"/>
        <v>0</v>
      </c>
      <c r="AO44" s="229">
        <f t="shared" si="69"/>
        <v>0</v>
      </c>
      <c r="AP44" s="229">
        <f t="shared" ref="AP44:AU44" si="70">AP45+AP46</f>
        <v>0</v>
      </c>
      <c r="AQ44" s="229">
        <f t="shared" si="70"/>
        <v>0</v>
      </c>
      <c r="AR44" s="229">
        <f t="shared" si="70"/>
        <v>0</v>
      </c>
      <c r="AS44" s="229">
        <f t="shared" si="70"/>
        <v>0</v>
      </c>
      <c r="AT44" s="229">
        <f t="shared" si="70"/>
        <v>0</v>
      </c>
      <c r="AU44" s="229">
        <f t="shared" si="70"/>
        <v>0</v>
      </c>
      <c r="AV44" s="229">
        <f>AV45+AV46</f>
        <v>0</v>
      </c>
      <c r="AW44" s="229">
        <f>AW45+AW46</f>
        <v>0</v>
      </c>
      <c r="AX44" s="229">
        <f t="shared" ref="AX44:CN44" si="71">AX45+AX46</f>
        <v>0</v>
      </c>
      <c r="AY44" s="229">
        <f t="shared" si="71"/>
        <v>0</v>
      </c>
      <c r="AZ44" s="229">
        <f t="shared" si="71"/>
        <v>0</v>
      </c>
      <c r="BA44" s="229">
        <f t="shared" si="71"/>
        <v>833753646</v>
      </c>
      <c r="BB44" s="229">
        <f t="shared" si="71"/>
        <v>0</v>
      </c>
      <c r="BC44" s="229">
        <f t="shared" si="71"/>
        <v>0</v>
      </c>
      <c r="BD44" s="229">
        <f t="shared" si="71"/>
        <v>0</v>
      </c>
      <c r="BE44" s="270">
        <f t="shared" si="71"/>
        <v>4882000000</v>
      </c>
      <c r="BF44" s="270">
        <f t="shared" si="71"/>
        <v>0</v>
      </c>
      <c r="BG44" s="270">
        <f t="shared" si="71"/>
        <v>4882000000</v>
      </c>
      <c r="BH44" s="229">
        <f t="shared" si="71"/>
        <v>0</v>
      </c>
      <c r="BI44" s="229">
        <f t="shared" si="71"/>
        <v>0</v>
      </c>
      <c r="BJ44" s="229">
        <f t="shared" si="71"/>
        <v>0</v>
      </c>
      <c r="BK44" s="229">
        <f t="shared" si="71"/>
        <v>0</v>
      </c>
      <c r="BL44" s="229">
        <f>BL45+BL46</f>
        <v>0</v>
      </c>
      <c r="BM44" s="229">
        <f>BM45+BM46</f>
        <v>0</v>
      </c>
      <c r="BN44" s="229">
        <f t="shared" si="71"/>
        <v>0</v>
      </c>
      <c r="BO44" s="229">
        <f t="shared" si="71"/>
        <v>0</v>
      </c>
      <c r="BP44" s="229">
        <f t="shared" si="71"/>
        <v>0</v>
      </c>
      <c r="BQ44" s="229">
        <f t="shared" si="71"/>
        <v>0</v>
      </c>
      <c r="BR44" s="229">
        <f t="shared" si="71"/>
        <v>0</v>
      </c>
      <c r="BS44" s="229">
        <f t="shared" si="71"/>
        <v>753000000</v>
      </c>
      <c r="BT44" s="229">
        <f t="shared" si="71"/>
        <v>0</v>
      </c>
      <c r="BU44" s="229">
        <f t="shared" si="71"/>
        <v>0</v>
      </c>
      <c r="BV44" s="229">
        <f t="shared" si="71"/>
        <v>2029000000</v>
      </c>
      <c r="BW44" s="229">
        <f t="shared" si="71"/>
        <v>0</v>
      </c>
      <c r="BX44" s="229">
        <f t="shared" si="71"/>
        <v>0</v>
      </c>
      <c r="BY44" s="229">
        <f t="shared" si="71"/>
        <v>0</v>
      </c>
      <c r="BZ44" s="229">
        <f t="shared" si="71"/>
        <v>0</v>
      </c>
      <c r="CA44" s="229">
        <f t="shared" si="71"/>
        <v>0</v>
      </c>
      <c r="CB44" s="229">
        <f t="shared" si="71"/>
        <v>0</v>
      </c>
      <c r="CC44" s="229">
        <f t="shared" si="71"/>
        <v>2100000000</v>
      </c>
      <c r="CD44" s="229">
        <f t="shared" si="71"/>
        <v>0</v>
      </c>
      <c r="CE44" s="229">
        <f t="shared" si="71"/>
        <v>0</v>
      </c>
      <c r="CF44" s="229">
        <f t="shared" si="71"/>
        <v>0</v>
      </c>
      <c r="CG44" s="229">
        <f t="shared" si="71"/>
        <v>0</v>
      </c>
      <c r="CH44" s="229">
        <f t="shared" si="71"/>
        <v>0</v>
      </c>
      <c r="CI44" s="270">
        <f t="shared" si="71"/>
        <v>0</v>
      </c>
      <c r="CJ44" s="270">
        <f t="shared" si="71"/>
        <v>0</v>
      </c>
      <c r="CK44" s="270">
        <f t="shared" si="71"/>
        <v>0</v>
      </c>
      <c r="CL44" s="229">
        <f t="shared" si="71"/>
        <v>0</v>
      </c>
      <c r="CM44" s="229">
        <f t="shared" si="71"/>
        <v>0</v>
      </c>
      <c r="CN44" s="229">
        <f t="shared" si="71"/>
        <v>0</v>
      </c>
      <c r="CO44" s="271" t="s">
        <v>196</v>
      </c>
      <c r="CP44" s="303">
        <f t="shared" ref="CP44:ER44" si="72">CP45+CP46</f>
        <v>5732773646</v>
      </c>
      <c r="CQ44" s="303">
        <f t="shared" si="72"/>
        <v>850773646</v>
      </c>
      <c r="CR44" s="303">
        <f t="shared" si="72"/>
        <v>0</v>
      </c>
      <c r="CS44" s="272">
        <f t="shared" si="72"/>
        <v>0</v>
      </c>
      <c r="CT44" s="272">
        <f t="shared" si="72"/>
        <v>0</v>
      </c>
      <c r="CU44" s="272">
        <f t="shared" si="72"/>
        <v>0</v>
      </c>
      <c r="CV44" s="272">
        <f t="shared" si="72"/>
        <v>0</v>
      </c>
      <c r="CW44" s="303">
        <f t="shared" si="72"/>
        <v>850773646</v>
      </c>
      <c r="CX44" s="272">
        <f t="shared" si="72"/>
        <v>0</v>
      </c>
      <c r="CY44" s="272">
        <f t="shared" si="72"/>
        <v>0</v>
      </c>
      <c r="CZ44" s="272">
        <f t="shared" si="72"/>
        <v>0</v>
      </c>
      <c r="DA44" s="272">
        <f t="shared" si="72"/>
        <v>0</v>
      </c>
      <c r="DB44" s="272">
        <f t="shared" si="72"/>
        <v>0</v>
      </c>
      <c r="DC44" s="272">
        <f t="shared" si="72"/>
        <v>0</v>
      </c>
      <c r="DD44" s="272">
        <f t="shared" si="72"/>
        <v>0</v>
      </c>
      <c r="DE44" s="272">
        <f t="shared" si="72"/>
        <v>0</v>
      </c>
      <c r="DF44" s="272">
        <f t="shared" si="72"/>
        <v>0</v>
      </c>
      <c r="DG44" s="272">
        <f t="shared" si="72"/>
        <v>0</v>
      </c>
      <c r="DH44" s="272">
        <f t="shared" si="72"/>
        <v>0</v>
      </c>
      <c r="DI44" s="272">
        <f t="shared" si="72"/>
        <v>0</v>
      </c>
      <c r="DJ44" s="272">
        <f t="shared" si="72"/>
        <v>0</v>
      </c>
      <c r="DK44" s="272">
        <f t="shared" si="72"/>
        <v>0</v>
      </c>
      <c r="DL44" s="272">
        <f t="shared" si="72"/>
        <v>0</v>
      </c>
      <c r="DM44" s="272">
        <f>DM45+DM46</f>
        <v>0</v>
      </c>
      <c r="DN44" s="272">
        <f t="shared" si="72"/>
        <v>0</v>
      </c>
      <c r="DO44" s="272">
        <f t="shared" si="72"/>
        <v>0</v>
      </c>
      <c r="DP44" s="272">
        <f t="shared" si="72"/>
        <v>17020000</v>
      </c>
      <c r="DQ44" s="272">
        <f t="shared" si="72"/>
        <v>0</v>
      </c>
      <c r="DR44" s="272">
        <f t="shared" si="72"/>
        <v>0</v>
      </c>
      <c r="DS44" s="272">
        <f t="shared" si="72"/>
        <v>0</v>
      </c>
      <c r="DT44" s="272">
        <f t="shared" si="72"/>
        <v>0</v>
      </c>
      <c r="DU44" s="272">
        <f t="shared" si="72"/>
        <v>0</v>
      </c>
      <c r="DV44" s="272">
        <f t="shared" si="72"/>
        <v>0</v>
      </c>
      <c r="DW44" s="272">
        <f t="shared" si="72"/>
        <v>0</v>
      </c>
      <c r="DX44" s="272">
        <f t="shared" si="72"/>
        <v>0</v>
      </c>
      <c r="DY44" s="272">
        <f t="shared" si="72"/>
        <v>0</v>
      </c>
      <c r="DZ44" s="272">
        <f t="shared" si="72"/>
        <v>0</v>
      </c>
      <c r="EA44" s="272">
        <f t="shared" si="72"/>
        <v>0</v>
      </c>
      <c r="EB44" s="272">
        <f t="shared" si="72"/>
        <v>0</v>
      </c>
      <c r="EC44" s="272">
        <f t="shared" si="72"/>
        <v>0</v>
      </c>
      <c r="ED44" s="272">
        <f t="shared" si="72"/>
        <v>0</v>
      </c>
      <c r="EE44" s="272">
        <f t="shared" si="72"/>
        <v>0</v>
      </c>
      <c r="EF44" s="272">
        <f t="shared" si="72"/>
        <v>0</v>
      </c>
      <c r="EG44" s="272">
        <f t="shared" si="72"/>
        <v>0</v>
      </c>
      <c r="EH44" s="272">
        <f t="shared" si="72"/>
        <v>0</v>
      </c>
      <c r="EI44" s="272">
        <f>EI45+EI46</f>
        <v>0</v>
      </c>
      <c r="EJ44" s="272">
        <f>EJ45+EJ46</f>
        <v>0</v>
      </c>
      <c r="EK44" s="272">
        <f t="shared" si="72"/>
        <v>0</v>
      </c>
      <c r="EL44" s="272">
        <f t="shared" si="72"/>
        <v>0</v>
      </c>
      <c r="EM44" s="272">
        <f t="shared" si="72"/>
        <v>0</v>
      </c>
      <c r="EN44" s="272">
        <f t="shared" si="72"/>
        <v>833753646</v>
      </c>
      <c r="EO44" s="272">
        <f t="shared" si="72"/>
        <v>0</v>
      </c>
      <c r="EP44" s="272">
        <f t="shared" si="72"/>
        <v>0</v>
      </c>
      <c r="EQ44" s="272">
        <f t="shared" si="72"/>
        <v>0</v>
      </c>
      <c r="ER44" s="303">
        <f t="shared" si="72"/>
        <v>4016323600</v>
      </c>
      <c r="ES44" s="303">
        <f t="shared" ref="ES44:GB44" si="73">ES45+ES46</f>
        <v>0</v>
      </c>
      <c r="ET44" s="303">
        <f t="shared" si="73"/>
        <v>4016323600</v>
      </c>
      <c r="EU44" s="272">
        <f t="shared" si="73"/>
        <v>0</v>
      </c>
      <c r="EV44" s="272">
        <f t="shared" si="73"/>
        <v>0</v>
      </c>
      <c r="EW44" s="272">
        <f t="shared" si="73"/>
        <v>0</v>
      </c>
      <c r="EX44" s="272">
        <f t="shared" si="73"/>
        <v>0</v>
      </c>
      <c r="EY44" s="272">
        <f>EY45+EY46</f>
        <v>0</v>
      </c>
      <c r="EZ44" s="272">
        <f>EZ45+EZ46</f>
        <v>0</v>
      </c>
      <c r="FA44" s="272">
        <f t="shared" si="73"/>
        <v>0</v>
      </c>
      <c r="FB44" s="272">
        <f t="shared" si="73"/>
        <v>0</v>
      </c>
      <c r="FC44" s="272">
        <f t="shared" si="73"/>
        <v>0</v>
      </c>
      <c r="FD44" s="272">
        <f t="shared" si="73"/>
        <v>0</v>
      </c>
      <c r="FE44" s="272">
        <f t="shared" si="73"/>
        <v>0</v>
      </c>
      <c r="FF44" s="272">
        <f t="shared" si="73"/>
        <v>685210000</v>
      </c>
      <c r="FG44" s="272">
        <f t="shared" si="73"/>
        <v>0</v>
      </c>
      <c r="FH44" s="272">
        <f t="shared" si="73"/>
        <v>0</v>
      </c>
      <c r="FI44" s="272">
        <f t="shared" si="73"/>
        <v>1733254000</v>
      </c>
      <c r="FJ44" s="272">
        <f t="shared" si="73"/>
        <v>0</v>
      </c>
      <c r="FK44" s="272">
        <f t="shared" si="73"/>
        <v>0</v>
      </c>
      <c r="FL44" s="272">
        <f t="shared" si="73"/>
        <v>0</v>
      </c>
      <c r="FM44" s="272">
        <f t="shared" si="73"/>
        <v>0</v>
      </c>
      <c r="FN44" s="272">
        <f t="shared" si="73"/>
        <v>0</v>
      </c>
      <c r="FO44" s="272">
        <f t="shared" si="73"/>
        <v>0</v>
      </c>
      <c r="FP44" s="272">
        <f t="shared" si="73"/>
        <v>1597859600</v>
      </c>
      <c r="FQ44" s="272">
        <f t="shared" si="73"/>
        <v>0</v>
      </c>
      <c r="FR44" s="272">
        <f t="shared" si="73"/>
        <v>0</v>
      </c>
      <c r="FS44" s="272">
        <f t="shared" si="73"/>
        <v>0</v>
      </c>
      <c r="FT44" s="272">
        <f t="shared" si="73"/>
        <v>0</v>
      </c>
      <c r="FU44" s="272">
        <f t="shared" si="73"/>
        <v>0</v>
      </c>
      <c r="FV44" s="303">
        <f t="shared" si="73"/>
        <v>0</v>
      </c>
      <c r="FW44" s="303">
        <f t="shared" si="73"/>
        <v>0</v>
      </c>
      <c r="FX44" s="303">
        <f t="shared" si="73"/>
        <v>0</v>
      </c>
      <c r="FY44" s="272">
        <f t="shared" si="73"/>
        <v>0</v>
      </c>
      <c r="FZ44" s="272">
        <f t="shared" si="73"/>
        <v>0</v>
      </c>
      <c r="GA44" s="272">
        <f t="shared" si="73"/>
        <v>0</v>
      </c>
      <c r="GB44" s="303">
        <f t="shared" si="73"/>
        <v>865676400</v>
      </c>
      <c r="GC44" s="328">
        <f>CP44/C44</f>
        <v>1</v>
      </c>
      <c r="GD44" s="328"/>
      <c r="GE44" s="328">
        <f>CW44/J44</f>
        <v>1</v>
      </c>
      <c r="GF44" s="328">
        <f>ER44/BE44</f>
        <v>0.82267996722654646</v>
      </c>
      <c r="GG44" s="328"/>
    </row>
    <row r="45" spans="1:189" s="264" customFormat="1" ht="17.25" customHeight="1">
      <c r="A45" s="227"/>
      <c r="B45" s="228" t="s">
        <v>183</v>
      </c>
      <c r="C45" s="270">
        <f>D45+BE45+CI45</f>
        <v>0</v>
      </c>
      <c r="D45" s="270">
        <f>E45+J45</f>
        <v>0</v>
      </c>
      <c r="E45" s="270">
        <f>SUM(F45:I45)</f>
        <v>0</v>
      </c>
      <c r="F45" s="229"/>
      <c r="G45" s="229"/>
      <c r="H45" s="229"/>
      <c r="I45" s="229"/>
      <c r="J45" s="270">
        <f>SUM(K45:BD45)</f>
        <v>0</v>
      </c>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70">
        <f>SUM(BF45:BG45)</f>
        <v>0</v>
      </c>
      <c r="BF45" s="270">
        <f>SUM(BH45:BI45)+BJ45+BM45+BW45+CE45</f>
        <v>0</v>
      </c>
      <c r="BG45" s="270">
        <f>BK45+SUM(BO45:BV45)+SUM(BX45:CD45)+SUM(CF45:CH45)</f>
        <v>0</v>
      </c>
      <c r="BH45" s="229"/>
      <c r="BI45" s="229"/>
      <c r="BJ45" s="229"/>
      <c r="BK45" s="229"/>
      <c r="BL45" s="229"/>
      <c r="BM45" s="229"/>
      <c r="BN45" s="229"/>
      <c r="BO45" s="229"/>
      <c r="BP45" s="229"/>
      <c r="BQ45" s="229"/>
      <c r="BR45" s="229"/>
      <c r="BS45" s="229"/>
      <c r="BT45" s="229"/>
      <c r="BU45" s="229"/>
      <c r="BV45" s="229"/>
      <c r="BW45" s="229"/>
      <c r="BX45" s="229"/>
      <c r="BY45" s="229"/>
      <c r="BZ45" s="229"/>
      <c r="CA45" s="229"/>
      <c r="CB45" s="229"/>
      <c r="CC45" s="229"/>
      <c r="CD45" s="229"/>
      <c r="CE45" s="229"/>
      <c r="CF45" s="229"/>
      <c r="CG45" s="229"/>
      <c r="CH45" s="229"/>
      <c r="CI45" s="270">
        <f>SUM(CJ45:CK45)</f>
        <v>0</v>
      </c>
      <c r="CJ45" s="270">
        <f>SUM(CL45:CL45)</f>
        <v>0</v>
      </c>
      <c r="CK45" s="270">
        <f>SUM(CM45:CN45)</f>
        <v>0</v>
      </c>
      <c r="CL45" s="229"/>
      <c r="CM45" s="229"/>
      <c r="CN45" s="229"/>
      <c r="CO45" s="271" t="s">
        <v>183</v>
      </c>
      <c r="CP45" s="303">
        <f>CQ45+ER45+FV45+GB45</f>
        <v>0</v>
      </c>
      <c r="CQ45" s="303">
        <f>CR45+CW45</f>
        <v>0</v>
      </c>
      <c r="CR45" s="303">
        <f>SUM(CS45:CV45)</f>
        <v>0</v>
      </c>
      <c r="CS45" s="272"/>
      <c r="CT45" s="272"/>
      <c r="CU45" s="272"/>
      <c r="CV45" s="272"/>
      <c r="CW45" s="303">
        <f>SUM(CX45:EQ45)</f>
        <v>0</v>
      </c>
      <c r="CX45" s="272"/>
      <c r="CY45" s="272"/>
      <c r="CZ45" s="272"/>
      <c r="DA45" s="272"/>
      <c r="DB45" s="272"/>
      <c r="DC45" s="272"/>
      <c r="DD45" s="272"/>
      <c r="DE45" s="272"/>
      <c r="DF45" s="272"/>
      <c r="DG45" s="272"/>
      <c r="DH45" s="272"/>
      <c r="DI45" s="272"/>
      <c r="DJ45" s="272"/>
      <c r="DK45" s="272"/>
      <c r="DL45" s="272"/>
      <c r="DM45" s="272"/>
      <c r="DN45" s="272"/>
      <c r="DO45" s="272"/>
      <c r="DP45" s="272"/>
      <c r="DQ45" s="272"/>
      <c r="DR45" s="272"/>
      <c r="DS45" s="272"/>
      <c r="DT45" s="272"/>
      <c r="DU45" s="272"/>
      <c r="DV45" s="272"/>
      <c r="DW45" s="272"/>
      <c r="DX45" s="272"/>
      <c r="DY45" s="272"/>
      <c r="DZ45" s="272"/>
      <c r="EA45" s="272"/>
      <c r="EB45" s="272"/>
      <c r="EC45" s="272"/>
      <c r="ED45" s="272"/>
      <c r="EE45" s="272"/>
      <c r="EF45" s="272"/>
      <c r="EG45" s="272"/>
      <c r="EH45" s="272"/>
      <c r="EI45" s="272"/>
      <c r="EJ45" s="272"/>
      <c r="EK45" s="272"/>
      <c r="EL45" s="272"/>
      <c r="EM45" s="272"/>
      <c r="EN45" s="272"/>
      <c r="EO45" s="272"/>
      <c r="EP45" s="272"/>
      <c r="EQ45" s="272"/>
      <c r="ER45" s="303">
        <f>SUM(ES45:ET45)</f>
        <v>0</v>
      </c>
      <c r="ES45" s="303">
        <f>SUM(EU45:EV45)+EW45+EZ45+FJ45+FR45</f>
        <v>0</v>
      </c>
      <c r="ET45" s="303">
        <f>EX45+SUM(FB45:FI45)+SUM(FK45:FQ45)+SUM(FS45:FU45)</f>
        <v>0</v>
      </c>
      <c r="EU45" s="272"/>
      <c r="EV45" s="272"/>
      <c r="EW45" s="272"/>
      <c r="EX45" s="272"/>
      <c r="EY45" s="272"/>
      <c r="EZ45" s="272"/>
      <c r="FA45" s="272"/>
      <c r="FB45" s="272"/>
      <c r="FC45" s="272"/>
      <c r="FD45" s="272"/>
      <c r="FE45" s="272"/>
      <c r="FF45" s="272"/>
      <c r="FG45" s="272"/>
      <c r="FH45" s="272"/>
      <c r="FI45" s="272"/>
      <c r="FJ45" s="272"/>
      <c r="FK45" s="272"/>
      <c r="FL45" s="272"/>
      <c r="FM45" s="272"/>
      <c r="FN45" s="272"/>
      <c r="FO45" s="272"/>
      <c r="FP45" s="272"/>
      <c r="FQ45" s="272"/>
      <c r="FR45" s="272"/>
      <c r="FS45" s="272"/>
      <c r="FT45" s="272"/>
      <c r="FU45" s="272"/>
      <c r="FV45" s="303">
        <f>SUM(FW45:FX45)</f>
        <v>0</v>
      </c>
      <c r="FW45" s="303">
        <f>SUM(FY45:FY45)</f>
        <v>0</v>
      </c>
      <c r="FX45" s="303">
        <f>SUM(FZ45:GA45)</f>
        <v>0</v>
      </c>
      <c r="FY45" s="272"/>
      <c r="FZ45" s="272"/>
      <c r="GA45" s="272"/>
      <c r="GB45" s="303"/>
      <c r="GC45" s="328"/>
      <c r="GD45" s="328"/>
      <c r="GE45" s="328"/>
      <c r="GF45" s="328"/>
      <c r="GG45" s="328"/>
    </row>
    <row r="46" spans="1:189" s="264" customFormat="1" ht="17.25" customHeight="1">
      <c r="A46" s="227"/>
      <c r="B46" s="228" t="s">
        <v>184</v>
      </c>
      <c r="C46" s="270">
        <f>D46+BE46+CI46</f>
        <v>5732773646</v>
      </c>
      <c r="D46" s="270">
        <f>E46+J46</f>
        <v>850773646</v>
      </c>
      <c r="E46" s="270">
        <f>SUM(F46:I46)</f>
        <v>0</v>
      </c>
      <c r="F46" s="229"/>
      <c r="G46" s="229"/>
      <c r="H46" s="229"/>
      <c r="I46" s="229"/>
      <c r="J46" s="270">
        <f>SUM(K46:BD46)</f>
        <v>850773646</v>
      </c>
      <c r="K46" s="229"/>
      <c r="L46" s="229"/>
      <c r="M46" s="229"/>
      <c r="N46" s="229"/>
      <c r="O46" s="229"/>
      <c r="P46" s="229"/>
      <c r="Q46" s="229"/>
      <c r="R46" s="229"/>
      <c r="S46" s="229"/>
      <c r="T46" s="229"/>
      <c r="U46" s="229"/>
      <c r="V46" s="229"/>
      <c r="W46" s="229"/>
      <c r="X46" s="229"/>
      <c r="Y46" s="229"/>
      <c r="Z46" s="229"/>
      <c r="AA46" s="229"/>
      <c r="AB46" s="229"/>
      <c r="AC46" s="229">
        <v>17020000</v>
      </c>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v>833753646</v>
      </c>
      <c r="BB46" s="229"/>
      <c r="BC46" s="229"/>
      <c r="BD46" s="229"/>
      <c r="BE46" s="270">
        <f>SUM(BF46:BG46)</f>
        <v>4882000000</v>
      </c>
      <c r="BF46" s="270">
        <f>SUM(BH46:BI46)+BJ46+BM46+BW46+CE46</f>
        <v>0</v>
      </c>
      <c r="BG46" s="270">
        <f>BK46+SUM(BO46:BV46)+SUM(BX46:CD46)+SUM(CF46:CH46)</f>
        <v>4882000000</v>
      </c>
      <c r="BH46" s="229"/>
      <c r="BI46" s="229"/>
      <c r="BJ46" s="229"/>
      <c r="BK46" s="229"/>
      <c r="BL46" s="229"/>
      <c r="BM46" s="229"/>
      <c r="BN46" s="229"/>
      <c r="BO46" s="229"/>
      <c r="BP46" s="229"/>
      <c r="BQ46" s="229"/>
      <c r="BR46" s="229"/>
      <c r="BS46" s="229">
        <v>753000000</v>
      </c>
      <c r="BT46" s="229"/>
      <c r="BU46" s="229"/>
      <c r="BV46" s="229">
        <v>2029000000</v>
      </c>
      <c r="BW46" s="229"/>
      <c r="BX46" s="229"/>
      <c r="BY46" s="229"/>
      <c r="BZ46" s="229"/>
      <c r="CA46" s="229"/>
      <c r="CB46" s="229"/>
      <c r="CC46" s="229">
        <v>2100000000</v>
      </c>
      <c r="CD46" s="229"/>
      <c r="CE46" s="229"/>
      <c r="CF46" s="229"/>
      <c r="CG46" s="229"/>
      <c r="CH46" s="229"/>
      <c r="CI46" s="270">
        <f>SUM(CJ46:CK46)</f>
        <v>0</v>
      </c>
      <c r="CJ46" s="270">
        <f>SUM(CL46:CL46)</f>
        <v>0</v>
      </c>
      <c r="CK46" s="270">
        <f>SUM(CM46:CN46)</f>
        <v>0</v>
      </c>
      <c r="CL46" s="229"/>
      <c r="CM46" s="229"/>
      <c r="CN46" s="229"/>
      <c r="CO46" s="271" t="s">
        <v>184</v>
      </c>
      <c r="CP46" s="303">
        <f>CQ46+ER46+FV46+GB46</f>
        <v>5732773646</v>
      </c>
      <c r="CQ46" s="303">
        <f>CR46+CW46</f>
        <v>850773646</v>
      </c>
      <c r="CR46" s="303">
        <f>SUM(CS46:CV46)</f>
        <v>0</v>
      </c>
      <c r="CS46" s="272"/>
      <c r="CT46" s="272"/>
      <c r="CU46" s="272"/>
      <c r="CV46" s="272"/>
      <c r="CW46" s="303">
        <f>SUM(CX46:EQ46)</f>
        <v>850773646</v>
      </c>
      <c r="CX46" s="272"/>
      <c r="CY46" s="272"/>
      <c r="CZ46" s="272"/>
      <c r="DA46" s="272"/>
      <c r="DB46" s="272"/>
      <c r="DC46" s="272"/>
      <c r="DD46" s="272"/>
      <c r="DE46" s="272"/>
      <c r="DF46" s="272"/>
      <c r="DG46" s="272"/>
      <c r="DH46" s="272"/>
      <c r="DI46" s="272"/>
      <c r="DJ46" s="272"/>
      <c r="DK46" s="272"/>
      <c r="DL46" s="272"/>
      <c r="DM46" s="272"/>
      <c r="DN46" s="272"/>
      <c r="DO46" s="272"/>
      <c r="DP46" s="272">
        <v>17020000</v>
      </c>
      <c r="DQ46" s="272"/>
      <c r="DR46" s="272"/>
      <c r="DS46" s="272"/>
      <c r="DT46" s="272"/>
      <c r="DU46" s="272"/>
      <c r="DV46" s="272"/>
      <c r="DW46" s="272"/>
      <c r="DX46" s="272"/>
      <c r="DY46" s="272"/>
      <c r="DZ46" s="272"/>
      <c r="EA46" s="272"/>
      <c r="EB46" s="272"/>
      <c r="EC46" s="272"/>
      <c r="ED46" s="272"/>
      <c r="EE46" s="272"/>
      <c r="EF46" s="272"/>
      <c r="EG46" s="272"/>
      <c r="EH46" s="272"/>
      <c r="EI46" s="272"/>
      <c r="EJ46" s="272"/>
      <c r="EK46" s="272"/>
      <c r="EL46" s="272"/>
      <c r="EM46" s="272"/>
      <c r="EN46" s="272">
        <v>833753646</v>
      </c>
      <c r="EO46" s="272"/>
      <c r="EP46" s="272"/>
      <c r="EQ46" s="272"/>
      <c r="ER46" s="303">
        <f>SUM(ES46:ET46)</f>
        <v>4016323600</v>
      </c>
      <c r="ES46" s="303">
        <f>SUM(EU46:EV46)+EW46+EZ46+FJ46+FR46</f>
        <v>0</v>
      </c>
      <c r="ET46" s="303">
        <f>EX46+SUM(FB46:FI46)+SUM(FK46:FQ46)+SUM(FS46:FU46)</f>
        <v>4016323600</v>
      </c>
      <c r="EU46" s="272"/>
      <c r="EV46" s="272"/>
      <c r="EW46" s="272"/>
      <c r="EX46" s="272"/>
      <c r="EY46" s="272"/>
      <c r="EZ46" s="272"/>
      <c r="FA46" s="272"/>
      <c r="FB46" s="272"/>
      <c r="FC46" s="272"/>
      <c r="FD46" s="272"/>
      <c r="FE46" s="272"/>
      <c r="FF46" s="272">
        <v>685210000</v>
      </c>
      <c r="FG46" s="272"/>
      <c r="FH46" s="272"/>
      <c r="FI46" s="272">
        <v>1733254000</v>
      </c>
      <c r="FJ46" s="272"/>
      <c r="FK46" s="272"/>
      <c r="FL46" s="272"/>
      <c r="FM46" s="272"/>
      <c r="FN46" s="272"/>
      <c r="FO46" s="272"/>
      <c r="FP46" s="272">
        <v>1597859600</v>
      </c>
      <c r="FQ46" s="272"/>
      <c r="FR46" s="272"/>
      <c r="FS46" s="272"/>
      <c r="FT46" s="272"/>
      <c r="FU46" s="272"/>
      <c r="FV46" s="303">
        <f>SUM(FW46:FX46)</f>
        <v>0</v>
      </c>
      <c r="FW46" s="303">
        <f>SUM(FY46:FY46)</f>
        <v>0</v>
      </c>
      <c r="FX46" s="303">
        <f>SUM(FZ46:GA46)</f>
        <v>0</v>
      </c>
      <c r="FY46" s="272"/>
      <c r="FZ46" s="272"/>
      <c r="GA46" s="272"/>
      <c r="GB46" s="303">
        <v>865676400</v>
      </c>
      <c r="GC46" s="328">
        <f>CP46/C46</f>
        <v>1</v>
      </c>
      <c r="GD46" s="328"/>
      <c r="GE46" s="328">
        <f>CW46/J46</f>
        <v>1</v>
      </c>
      <c r="GF46" s="328">
        <f>ER46/BE46</f>
        <v>0.82267996722654646</v>
      </c>
      <c r="GG46" s="328"/>
    </row>
    <row r="47" spans="1:189" s="264" customFormat="1" ht="17.25" customHeight="1">
      <c r="A47" s="227">
        <v>12</v>
      </c>
      <c r="B47" s="228" t="s">
        <v>188</v>
      </c>
      <c r="C47" s="270">
        <f t="shared" ref="C47:AI47" si="74">C48+C49</f>
        <v>7643120777</v>
      </c>
      <c r="D47" s="270">
        <f t="shared" si="74"/>
        <v>7643120777</v>
      </c>
      <c r="E47" s="270">
        <f t="shared" si="74"/>
        <v>0</v>
      </c>
      <c r="F47" s="229">
        <f t="shared" si="74"/>
        <v>0</v>
      </c>
      <c r="G47" s="229">
        <f t="shared" si="74"/>
        <v>0</v>
      </c>
      <c r="H47" s="229">
        <f t="shared" si="74"/>
        <v>0</v>
      </c>
      <c r="I47" s="229">
        <f t="shared" si="74"/>
        <v>0</v>
      </c>
      <c r="J47" s="270">
        <f t="shared" si="74"/>
        <v>7643120777</v>
      </c>
      <c r="K47" s="229">
        <f t="shared" si="74"/>
        <v>0</v>
      </c>
      <c r="L47" s="229">
        <f t="shared" si="74"/>
        <v>0</v>
      </c>
      <c r="M47" s="229">
        <f t="shared" si="74"/>
        <v>0</v>
      </c>
      <c r="N47" s="229">
        <f t="shared" si="74"/>
        <v>0</v>
      </c>
      <c r="O47" s="229">
        <f t="shared" si="74"/>
        <v>0</v>
      </c>
      <c r="P47" s="229">
        <f t="shared" si="74"/>
        <v>0</v>
      </c>
      <c r="Q47" s="229">
        <f t="shared" si="74"/>
        <v>0</v>
      </c>
      <c r="R47" s="229">
        <f t="shared" si="74"/>
        <v>0</v>
      </c>
      <c r="S47" s="229">
        <f t="shared" si="74"/>
        <v>0</v>
      </c>
      <c r="T47" s="229">
        <f t="shared" si="74"/>
        <v>0</v>
      </c>
      <c r="U47" s="229">
        <f t="shared" si="74"/>
        <v>0</v>
      </c>
      <c r="V47" s="229">
        <f t="shared" si="74"/>
        <v>0</v>
      </c>
      <c r="W47" s="229">
        <f t="shared" si="74"/>
        <v>0</v>
      </c>
      <c r="X47" s="229">
        <f t="shared" si="74"/>
        <v>0</v>
      </c>
      <c r="Y47" s="229">
        <f t="shared" si="74"/>
        <v>0</v>
      </c>
      <c r="Z47" s="229">
        <f t="shared" si="74"/>
        <v>18400000</v>
      </c>
      <c r="AA47" s="229">
        <f t="shared" si="74"/>
        <v>0</v>
      </c>
      <c r="AB47" s="229">
        <f t="shared" si="74"/>
        <v>0</v>
      </c>
      <c r="AC47" s="229">
        <f t="shared" si="74"/>
        <v>0</v>
      </c>
      <c r="AD47" s="229">
        <f t="shared" si="74"/>
        <v>0</v>
      </c>
      <c r="AE47" s="229">
        <f t="shared" si="74"/>
        <v>0</v>
      </c>
      <c r="AF47" s="229">
        <f t="shared" si="74"/>
        <v>0</v>
      </c>
      <c r="AG47" s="229">
        <f t="shared" si="74"/>
        <v>0</v>
      </c>
      <c r="AH47" s="229">
        <f t="shared" si="74"/>
        <v>0</v>
      </c>
      <c r="AI47" s="229">
        <f t="shared" si="74"/>
        <v>0</v>
      </c>
      <c r="AJ47" s="229">
        <f t="shared" ref="AJ47:AO47" si="75">AJ48+AJ49</f>
        <v>0</v>
      </c>
      <c r="AK47" s="229">
        <f t="shared" si="75"/>
        <v>0</v>
      </c>
      <c r="AL47" s="229">
        <f t="shared" si="75"/>
        <v>0</v>
      </c>
      <c r="AM47" s="229">
        <f t="shared" si="75"/>
        <v>0</v>
      </c>
      <c r="AN47" s="229">
        <f t="shared" si="75"/>
        <v>0</v>
      </c>
      <c r="AO47" s="229">
        <f t="shared" si="75"/>
        <v>0</v>
      </c>
      <c r="AP47" s="229">
        <f t="shared" ref="AP47:AU47" si="76">AP48+AP49</f>
        <v>0</v>
      </c>
      <c r="AQ47" s="229">
        <f t="shared" si="76"/>
        <v>0</v>
      </c>
      <c r="AR47" s="229">
        <f t="shared" si="76"/>
        <v>0</v>
      </c>
      <c r="AS47" s="229">
        <f t="shared" si="76"/>
        <v>920222000</v>
      </c>
      <c r="AT47" s="229">
        <f t="shared" si="76"/>
        <v>0</v>
      </c>
      <c r="AU47" s="229">
        <f t="shared" si="76"/>
        <v>0</v>
      </c>
      <c r="AV47" s="229">
        <f>AV48+AV49</f>
        <v>0</v>
      </c>
      <c r="AW47" s="229">
        <f>AW48+AW49</f>
        <v>0</v>
      </c>
      <c r="AX47" s="229">
        <f t="shared" ref="AX47:CN47" si="77">AX48+AX49</f>
        <v>1318740824</v>
      </c>
      <c r="AY47" s="229">
        <f t="shared" si="77"/>
        <v>0</v>
      </c>
      <c r="AZ47" s="229">
        <f t="shared" si="77"/>
        <v>4420850000</v>
      </c>
      <c r="BA47" s="229">
        <f t="shared" si="77"/>
        <v>964907953</v>
      </c>
      <c r="BB47" s="229">
        <f t="shared" si="77"/>
        <v>0</v>
      </c>
      <c r="BC47" s="229">
        <f t="shared" si="77"/>
        <v>0</v>
      </c>
      <c r="BD47" s="229">
        <f t="shared" si="77"/>
        <v>0</v>
      </c>
      <c r="BE47" s="270">
        <f t="shared" si="77"/>
        <v>0</v>
      </c>
      <c r="BF47" s="270">
        <f t="shared" si="77"/>
        <v>0</v>
      </c>
      <c r="BG47" s="270">
        <f t="shared" si="77"/>
        <v>0</v>
      </c>
      <c r="BH47" s="229">
        <f t="shared" si="77"/>
        <v>0</v>
      </c>
      <c r="BI47" s="229">
        <f t="shared" si="77"/>
        <v>0</v>
      </c>
      <c r="BJ47" s="229">
        <f t="shared" si="77"/>
        <v>0</v>
      </c>
      <c r="BK47" s="229">
        <f t="shared" si="77"/>
        <v>0</v>
      </c>
      <c r="BL47" s="229">
        <f>BL48+BL49</f>
        <v>0</v>
      </c>
      <c r="BM47" s="229">
        <f>BM48+BM49</f>
        <v>0</v>
      </c>
      <c r="BN47" s="229">
        <f t="shared" si="77"/>
        <v>0</v>
      </c>
      <c r="BO47" s="229">
        <f t="shared" si="77"/>
        <v>0</v>
      </c>
      <c r="BP47" s="229">
        <f t="shared" si="77"/>
        <v>0</v>
      </c>
      <c r="BQ47" s="229">
        <f t="shared" si="77"/>
        <v>0</v>
      </c>
      <c r="BR47" s="229">
        <f t="shared" si="77"/>
        <v>0</v>
      </c>
      <c r="BS47" s="229">
        <f t="shared" si="77"/>
        <v>0</v>
      </c>
      <c r="BT47" s="229">
        <f t="shared" si="77"/>
        <v>0</v>
      </c>
      <c r="BU47" s="229">
        <f t="shared" si="77"/>
        <v>0</v>
      </c>
      <c r="BV47" s="229">
        <f t="shared" si="77"/>
        <v>0</v>
      </c>
      <c r="BW47" s="229">
        <f t="shared" si="77"/>
        <v>0</v>
      </c>
      <c r="BX47" s="229">
        <f t="shared" si="77"/>
        <v>0</v>
      </c>
      <c r="BY47" s="229">
        <f t="shared" si="77"/>
        <v>0</v>
      </c>
      <c r="BZ47" s="229">
        <f t="shared" si="77"/>
        <v>0</v>
      </c>
      <c r="CA47" s="229">
        <f t="shared" si="77"/>
        <v>0</v>
      </c>
      <c r="CB47" s="229">
        <f t="shared" si="77"/>
        <v>0</v>
      </c>
      <c r="CC47" s="229">
        <f t="shared" si="77"/>
        <v>0</v>
      </c>
      <c r="CD47" s="229">
        <f t="shared" si="77"/>
        <v>0</v>
      </c>
      <c r="CE47" s="229">
        <f t="shared" si="77"/>
        <v>0</v>
      </c>
      <c r="CF47" s="229">
        <f t="shared" si="77"/>
        <v>0</v>
      </c>
      <c r="CG47" s="229">
        <f t="shared" si="77"/>
        <v>0</v>
      </c>
      <c r="CH47" s="229">
        <f t="shared" si="77"/>
        <v>0</v>
      </c>
      <c r="CI47" s="270">
        <f t="shared" si="77"/>
        <v>0</v>
      </c>
      <c r="CJ47" s="270">
        <f t="shared" si="77"/>
        <v>0</v>
      </c>
      <c r="CK47" s="270">
        <f t="shared" si="77"/>
        <v>0</v>
      </c>
      <c r="CL47" s="229">
        <f t="shared" si="77"/>
        <v>0</v>
      </c>
      <c r="CM47" s="229">
        <f t="shared" si="77"/>
        <v>0</v>
      </c>
      <c r="CN47" s="229">
        <f t="shared" si="77"/>
        <v>0</v>
      </c>
      <c r="CO47" s="271" t="s">
        <v>188</v>
      </c>
      <c r="CP47" s="303">
        <f t="shared" ref="CP47:ER47" si="78">CP48+CP49</f>
        <v>7643120777</v>
      </c>
      <c r="CQ47" s="303">
        <f t="shared" si="78"/>
        <v>7643120777</v>
      </c>
      <c r="CR47" s="303">
        <f t="shared" si="78"/>
        <v>0</v>
      </c>
      <c r="CS47" s="272">
        <f t="shared" si="78"/>
        <v>0</v>
      </c>
      <c r="CT47" s="272">
        <f t="shared" si="78"/>
        <v>0</v>
      </c>
      <c r="CU47" s="272">
        <f t="shared" si="78"/>
        <v>0</v>
      </c>
      <c r="CV47" s="272">
        <f t="shared" si="78"/>
        <v>0</v>
      </c>
      <c r="CW47" s="303">
        <f t="shared" si="78"/>
        <v>7643120777</v>
      </c>
      <c r="CX47" s="272">
        <f t="shared" si="78"/>
        <v>0</v>
      </c>
      <c r="CY47" s="272">
        <f t="shared" si="78"/>
        <v>0</v>
      </c>
      <c r="CZ47" s="272">
        <f t="shared" si="78"/>
        <v>0</v>
      </c>
      <c r="DA47" s="272">
        <f t="shared" si="78"/>
        <v>0</v>
      </c>
      <c r="DB47" s="272">
        <f t="shared" si="78"/>
        <v>0</v>
      </c>
      <c r="DC47" s="272">
        <f t="shared" si="78"/>
        <v>0</v>
      </c>
      <c r="DD47" s="272">
        <f t="shared" si="78"/>
        <v>0</v>
      </c>
      <c r="DE47" s="272">
        <f t="shared" si="78"/>
        <v>0</v>
      </c>
      <c r="DF47" s="272">
        <f t="shared" si="78"/>
        <v>0</v>
      </c>
      <c r="DG47" s="272">
        <f t="shared" si="78"/>
        <v>0</v>
      </c>
      <c r="DH47" s="272">
        <f t="shared" si="78"/>
        <v>0</v>
      </c>
      <c r="DI47" s="272">
        <f t="shared" si="78"/>
        <v>0</v>
      </c>
      <c r="DJ47" s="272">
        <f t="shared" si="78"/>
        <v>0</v>
      </c>
      <c r="DK47" s="272">
        <f t="shared" si="78"/>
        <v>0</v>
      </c>
      <c r="DL47" s="272">
        <f t="shared" si="78"/>
        <v>0</v>
      </c>
      <c r="DM47" s="272">
        <f>DM48+DM49</f>
        <v>18400000</v>
      </c>
      <c r="DN47" s="272">
        <f t="shared" si="78"/>
        <v>0</v>
      </c>
      <c r="DO47" s="272">
        <f t="shared" si="78"/>
        <v>0</v>
      </c>
      <c r="DP47" s="272">
        <f t="shared" si="78"/>
        <v>0</v>
      </c>
      <c r="DQ47" s="272">
        <f t="shared" si="78"/>
        <v>0</v>
      </c>
      <c r="DR47" s="272">
        <f t="shared" si="78"/>
        <v>0</v>
      </c>
      <c r="DS47" s="272">
        <f t="shared" si="78"/>
        <v>0</v>
      </c>
      <c r="DT47" s="272">
        <f t="shared" si="78"/>
        <v>0</v>
      </c>
      <c r="DU47" s="272">
        <f t="shared" si="78"/>
        <v>0</v>
      </c>
      <c r="DV47" s="272">
        <f t="shared" si="78"/>
        <v>0</v>
      </c>
      <c r="DW47" s="272">
        <f t="shared" si="78"/>
        <v>0</v>
      </c>
      <c r="DX47" s="272">
        <f t="shared" si="78"/>
        <v>0</v>
      </c>
      <c r="DY47" s="272">
        <f t="shared" si="78"/>
        <v>0</v>
      </c>
      <c r="DZ47" s="272">
        <f t="shared" si="78"/>
        <v>0</v>
      </c>
      <c r="EA47" s="272">
        <f t="shared" si="78"/>
        <v>0</v>
      </c>
      <c r="EB47" s="272">
        <f t="shared" si="78"/>
        <v>0</v>
      </c>
      <c r="EC47" s="272">
        <f t="shared" si="78"/>
        <v>0</v>
      </c>
      <c r="ED47" s="272">
        <f t="shared" si="78"/>
        <v>0</v>
      </c>
      <c r="EE47" s="272">
        <f t="shared" si="78"/>
        <v>0</v>
      </c>
      <c r="EF47" s="272">
        <f t="shared" si="78"/>
        <v>920222000</v>
      </c>
      <c r="EG47" s="272">
        <f t="shared" si="78"/>
        <v>0</v>
      </c>
      <c r="EH47" s="272">
        <f t="shared" si="78"/>
        <v>0</v>
      </c>
      <c r="EI47" s="272">
        <f>EI48+EI49</f>
        <v>0</v>
      </c>
      <c r="EJ47" s="272">
        <f>EJ48+EJ49</f>
        <v>0</v>
      </c>
      <c r="EK47" s="272">
        <f t="shared" si="78"/>
        <v>1318740824</v>
      </c>
      <c r="EL47" s="272">
        <f t="shared" si="78"/>
        <v>0</v>
      </c>
      <c r="EM47" s="272">
        <f t="shared" si="78"/>
        <v>4420850000</v>
      </c>
      <c r="EN47" s="272">
        <f t="shared" si="78"/>
        <v>964907953</v>
      </c>
      <c r="EO47" s="272">
        <f t="shared" si="78"/>
        <v>0</v>
      </c>
      <c r="EP47" s="272">
        <f t="shared" si="78"/>
        <v>0</v>
      </c>
      <c r="EQ47" s="272">
        <f t="shared" si="78"/>
        <v>0</v>
      </c>
      <c r="ER47" s="303">
        <f t="shared" si="78"/>
        <v>0</v>
      </c>
      <c r="ES47" s="303">
        <f t="shared" ref="ES47:GB47" si="79">ES48+ES49</f>
        <v>0</v>
      </c>
      <c r="ET47" s="303">
        <f t="shared" si="79"/>
        <v>0</v>
      </c>
      <c r="EU47" s="272">
        <f t="shared" si="79"/>
        <v>0</v>
      </c>
      <c r="EV47" s="272">
        <f t="shared" si="79"/>
        <v>0</v>
      </c>
      <c r="EW47" s="272">
        <f t="shared" si="79"/>
        <v>0</v>
      </c>
      <c r="EX47" s="272">
        <f t="shared" si="79"/>
        <v>0</v>
      </c>
      <c r="EY47" s="272">
        <f>EY48+EY49</f>
        <v>0</v>
      </c>
      <c r="EZ47" s="272">
        <f>EZ48+EZ49</f>
        <v>0</v>
      </c>
      <c r="FA47" s="272">
        <f t="shared" si="79"/>
        <v>0</v>
      </c>
      <c r="FB47" s="272">
        <f t="shared" si="79"/>
        <v>0</v>
      </c>
      <c r="FC47" s="272">
        <f t="shared" si="79"/>
        <v>0</v>
      </c>
      <c r="FD47" s="272">
        <f t="shared" si="79"/>
        <v>0</v>
      </c>
      <c r="FE47" s="272">
        <f t="shared" si="79"/>
        <v>0</v>
      </c>
      <c r="FF47" s="272">
        <f t="shared" si="79"/>
        <v>0</v>
      </c>
      <c r="FG47" s="272">
        <f t="shared" si="79"/>
        <v>0</v>
      </c>
      <c r="FH47" s="272">
        <f t="shared" si="79"/>
        <v>0</v>
      </c>
      <c r="FI47" s="272">
        <f t="shared" si="79"/>
        <v>0</v>
      </c>
      <c r="FJ47" s="272">
        <f t="shared" si="79"/>
        <v>0</v>
      </c>
      <c r="FK47" s="272">
        <f t="shared" si="79"/>
        <v>0</v>
      </c>
      <c r="FL47" s="272">
        <f t="shared" si="79"/>
        <v>0</v>
      </c>
      <c r="FM47" s="272">
        <f t="shared" si="79"/>
        <v>0</v>
      </c>
      <c r="FN47" s="272">
        <f t="shared" si="79"/>
        <v>0</v>
      </c>
      <c r="FO47" s="272">
        <f t="shared" si="79"/>
        <v>0</v>
      </c>
      <c r="FP47" s="272">
        <f t="shared" si="79"/>
        <v>0</v>
      </c>
      <c r="FQ47" s="272">
        <f t="shared" si="79"/>
        <v>0</v>
      </c>
      <c r="FR47" s="272">
        <f t="shared" si="79"/>
        <v>0</v>
      </c>
      <c r="FS47" s="272">
        <f t="shared" si="79"/>
        <v>0</v>
      </c>
      <c r="FT47" s="272">
        <f t="shared" si="79"/>
        <v>0</v>
      </c>
      <c r="FU47" s="272">
        <f t="shared" si="79"/>
        <v>0</v>
      </c>
      <c r="FV47" s="303">
        <f t="shared" si="79"/>
        <v>0</v>
      </c>
      <c r="FW47" s="303">
        <f t="shared" si="79"/>
        <v>0</v>
      </c>
      <c r="FX47" s="303">
        <f t="shared" si="79"/>
        <v>0</v>
      </c>
      <c r="FY47" s="272">
        <f t="shared" si="79"/>
        <v>0</v>
      </c>
      <c r="FZ47" s="272">
        <f t="shared" si="79"/>
        <v>0</v>
      </c>
      <c r="GA47" s="272">
        <f t="shared" si="79"/>
        <v>0</v>
      </c>
      <c r="GB47" s="303">
        <f t="shared" si="79"/>
        <v>0</v>
      </c>
      <c r="GC47" s="328">
        <f>CP47/C47</f>
        <v>1</v>
      </c>
      <c r="GD47" s="328"/>
      <c r="GE47" s="328">
        <f>CW47/J47</f>
        <v>1</v>
      </c>
      <c r="GF47" s="328"/>
      <c r="GG47" s="328"/>
    </row>
    <row r="48" spans="1:189" s="264" customFormat="1" ht="17.25" customHeight="1">
      <c r="A48" s="227"/>
      <c r="B48" s="228" t="s">
        <v>183</v>
      </c>
      <c r="C48" s="270">
        <f>D48+BE48+CI48</f>
        <v>0</v>
      </c>
      <c r="D48" s="270">
        <f>E48+J48</f>
        <v>0</v>
      </c>
      <c r="E48" s="270">
        <f>SUM(F48:I48)</f>
        <v>0</v>
      </c>
      <c r="F48" s="229"/>
      <c r="G48" s="229"/>
      <c r="H48" s="229"/>
      <c r="I48" s="229"/>
      <c r="J48" s="270">
        <f>SUM(K48:BD48)</f>
        <v>0</v>
      </c>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70">
        <f>SUM(BF48:BG48)</f>
        <v>0</v>
      </c>
      <c r="BF48" s="270">
        <f>SUM(BH48:BI48)+BJ48+BM48+BW48+CE48</f>
        <v>0</v>
      </c>
      <c r="BG48" s="270">
        <f>BK48+SUM(BO48:BV48)+SUM(BX48:CD48)+SUM(CF48:CH48)</f>
        <v>0</v>
      </c>
      <c r="BH48" s="229"/>
      <c r="BI48" s="229"/>
      <c r="BJ48" s="229"/>
      <c r="BK48" s="229"/>
      <c r="BL48" s="229"/>
      <c r="BM48" s="229"/>
      <c r="BN48" s="229"/>
      <c r="BO48" s="229"/>
      <c r="BP48" s="229"/>
      <c r="BQ48" s="229"/>
      <c r="BR48" s="229"/>
      <c r="BS48" s="229"/>
      <c r="BT48" s="229"/>
      <c r="BU48" s="229"/>
      <c r="BV48" s="229"/>
      <c r="BW48" s="229"/>
      <c r="BX48" s="229"/>
      <c r="BY48" s="229"/>
      <c r="BZ48" s="229"/>
      <c r="CA48" s="229"/>
      <c r="CB48" s="229"/>
      <c r="CC48" s="229"/>
      <c r="CD48" s="229"/>
      <c r="CE48" s="229"/>
      <c r="CF48" s="229"/>
      <c r="CG48" s="229"/>
      <c r="CH48" s="229"/>
      <c r="CI48" s="270">
        <f>SUM(CJ48:CK48)</f>
        <v>0</v>
      </c>
      <c r="CJ48" s="270">
        <f>SUM(CL48:CL48)</f>
        <v>0</v>
      </c>
      <c r="CK48" s="270">
        <f>SUM(CM48:CN48)</f>
        <v>0</v>
      </c>
      <c r="CL48" s="229"/>
      <c r="CM48" s="229"/>
      <c r="CN48" s="229"/>
      <c r="CO48" s="271" t="s">
        <v>183</v>
      </c>
      <c r="CP48" s="303">
        <f>CQ48+ER48+FV48+GB48</f>
        <v>0</v>
      </c>
      <c r="CQ48" s="303">
        <f>CR48+CW48</f>
        <v>0</v>
      </c>
      <c r="CR48" s="303">
        <f>SUM(CS48:CV48)</f>
        <v>0</v>
      </c>
      <c r="CS48" s="272"/>
      <c r="CT48" s="272"/>
      <c r="CU48" s="272"/>
      <c r="CV48" s="272"/>
      <c r="CW48" s="303">
        <f>SUM(CX48:EQ48)</f>
        <v>0</v>
      </c>
      <c r="CX48" s="272"/>
      <c r="CY48" s="272"/>
      <c r="CZ48" s="272"/>
      <c r="DA48" s="272"/>
      <c r="DB48" s="272"/>
      <c r="DC48" s="272"/>
      <c r="DD48" s="272"/>
      <c r="DE48" s="272"/>
      <c r="DF48" s="272"/>
      <c r="DG48" s="272"/>
      <c r="DH48" s="272"/>
      <c r="DI48" s="272"/>
      <c r="DJ48" s="272"/>
      <c r="DK48" s="272"/>
      <c r="DL48" s="272"/>
      <c r="DM48" s="272"/>
      <c r="DN48" s="272"/>
      <c r="DO48" s="272"/>
      <c r="DP48" s="272"/>
      <c r="DQ48" s="272"/>
      <c r="DR48" s="272"/>
      <c r="DS48" s="272"/>
      <c r="DT48" s="272"/>
      <c r="DU48" s="272"/>
      <c r="DV48" s="272"/>
      <c r="DW48" s="272"/>
      <c r="DX48" s="272"/>
      <c r="DY48" s="272"/>
      <c r="DZ48" s="272"/>
      <c r="EA48" s="272"/>
      <c r="EB48" s="272"/>
      <c r="EC48" s="272"/>
      <c r="ED48" s="272"/>
      <c r="EE48" s="272"/>
      <c r="EF48" s="272"/>
      <c r="EG48" s="272"/>
      <c r="EH48" s="272"/>
      <c r="EI48" s="272"/>
      <c r="EJ48" s="272"/>
      <c r="EK48" s="272"/>
      <c r="EL48" s="272"/>
      <c r="EM48" s="272"/>
      <c r="EN48" s="272"/>
      <c r="EO48" s="272"/>
      <c r="EP48" s="272"/>
      <c r="EQ48" s="272"/>
      <c r="ER48" s="303">
        <f>SUM(ES48:ET48)</f>
        <v>0</v>
      </c>
      <c r="ES48" s="303">
        <f>SUM(EU48:EV48)+EW48+EZ48+FJ48+FR48</f>
        <v>0</v>
      </c>
      <c r="ET48" s="303">
        <f>EX48+SUM(FB48:FI48)+SUM(FK48:FQ48)+SUM(FS48:FU48)</f>
        <v>0</v>
      </c>
      <c r="EU48" s="272"/>
      <c r="EV48" s="272"/>
      <c r="EW48" s="272"/>
      <c r="EX48" s="272"/>
      <c r="EY48" s="272"/>
      <c r="EZ48" s="272"/>
      <c r="FA48" s="272"/>
      <c r="FB48" s="272"/>
      <c r="FC48" s="272"/>
      <c r="FD48" s="272"/>
      <c r="FE48" s="272"/>
      <c r="FF48" s="272"/>
      <c r="FG48" s="272"/>
      <c r="FH48" s="272"/>
      <c r="FI48" s="272"/>
      <c r="FJ48" s="272"/>
      <c r="FK48" s="272"/>
      <c r="FL48" s="272"/>
      <c r="FM48" s="272"/>
      <c r="FN48" s="272"/>
      <c r="FO48" s="272"/>
      <c r="FP48" s="272"/>
      <c r="FQ48" s="272"/>
      <c r="FR48" s="272"/>
      <c r="FS48" s="272"/>
      <c r="FT48" s="272"/>
      <c r="FU48" s="272"/>
      <c r="FV48" s="303">
        <f>SUM(FW48:FX48)</f>
        <v>0</v>
      </c>
      <c r="FW48" s="303">
        <f>SUM(FY48:FY48)</f>
        <v>0</v>
      </c>
      <c r="FX48" s="303">
        <f>SUM(FZ48:GA48)</f>
        <v>0</v>
      </c>
      <c r="FY48" s="272"/>
      <c r="FZ48" s="272"/>
      <c r="GA48" s="272"/>
      <c r="GB48" s="303"/>
      <c r="GC48" s="328"/>
      <c r="GD48" s="328"/>
      <c r="GE48" s="328"/>
      <c r="GF48" s="328"/>
      <c r="GG48" s="328"/>
    </row>
    <row r="49" spans="1:189" s="264" customFormat="1" ht="17.25" customHeight="1">
      <c r="A49" s="227"/>
      <c r="B49" s="228" t="s">
        <v>184</v>
      </c>
      <c r="C49" s="270">
        <f>D49+BE49+CI49</f>
        <v>7643120777</v>
      </c>
      <c r="D49" s="270">
        <f>E49+J49</f>
        <v>7643120777</v>
      </c>
      <c r="E49" s="270">
        <f>SUM(F49:I49)</f>
        <v>0</v>
      </c>
      <c r="F49" s="229"/>
      <c r="G49" s="229"/>
      <c r="H49" s="229"/>
      <c r="I49" s="229"/>
      <c r="J49" s="270">
        <f>SUM(K49:BD49)</f>
        <v>7643120777</v>
      </c>
      <c r="K49" s="229"/>
      <c r="L49" s="229"/>
      <c r="M49" s="229"/>
      <c r="N49" s="229"/>
      <c r="O49" s="229"/>
      <c r="P49" s="229"/>
      <c r="Q49" s="229"/>
      <c r="R49" s="229"/>
      <c r="S49" s="229"/>
      <c r="T49" s="229"/>
      <c r="U49" s="229"/>
      <c r="V49" s="229"/>
      <c r="W49" s="229"/>
      <c r="X49" s="229"/>
      <c r="Y49" s="229"/>
      <c r="Z49" s="229">
        <v>18400000</v>
      </c>
      <c r="AA49" s="229"/>
      <c r="AB49" s="229"/>
      <c r="AC49" s="229"/>
      <c r="AD49" s="229"/>
      <c r="AE49" s="229"/>
      <c r="AF49" s="229"/>
      <c r="AG49" s="229"/>
      <c r="AH49" s="229"/>
      <c r="AI49" s="229"/>
      <c r="AJ49" s="229"/>
      <c r="AK49" s="229"/>
      <c r="AL49" s="229"/>
      <c r="AM49" s="229"/>
      <c r="AN49" s="229"/>
      <c r="AO49" s="229"/>
      <c r="AP49" s="229"/>
      <c r="AQ49" s="229"/>
      <c r="AR49" s="229"/>
      <c r="AS49" s="229">
        <v>920222000</v>
      </c>
      <c r="AT49" s="229"/>
      <c r="AU49" s="229"/>
      <c r="AV49" s="229"/>
      <c r="AW49" s="229"/>
      <c r="AX49" s="229">
        <v>1318740824</v>
      </c>
      <c r="AY49" s="229"/>
      <c r="AZ49" s="229">
        <v>4420850000</v>
      </c>
      <c r="BA49" s="229">
        <v>964907953</v>
      </c>
      <c r="BB49" s="229"/>
      <c r="BC49" s="229"/>
      <c r="BD49" s="229"/>
      <c r="BE49" s="270">
        <f>SUM(BF49:BG49)</f>
        <v>0</v>
      </c>
      <c r="BF49" s="270">
        <f>SUM(BH49:BI49)+BJ49+BM49+BW49+CE49</f>
        <v>0</v>
      </c>
      <c r="BG49" s="270">
        <f>BK49+SUM(BO49:BV49)+SUM(BX49:CD49)+SUM(CF49:CH49)</f>
        <v>0</v>
      </c>
      <c r="BH49" s="229"/>
      <c r="BI49" s="229"/>
      <c r="BJ49" s="229"/>
      <c r="BK49" s="229"/>
      <c r="BL49" s="229"/>
      <c r="BM49" s="229"/>
      <c r="BN49" s="229"/>
      <c r="BO49" s="229"/>
      <c r="BP49" s="229"/>
      <c r="BQ49" s="229"/>
      <c r="BR49" s="229"/>
      <c r="BS49" s="229"/>
      <c r="BT49" s="229"/>
      <c r="BU49" s="229"/>
      <c r="BV49" s="229"/>
      <c r="BW49" s="229"/>
      <c r="BX49" s="229"/>
      <c r="BY49" s="229"/>
      <c r="BZ49" s="229"/>
      <c r="CA49" s="229"/>
      <c r="CB49" s="229"/>
      <c r="CC49" s="229"/>
      <c r="CD49" s="229"/>
      <c r="CE49" s="229"/>
      <c r="CF49" s="229"/>
      <c r="CG49" s="229"/>
      <c r="CH49" s="229"/>
      <c r="CI49" s="270">
        <f>SUM(CJ49:CK49)</f>
        <v>0</v>
      </c>
      <c r="CJ49" s="270">
        <f>SUM(CL49:CL49)</f>
        <v>0</v>
      </c>
      <c r="CK49" s="270">
        <f>SUM(CM49:CN49)</f>
        <v>0</v>
      </c>
      <c r="CL49" s="229"/>
      <c r="CM49" s="229"/>
      <c r="CN49" s="229"/>
      <c r="CO49" s="271" t="s">
        <v>184</v>
      </c>
      <c r="CP49" s="303">
        <f>CQ49+ER49+FV49+GB49</f>
        <v>7643120777</v>
      </c>
      <c r="CQ49" s="303">
        <f>CR49+CW49</f>
        <v>7643120777</v>
      </c>
      <c r="CR49" s="303">
        <f>SUM(CS49:CV49)</f>
        <v>0</v>
      </c>
      <c r="CS49" s="272"/>
      <c r="CT49" s="272"/>
      <c r="CU49" s="272"/>
      <c r="CV49" s="272"/>
      <c r="CW49" s="303">
        <f>SUM(CX49:EQ49)</f>
        <v>7643120777</v>
      </c>
      <c r="CX49" s="272"/>
      <c r="CY49" s="272"/>
      <c r="CZ49" s="272"/>
      <c r="DA49" s="272"/>
      <c r="DB49" s="272"/>
      <c r="DC49" s="272"/>
      <c r="DD49" s="272"/>
      <c r="DE49" s="272"/>
      <c r="DF49" s="272"/>
      <c r="DG49" s="272"/>
      <c r="DH49" s="272"/>
      <c r="DI49" s="272"/>
      <c r="DJ49" s="272"/>
      <c r="DK49" s="272"/>
      <c r="DL49" s="272"/>
      <c r="DM49" s="272">
        <v>18400000</v>
      </c>
      <c r="DN49" s="272"/>
      <c r="DO49" s="272"/>
      <c r="DP49" s="272"/>
      <c r="DQ49" s="272"/>
      <c r="DR49" s="272"/>
      <c r="DS49" s="272"/>
      <c r="DT49" s="272"/>
      <c r="DU49" s="272"/>
      <c r="DV49" s="272"/>
      <c r="DW49" s="272"/>
      <c r="DX49" s="272"/>
      <c r="DY49" s="272"/>
      <c r="DZ49" s="272"/>
      <c r="EA49" s="272"/>
      <c r="EB49" s="272"/>
      <c r="EC49" s="272"/>
      <c r="ED49" s="272"/>
      <c r="EE49" s="272"/>
      <c r="EF49" s="272">
        <v>920222000</v>
      </c>
      <c r="EG49" s="272"/>
      <c r="EH49" s="272"/>
      <c r="EI49" s="272"/>
      <c r="EJ49" s="272"/>
      <c r="EK49" s="272">
        <v>1318740824</v>
      </c>
      <c r="EL49" s="272"/>
      <c r="EM49" s="272">
        <v>4420850000</v>
      </c>
      <c r="EN49" s="272">
        <v>964907953</v>
      </c>
      <c r="EO49" s="272"/>
      <c r="EP49" s="272"/>
      <c r="EQ49" s="272"/>
      <c r="ER49" s="303">
        <f>SUM(ES49:ET49)</f>
        <v>0</v>
      </c>
      <c r="ES49" s="303">
        <f>SUM(EU49:EV49)+EW49+EZ49+FJ49+FR49</f>
        <v>0</v>
      </c>
      <c r="ET49" s="303">
        <f>EX49+SUM(FB49:FI49)+SUM(FK49:FQ49)+SUM(FS49:FU49)</f>
        <v>0</v>
      </c>
      <c r="EU49" s="272"/>
      <c r="EV49" s="272"/>
      <c r="EW49" s="272"/>
      <c r="EX49" s="272"/>
      <c r="EY49" s="272"/>
      <c r="EZ49" s="272"/>
      <c r="FA49" s="272"/>
      <c r="FB49" s="272"/>
      <c r="FC49" s="272"/>
      <c r="FD49" s="272"/>
      <c r="FE49" s="272"/>
      <c r="FF49" s="272"/>
      <c r="FG49" s="272"/>
      <c r="FH49" s="272"/>
      <c r="FI49" s="272"/>
      <c r="FJ49" s="272"/>
      <c r="FK49" s="272"/>
      <c r="FL49" s="272"/>
      <c r="FM49" s="272"/>
      <c r="FN49" s="272"/>
      <c r="FO49" s="272"/>
      <c r="FP49" s="272"/>
      <c r="FQ49" s="272"/>
      <c r="FR49" s="272"/>
      <c r="FS49" s="272"/>
      <c r="FT49" s="272"/>
      <c r="FU49" s="272"/>
      <c r="FV49" s="303">
        <f>SUM(FW49:FX49)</f>
        <v>0</v>
      </c>
      <c r="FW49" s="303">
        <f>SUM(FY49:FY49)</f>
        <v>0</v>
      </c>
      <c r="FX49" s="303">
        <f>SUM(FZ49:GA49)</f>
        <v>0</v>
      </c>
      <c r="FY49" s="272"/>
      <c r="FZ49" s="272"/>
      <c r="GA49" s="272"/>
      <c r="GB49" s="303"/>
      <c r="GC49" s="328">
        <f>CP49/C49</f>
        <v>1</v>
      </c>
      <c r="GD49" s="328"/>
      <c r="GE49" s="328">
        <f>CW49/J49</f>
        <v>1</v>
      </c>
      <c r="GF49" s="328"/>
      <c r="GG49" s="328"/>
    </row>
    <row r="50" spans="1:189" s="264" customFormat="1" ht="17.25" customHeight="1">
      <c r="A50" s="227">
        <v>13</v>
      </c>
      <c r="B50" s="228" t="s">
        <v>191</v>
      </c>
      <c r="C50" s="270">
        <f t="shared" ref="C50:AI50" si="80">C51+C52</f>
        <v>1931085000</v>
      </c>
      <c r="D50" s="270">
        <f t="shared" si="80"/>
        <v>1931085000</v>
      </c>
      <c r="E50" s="270">
        <f t="shared" si="80"/>
        <v>0</v>
      </c>
      <c r="F50" s="229">
        <f t="shared" si="80"/>
        <v>0</v>
      </c>
      <c r="G50" s="229">
        <f t="shared" si="80"/>
        <v>0</v>
      </c>
      <c r="H50" s="229">
        <f t="shared" si="80"/>
        <v>0</v>
      </c>
      <c r="I50" s="229">
        <f t="shared" si="80"/>
        <v>0</v>
      </c>
      <c r="J50" s="270">
        <f t="shared" si="80"/>
        <v>1931085000</v>
      </c>
      <c r="K50" s="229">
        <f t="shared" si="80"/>
        <v>0</v>
      </c>
      <c r="L50" s="229">
        <f t="shared" si="80"/>
        <v>0</v>
      </c>
      <c r="M50" s="229">
        <f t="shared" si="80"/>
        <v>0</v>
      </c>
      <c r="N50" s="229">
        <f t="shared" si="80"/>
        <v>0</v>
      </c>
      <c r="O50" s="229">
        <f t="shared" si="80"/>
        <v>0</v>
      </c>
      <c r="P50" s="229">
        <f t="shared" si="80"/>
        <v>0</v>
      </c>
      <c r="Q50" s="229">
        <f t="shared" si="80"/>
        <v>0</v>
      </c>
      <c r="R50" s="229">
        <f t="shared" si="80"/>
        <v>0</v>
      </c>
      <c r="S50" s="229">
        <f t="shared" si="80"/>
        <v>0</v>
      </c>
      <c r="T50" s="229">
        <f t="shared" si="80"/>
        <v>0</v>
      </c>
      <c r="U50" s="229">
        <f t="shared" si="80"/>
        <v>0</v>
      </c>
      <c r="V50" s="229">
        <f t="shared" si="80"/>
        <v>0</v>
      </c>
      <c r="W50" s="229">
        <f t="shared" si="80"/>
        <v>0</v>
      </c>
      <c r="X50" s="229">
        <f t="shared" si="80"/>
        <v>0</v>
      </c>
      <c r="Y50" s="229">
        <f t="shared" si="80"/>
        <v>0</v>
      </c>
      <c r="Z50" s="229">
        <f t="shared" si="80"/>
        <v>0</v>
      </c>
      <c r="AA50" s="229">
        <f t="shared" si="80"/>
        <v>0</v>
      </c>
      <c r="AB50" s="229">
        <f t="shared" si="80"/>
        <v>0</v>
      </c>
      <c r="AC50" s="229">
        <f t="shared" si="80"/>
        <v>0</v>
      </c>
      <c r="AD50" s="229">
        <f t="shared" si="80"/>
        <v>0</v>
      </c>
      <c r="AE50" s="229">
        <f t="shared" si="80"/>
        <v>0</v>
      </c>
      <c r="AF50" s="229">
        <f t="shared" si="80"/>
        <v>0</v>
      </c>
      <c r="AG50" s="229">
        <f t="shared" si="80"/>
        <v>0</v>
      </c>
      <c r="AH50" s="229">
        <f t="shared" si="80"/>
        <v>0</v>
      </c>
      <c r="AI50" s="229">
        <f t="shared" si="80"/>
        <v>0</v>
      </c>
      <c r="AJ50" s="229">
        <f t="shared" ref="AJ50:AO50" si="81">AJ51+AJ52</f>
        <v>0</v>
      </c>
      <c r="AK50" s="229">
        <f t="shared" si="81"/>
        <v>0</v>
      </c>
      <c r="AL50" s="229">
        <f t="shared" si="81"/>
        <v>0</v>
      </c>
      <c r="AM50" s="229">
        <f t="shared" si="81"/>
        <v>0</v>
      </c>
      <c r="AN50" s="229">
        <f t="shared" si="81"/>
        <v>0</v>
      </c>
      <c r="AO50" s="229">
        <f t="shared" si="81"/>
        <v>0</v>
      </c>
      <c r="AP50" s="229">
        <f t="shared" ref="AP50:AU50" si="82">AP51+AP52</f>
        <v>0</v>
      </c>
      <c r="AQ50" s="229">
        <f t="shared" si="82"/>
        <v>0</v>
      </c>
      <c r="AR50" s="229">
        <f t="shared" si="82"/>
        <v>0</v>
      </c>
      <c r="AS50" s="229">
        <f t="shared" si="82"/>
        <v>0</v>
      </c>
      <c r="AT50" s="229">
        <f t="shared" si="82"/>
        <v>0</v>
      </c>
      <c r="AU50" s="229">
        <f t="shared" si="82"/>
        <v>0</v>
      </c>
      <c r="AV50" s="229">
        <f>AV51+AV52</f>
        <v>0</v>
      </c>
      <c r="AW50" s="229">
        <f>AW51+AW52</f>
        <v>0</v>
      </c>
      <c r="AX50" s="229">
        <f t="shared" ref="AX50:CN50" si="83">AX51+AX52</f>
        <v>0</v>
      </c>
      <c r="AY50" s="229">
        <f t="shared" si="83"/>
        <v>0</v>
      </c>
      <c r="AZ50" s="229">
        <f t="shared" si="83"/>
        <v>0</v>
      </c>
      <c r="BA50" s="229">
        <f t="shared" si="83"/>
        <v>1931085000</v>
      </c>
      <c r="BB50" s="229">
        <f t="shared" si="83"/>
        <v>0</v>
      </c>
      <c r="BC50" s="229">
        <f t="shared" si="83"/>
        <v>0</v>
      </c>
      <c r="BD50" s="229">
        <f t="shared" si="83"/>
        <v>0</v>
      </c>
      <c r="BE50" s="270">
        <f t="shared" si="83"/>
        <v>0</v>
      </c>
      <c r="BF50" s="270">
        <f t="shared" si="83"/>
        <v>0</v>
      </c>
      <c r="BG50" s="270">
        <f t="shared" si="83"/>
        <v>0</v>
      </c>
      <c r="BH50" s="229">
        <f t="shared" si="83"/>
        <v>0</v>
      </c>
      <c r="BI50" s="229">
        <f t="shared" si="83"/>
        <v>0</v>
      </c>
      <c r="BJ50" s="229">
        <f t="shared" si="83"/>
        <v>0</v>
      </c>
      <c r="BK50" s="229">
        <f t="shared" si="83"/>
        <v>0</v>
      </c>
      <c r="BL50" s="229">
        <f>BL51+BL52</f>
        <v>0</v>
      </c>
      <c r="BM50" s="229">
        <f>BM51+BM52</f>
        <v>0</v>
      </c>
      <c r="BN50" s="229">
        <f t="shared" si="83"/>
        <v>0</v>
      </c>
      <c r="BO50" s="229">
        <f t="shared" si="83"/>
        <v>0</v>
      </c>
      <c r="BP50" s="229">
        <f t="shared" si="83"/>
        <v>0</v>
      </c>
      <c r="BQ50" s="229">
        <f t="shared" si="83"/>
        <v>0</v>
      </c>
      <c r="BR50" s="229">
        <f t="shared" si="83"/>
        <v>0</v>
      </c>
      <c r="BS50" s="229">
        <f t="shared" si="83"/>
        <v>0</v>
      </c>
      <c r="BT50" s="229">
        <f t="shared" si="83"/>
        <v>0</v>
      </c>
      <c r="BU50" s="229">
        <f t="shared" si="83"/>
        <v>0</v>
      </c>
      <c r="BV50" s="229">
        <f t="shared" si="83"/>
        <v>0</v>
      </c>
      <c r="BW50" s="229">
        <f t="shared" si="83"/>
        <v>0</v>
      </c>
      <c r="BX50" s="229">
        <f t="shared" si="83"/>
        <v>0</v>
      </c>
      <c r="BY50" s="229">
        <f t="shared" si="83"/>
        <v>0</v>
      </c>
      <c r="BZ50" s="229">
        <f t="shared" si="83"/>
        <v>0</v>
      </c>
      <c r="CA50" s="229">
        <f t="shared" si="83"/>
        <v>0</v>
      </c>
      <c r="CB50" s="229">
        <f t="shared" si="83"/>
        <v>0</v>
      </c>
      <c r="CC50" s="229">
        <f t="shared" si="83"/>
        <v>0</v>
      </c>
      <c r="CD50" s="229">
        <f t="shared" si="83"/>
        <v>0</v>
      </c>
      <c r="CE50" s="229">
        <f t="shared" si="83"/>
        <v>0</v>
      </c>
      <c r="CF50" s="229">
        <f t="shared" si="83"/>
        <v>0</v>
      </c>
      <c r="CG50" s="229">
        <f t="shared" si="83"/>
        <v>0</v>
      </c>
      <c r="CH50" s="229">
        <f t="shared" si="83"/>
        <v>0</v>
      </c>
      <c r="CI50" s="270">
        <f t="shared" si="83"/>
        <v>0</v>
      </c>
      <c r="CJ50" s="270">
        <f t="shared" si="83"/>
        <v>0</v>
      </c>
      <c r="CK50" s="270">
        <f t="shared" si="83"/>
        <v>0</v>
      </c>
      <c r="CL50" s="229">
        <f t="shared" si="83"/>
        <v>0</v>
      </c>
      <c r="CM50" s="229">
        <f t="shared" si="83"/>
        <v>0</v>
      </c>
      <c r="CN50" s="229">
        <f t="shared" si="83"/>
        <v>0</v>
      </c>
      <c r="CO50" s="271" t="s">
        <v>191</v>
      </c>
      <c r="CP50" s="303">
        <f t="shared" ref="CP50:ER50" si="84">CP51+CP52</f>
        <v>1931085000</v>
      </c>
      <c r="CQ50" s="303">
        <f t="shared" si="84"/>
        <v>1931085000</v>
      </c>
      <c r="CR50" s="303">
        <f t="shared" si="84"/>
        <v>0</v>
      </c>
      <c r="CS50" s="272">
        <f t="shared" si="84"/>
        <v>0</v>
      </c>
      <c r="CT50" s="272">
        <f t="shared" si="84"/>
        <v>0</v>
      </c>
      <c r="CU50" s="272">
        <f t="shared" si="84"/>
        <v>0</v>
      </c>
      <c r="CV50" s="272">
        <f t="shared" si="84"/>
        <v>0</v>
      </c>
      <c r="CW50" s="303">
        <f t="shared" si="84"/>
        <v>1931085000</v>
      </c>
      <c r="CX50" s="272">
        <f t="shared" si="84"/>
        <v>0</v>
      </c>
      <c r="CY50" s="272">
        <f t="shared" si="84"/>
        <v>0</v>
      </c>
      <c r="CZ50" s="272">
        <f t="shared" si="84"/>
        <v>0</v>
      </c>
      <c r="DA50" s="272">
        <f t="shared" si="84"/>
        <v>0</v>
      </c>
      <c r="DB50" s="272">
        <f t="shared" si="84"/>
        <v>0</v>
      </c>
      <c r="DC50" s="272">
        <f t="shared" si="84"/>
        <v>0</v>
      </c>
      <c r="DD50" s="272">
        <f t="shared" si="84"/>
        <v>0</v>
      </c>
      <c r="DE50" s="272">
        <f t="shared" si="84"/>
        <v>0</v>
      </c>
      <c r="DF50" s="272">
        <f t="shared" si="84"/>
        <v>0</v>
      </c>
      <c r="DG50" s="272">
        <f t="shared" si="84"/>
        <v>0</v>
      </c>
      <c r="DH50" s="272">
        <f t="shared" si="84"/>
        <v>0</v>
      </c>
      <c r="DI50" s="272">
        <f t="shared" si="84"/>
        <v>0</v>
      </c>
      <c r="DJ50" s="272">
        <f t="shared" si="84"/>
        <v>0</v>
      </c>
      <c r="DK50" s="272">
        <f t="shared" si="84"/>
        <v>0</v>
      </c>
      <c r="DL50" s="272">
        <f t="shared" si="84"/>
        <v>0</v>
      </c>
      <c r="DM50" s="272">
        <f>DM51+DM52</f>
        <v>0</v>
      </c>
      <c r="DN50" s="272">
        <f t="shared" si="84"/>
        <v>0</v>
      </c>
      <c r="DO50" s="272">
        <f t="shared" si="84"/>
        <v>0</v>
      </c>
      <c r="DP50" s="272">
        <f t="shared" si="84"/>
        <v>0</v>
      </c>
      <c r="DQ50" s="272">
        <f t="shared" si="84"/>
        <v>0</v>
      </c>
      <c r="DR50" s="272">
        <f t="shared" si="84"/>
        <v>0</v>
      </c>
      <c r="DS50" s="272">
        <f t="shared" si="84"/>
        <v>0</v>
      </c>
      <c r="DT50" s="272">
        <f t="shared" si="84"/>
        <v>0</v>
      </c>
      <c r="DU50" s="272">
        <f t="shared" si="84"/>
        <v>0</v>
      </c>
      <c r="DV50" s="272">
        <f t="shared" si="84"/>
        <v>0</v>
      </c>
      <c r="DW50" s="272">
        <f t="shared" si="84"/>
        <v>0</v>
      </c>
      <c r="DX50" s="272">
        <f t="shared" si="84"/>
        <v>0</v>
      </c>
      <c r="DY50" s="272">
        <f t="shared" si="84"/>
        <v>0</v>
      </c>
      <c r="DZ50" s="272">
        <f t="shared" si="84"/>
        <v>0</v>
      </c>
      <c r="EA50" s="272">
        <f t="shared" si="84"/>
        <v>0</v>
      </c>
      <c r="EB50" s="272">
        <f t="shared" si="84"/>
        <v>0</v>
      </c>
      <c r="EC50" s="272">
        <f t="shared" si="84"/>
        <v>0</v>
      </c>
      <c r="ED50" s="272">
        <f t="shared" si="84"/>
        <v>0</v>
      </c>
      <c r="EE50" s="272">
        <f t="shared" si="84"/>
        <v>0</v>
      </c>
      <c r="EF50" s="272">
        <f t="shared" si="84"/>
        <v>0</v>
      </c>
      <c r="EG50" s="272">
        <f t="shared" si="84"/>
        <v>0</v>
      </c>
      <c r="EH50" s="272">
        <f t="shared" si="84"/>
        <v>0</v>
      </c>
      <c r="EI50" s="272">
        <f>EI51+EI52</f>
        <v>0</v>
      </c>
      <c r="EJ50" s="272">
        <f>EJ51+EJ52</f>
        <v>0</v>
      </c>
      <c r="EK50" s="272">
        <f t="shared" si="84"/>
        <v>0</v>
      </c>
      <c r="EL50" s="272">
        <f t="shared" si="84"/>
        <v>0</v>
      </c>
      <c r="EM50" s="272">
        <f t="shared" si="84"/>
        <v>0</v>
      </c>
      <c r="EN50" s="272">
        <f t="shared" si="84"/>
        <v>1931085000</v>
      </c>
      <c r="EO50" s="272">
        <f t="shared" si="84"/>
        <v>0</v>
      </c>
      <c r="EP50" s="272">
        <f t="shared" si="84"/>
        <v>0</v>
      </c>
      <c r="EQ50" s="272">
        <f t="shared" si="84"/>
        <v>0</v>
      </c>
      <c r="ER50" s="303">
        <f t="shared" si="84"/>
        <v>0</v>
      </c>
      <c r="ES50" s="303">
        <f t="shared" ref="ES50:GB50" si="85">ES51+ES52</f>
        <v>0</v>
      </c>
      <c r="ET50" s="303">
        <f t="shared" si="85"/>
        <v>0</v>
      </c>
      <c r="EU50" s="272">
        <f t="shared" si="85"/>
        <v>0</v>
      </c>
      <c r="EV50" s="272">
        <f t="shared" si="85"/>
        <v>0</v>
      </c>
      <c r="EW50" s="272">
        <f t="shared" si="85"/>
        <v>0</v>
      </c>
      <c r="EX50" s="272">
        <f t="shared" si="85"/>
        <v>0</v>
      </c>
      <c r="EY50" s="272">
        <f>EY51+EY52</f>
        <v>0</v>
      </c>
      <c r="EZ50" s="272">
        <f>EZ51+EZ52</f>
        <v>0</v>
      </c>
      <c r="FA50" s="272">
        <f t="shared" si="85"/>
        <v>0</v>
      </c>
      <c r="FB50" s="272">
        <f t="shared" si="85"/>
        <v>0</v>
      </c>
      <c r="FC50" s="272">
        <f t="shared" si="85"/>
        <v>0</v>
      </c>
      <c r="FD50" s="272">
        <f t="shared" si="85"/>
        <v>0</v>
      </c>
      <c r="FE50" s="272">
        <f t="shared" si="85"/>
        <v>0</v>
      </c>
      <c r="FF50" s="272">
        <f t="shared" si="85"/>
        <v>0</v>
      </c>
      <c r="FG50" s="272">
        <f t="shared" si="85"/>
        <v>0</v>
      </c>
      <c r="FH50" s="272">
        <f t="shared" si="85"/>
        <v>0</v>
      </c>
      <c r="FI50" s="272">
        <f t="shared" si="85"/>
        <v>0</v>
      </c>
      <c r="FJ50" s="272">
        <f t="shared" si="85"/>
        <v>0</v>
      </c>
      <c r="FK50" s="272">
        <f t="shared" si="85"/>
        <v>0</v>
      </c>
      <c r="FL50" s="272">
        <f t="shared" si="85"/>
        <v>0</v>
      </c>
      <c r="FM50" s="272">
        <f t="shared" si="85"/>
        <v>0</v>
      </c>
      <c r="FN50" s="272">
        <f t="shared" si="85"/>
        <v>0</v>
      </c>
      <c r="FO50" s="272">
        <f t="shared" si="85"/>
        <v>0</v>
      </c>
      <c r="FP50" s="272">
        <f t="shared" si="85"/>
        <v>0</v>
      </c>
      <c r="FQ50" s="272">
        <f t="shared" si="85"/>
        <v>0</v>
      </c>
      <c r="FR50" s="272">
        <f t="shared" si="85"/>
        <v>0</v>
      </c>
      <c r="FS50" s="272">
        <f t="shared" si="85"/>
        <v>0</v>
      </c>
      <c r="FT50" s="272">
        <f t="shared" si="85"/>
        <v>0</v>
      </c>
      <c r="FU50" s="272">
        <f t="shared" si="85"/>
        <v>0</v>
      </c>
      <c r="FV50" s="303">
        <f t="shared" si="85"/>
        <v>0</v>
      </c>
      <c r="FW50" s="303">
        <f t="shared" si="85"/>
        <v>0</v>
      </c>
      <c r="FX50" s="303">
        <f t="shared" si="85"/>
        <v>0</v>
      </c>
      <c r="FY50" s="272">
        <f t="shared" si="85"/>
        <v>0</v>
      </c>
      <c r="FZ50" s="272">
        <f t="shared" si="85"/>
        <v>0</v>
      </c>
      <c r="GA50" s="272">
        <f t="shared" si="85"/>
        <v>0</v>
      </c>
      <c r="GB50" s="303">
        <f t="shared" si="85"/>
        <v>0</v>
      </c>
      <c r="GC50" s="328">
        <f>CP50/C50</f>
        <v>1</v>
      </c>
      <c r="GD50" s="328"/>
      <c r="GE50" s="328">
        <f>CW50/J50</f>
        <v>1</v>
      </c>
      <c r="GF50" s="328"/>
      <c r="GG50" s="328"/>
    </row>
    <row r="51" spans="1:189" s="264" customFormat="1" ht="17.25" customHeight="1">
      <c r="A51" s="227"/>
      <c r="B51" s="228" t="s">
        <v>183</v>
      </c>
      <c r="C51" s="270">
        <f>D51+BE51+CI51</f>
        <v>0</v>
      </c>
      <c r="D51" s="270">
        <f>E51+J51</f>
        <v>0</v>
      </c>
      <c r="E51" s="270">
        <f>SUM(F51:I51)</f>
        <v>0</v>
      </c>
      <c r="F51" s="229"/>
      <c r="G51" s="229"/>
      <c r="H51" s="229"/>
      <c r="I51" s="229"/>
      <c r="J51" s="270">
        <f>SUM(K51:BD51)</f>
        <v>0</v>
      </c>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70">
        <f>SUM(BF51:BG51)</f>
        <v>0</v>
      </c>
      <c r="BF51" s="270">
        <f>SUM(BH51:BI51)+BJ51+BM51+BW51+CE51</f>
        <v>0</v>
      </c>
      <c r="BG51" s="270">
        <f>BK51+SUM(BO51:BV51)+SUM(BX51:CD51)+SUM(CF51:CH51)</f>
        <v>0</v>
      </c>
      <c r="BH51" s="229"/>
      <c r="BI51" s="229"/>
      <c r="BJ51" s="229"/>
      <c r="BK51" s="229"/>
      <c r="BL51" s="229"/>
      <c r="BM51" s="229"/>
      <c r="BN51" s="229"/>
      <c r="BO51" s="229"/>
      <c r="BP51" s="229"/>
      <c r="BQ51" s="229"/>
      <c r="BR51" s="229"/>
      <c r="BS51" s="229"/>
      <c r="BT51" s="229"/>
      <c r="BU51" s="229"/>
      <c r="BV51" s="229"/>
      <c r="BW51" s="229"/>
      <c r="BX51" s="229"/>
      <c r="BY51" s="229"/>
      <c r="BZ51" s="229"/>
      <c r="CA51" s="229"/>
      <c r="CB51" s="229"/>
      <c r="CC51" s="229"/>
      <c r="CD51" s="229"/>
      <c r="CE51" s="229"/>
      <c r="CF51" s="229"/>
      <c r="CG51" s="229"/>
      <c r="CH51" s="229"/>
      <c r="CI51" s="270">
        <f>SUM(CJ51:CK51)</f>
        <v>0</v>
      </c>
      <c r="CJ51" s="270">
        <f>SUM(CL51:CL51)</f>
        <v>0</v>
      </c>
      <c r="CK51" s="270">
        <f>SUM(CM51:CN51)</f>
        <v>0</v>
      </c>
      <c r="CL51" s="229"/>
      <c r="CM51" s="229"/>
      <c r="CN51" s="229"/>
      <c r="CO51" s="271" t="s">
        <v>183</v>
      </c>
      <c r="CP51" s="303">
        <f>CQ51+ER51+FV51+GB51</f>
        <v>0</v>
      </c>
      <c r="CQ51" s="303">
        <f>CR51+CW51</f>
        <v>0</v>
      </c>
      <c r="CR51" s="303">
        <f>SUM(CS51:CV51)</f>
        <v>0</v>
      </c>
      <c r="CS51" s="272"/>
      <c r="CT51" s="272"/>
      <c r="CU51" s="272"/>
      <c r="CV51" s="272"/>
      <c r="CW51" s="303">
        <f>SUM(CX51:EQ51)</f>
        <v>0</v>
      </c>
      <c r="CX51" s="272"/>
      <c r="CY51" s="272"/>
      <c r="CZ51" s="272"/>
      <c r="DA51" s="272"/>
      <c r="DB51" s="272"/>
      <c r="DC51" s="272"/>
      <c r="DD51" s="272"/>
      <c r="DE51" s="272"/>
      <c r="DF51" s="272"/>
      <c r="DG51" s="272"/>
      <c r="DH51" s="272"/>
      <c r="DI51" s="272"/>
      <c r="DJ51" s="272"/>
      <c r="DK51" s="272"/>
      <c r="DL51" s="272"/>
      <c r="DM51" s="272"/>
      <c r="DN51" s="272"/>
      <c r="DO51" s="272"/>
      <c r="DP51" s="272"/>
      <c r="DQ51" s="272"/>
      <c r="DR51" s="272"/>
      <c r="DS51" s="272"/>
      <c r="DT51" s="272"/>
      <c r="DU51" s="272"/>
      <c r="DV51" s="272"/>
      <c r="DW51" s="272"/>
      <c r="DX51" s="272"/>
      <c r="DY51" s="272"/>
      <c r="DZ51" s="272"/>
      <c r="EA51" s="272"/>
      <c r="EB51" s="272"/>
      <c r="EC51" s="272"/>
      <c r="ED51" s="272"/>
      <c r="EE51" s="272"/>
      <c r="EF51" s="272"/>
      <c r="EG51" s="272"/>
      <c r="EH51" s="272"/>
      <c r="EI51" s="272"/>
      <c r="EJ51" s="272"/>
      <c r="EK51" s="272"/>
      <c r="EL51" s="272"/>
      <c r="EM51" s="272"/>
      <c r="EN51" s="272"/>
      <c r="EO51" s="272"/>
      <c r="EP51" s="272"/>
      <c r="EQ51" s="272"/>
      <c r="ER51" s="303">
        <f>SUM(ES51:ET51)</f>
        <v>0</v>
      </c>
      <c r="ES51" s="303">
        <f>SUM(EU51:EV51)+EW51+EZ51+FJ51+FR51</f>
        <v>0</v>
      </c>
      <c r="ET51" s="303">
        <f>EX51+SUM(FB51:FI51)+SUM(FK51:FQ51)+SUM(FS51:FU51)</f>
        <v>0</v>
      </c>
      <c r="EU51" s="272"/>
      <c r="EV51" s="272"/>
      <c r="EW51" s="272"/>
      <c r="EX51" s="272"/>
      <c r="EY51" s="272"/>
      <c r="EZ51" s="272"/>
      <c r="FA51" s="272"/>
      <c r="FB51" s="272"/>
      <c r="FC51" s="272"/>
      <c r="FD51" s="272"/>
      <c r="FE51" s="272"/>
      <c r="FF51" s="272"/>
      <c r="FG51" s="272"/>
      <c r="FH51" s="272"/>
      <c r="FI51" s="272"/>
      <c r="FJ51" s="272"/>
      <c r="FK51" s="272"/>
      <c r="FL51" s="272"/>
      <c r="FM51" s="272"/>
      <c r="FN51" s="272"/>
      <c r="FO51" s="272"/>
      <c r="FP51" s="272"/>
      <c r="FQ51" s="272"/>
      <c r="FR51" s="272"/>
      <c r="FS51" s="272"/>
      <c r="FT51" s="272"/>
      <c r="FU51" s="272"/>
      <c r="FV51" s="303">
        <f>SUM(FW51:FX51)</f>
        <v>0</v>
      </c>
      <c r="FW51" s="303">
        <f>SUM(FY51:FY51)</f>
        <v>0</v>
      </c>
      <c r="FX51" s="303">
        <f>SUM(FZ51:GA51)</f>
        <v>0</v>
      </c>
      <c r="FY51" s="272"/>
      <c r="FZ51" s="272"/>
      <c r="GA51" s="272"/>
      <c r="GB51" s="303"/>
      <c r="GC51" s="328"/>
      <c r="GD51" s="328"/>
      <c r="GE51" s="328"/>
      <c r="GF51" s="328"/>
      <c r="GG51" s="328"/>
    </row>
    <row r="52" spans="1:189" s="264" customFormat="1" ht="17.25" customHeight="1">
      <c r="A52" s="227"/>
      <c r="B52" s="228" t="s">
        <v>184</v>
      </c>
      <c r="C52" s="270">
        <f>D52+BE52+CI52</f>
        <v>1931085000</v>
      </c>
      <c r="D52" s="270">
        <f>E52+J52</f>
        <v>1931085000</v>
      </c>
      <c r="E52" s="270">
        <f>SUM(F52:I52)</f>
        <v>0</v>
      </c>
      <c r="F52" s="229"/>
      <c r="G52" s="229"/>
      <c r="H52" s="229"/>
      <c r="I52" s="229"/>
      <c r="J52" s="270">
        <f>SUM(K52:BD52)</f>
        <v>1931085000</v>
      </c>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v>1931085000</v>
      </c>
      <c r="BB52" s="229"/>
      <c r="BC52" s="229"/>
      <c r="BD52" s="229"/>
      <c r="BE52" s="270">
        <f>SUM(BF52:BG52)</f>
        <v>0</v>
      </c>
      <c r="BF52" s="270">
        <f>SUM(BH52:BI52)+BJ52+BM52+BW52+CE52</f>
        <v>0</v>
      </c>
      <c r="BG52" s="270">
        <f>BK52+SUM(BO52:BV52)+SUM(BX52:CD52)+SUM(CF52:CH52)</f>
        <v>0</v>
      </c>
      <c r="BH52" s="229"/>
      <c r="BI52" s="229"/>
      <c r="BJ52" s="229"/>
      <c r="BK52" s="229"/>
      <c r="BL52" s="229"/>
      <c r="BM52" s="229"/>
      <c r="BN52" s="229"/>
      <c r="BO52" s="229"/>
      <c r="BP52" s="229"/>
      <c r="BQ52" s="229"/>
      <c r="BR52" s="229"/>
      <c r="BS52" s="229"/>
      <c r="BT52" s="229"/>
      <c r="BU52" s="229"/>
      <c r="BV52" s="229"/>
      <c r="BW52" s="229"/>
      <c r="BX52" s="229"/>
      <c r="BY52" s="229"/>
      <c r="BZ52" s="229"/>
      <c r="CA52" s="229"/>
      <c r="CB52" s="229"/>
      <c r="CC52" s="229"/>
      <c r="CD52" s="229"/>
      <c r="CE52" s="229"/>
      <c r="CF52" s="229"/>
      <c r="CG52" s="229"/>
      <c r="CH52" s="229"/>
      <c r="CI52" s="270">
        <f>SUM(CJ52:CK52)</f>
        <v>0</v>
      </c>
      <c r="CJ52" s="270">
        <f>SUM(CL52:CL52)</f>
        <v>0</v>
      </c>
      <c r="CK52" s="270">
        <f>SUM(CM52:CN52)</f>
        <v>0</v>
      </c>
      <c r="CL52" s="229"/>
      <c r="CM52" s="229"/>
      <c r="CN52" s="229"/>
      <c r="CO52" s="271" t="s">
        <v>184</v>
      </c>
      <c r="CP52" s="303">
        <f>CQ52+ER52+FV52+GB52</f>
        <v>1931085000</v>
      </c>
      <c r="CQ52" s="303">
        <f>CR52+CW52</f>
        <v>1931085000</v>
      </c>
      <c r="CR52" s="303">
        <f>SUM(CS52:CV52)</f>
        <v>0</v>
      </c>
      <c r="CS52" s="272"/>
      <c r="CT52" s="272"/>
      <c r="CU52" s="272"/>
      <c r="CV52" s="272"/>
      <c r="CW52" s="303">
        <f>SUM(CX52:EQ52)</f>
        <v>1931085000</v>
      </c>
      <c r="CX52" s="272"/>
      <c r="CY52" s="272"/>
      <c r="CZ52" s="272"/>
      <c r="DA52" s="272"/>
      <c r="DB52" s="272"/>
      <c r="DC52" s="272"/>
      <c r="DD52" s="272"/>
      <c r="DE52" s="272"/>
      <c r="DF52" s="272"/>
      <c r="DG52" s="272"/>
      <c r="DH52" s="272"/>
      <c r="DI52" s="272"/>
      <c r="DJ52" s="272"/>
      <c r="DK52" s="272"/>
      <c r="DL52" s="272"/>
      <c r="DM52" s="272"/>
      <c r="DN52" s="272"/>
      <c r="DO52" s="272"/>
      <c r="DP52" s="272"/>
      <c r="DQ52" s="272"/>
      <c r="DR52" s="272"/>
      <c r="DS52" s="272"/>
      <c r="DT52" s="272"/>
      <c r="DU52" s="272"/>
      <c r="DV52" s="272"/>
      <c r="DW52" s="272"/>
      <c r="DX52" s="272"/>
      <c r="DY52" s="272"/>
      <c r="DZ52" s="272"/>
      <c r="EA52" s="272"/>
      <c r="EB52" s="272"/>
      <c r="EC52" s="272"/>
      <c r="ED52" s="272"/>
      <c r="EE52" s="272"/>
      <c r="EF52" s="272"/>
      <c r="EG52" s="272"/>
      <c r="EH52" s="272"/>
      <c r="EI52" s="272"/>
      <c r="EJ52" s="272"/>
      <c r="EK52" s="272"/>
      <c r="EL52" s="272"/>
      <c r="EM52" s="272"/>
      <c r="EN52" s="272">
        <v>1931085000</v>
      </c>
      <c r="EO52" s="272"/>
      <c r="EP52" s="272"/>
      <c r="EQ52" s="272"/>
      <c r="ER52" s="303">
        <f>SUM(ES52:ET52)</f>
        <v>0</v>
      </c>
      <c r="ES52" s="303">
        <f>SUM(EU52:EV52)+EW52+EZ52+FJ52+FR52</f>
        <v>0</v>
      </c>
      <c r="ET52" s="303">
        <f>EX52+SUM(FB52:FI52)+SUM(FK52:FQ52)+SUM(FS52:FU52)</f>
        <v>0</v>
      </c>
      <c r="EU52" s="272"/>
      <c r="EV52" s="272"/>
      <c r="EW52" s="272"/>
      <c r="EX52" s="272"/>
      <c r="EY52" s="272"/>
      <c r="EZ52" s="272"/>
      <c r="FA52" s="272"/>
      <c r="FB52" s="272"/>
      <c r="FC52" s="272"/>
      <c r="FD52" s="272"/>
      <c r="FE52" s="272"/>
      <c r="FF52" s="272"/>
      <c r="FG52" s="272"/>
      <c r="FH52" s="272"/>
      <c r="FI52" s="272"/>
      <c r="FJ52" s="272"/>
      <c r="FK52" s="272"/>
      <c r="FL52" s="272"/>
      <c r="FM52" s="272"/>
      <c r="FN52" s="272"/>
      <c r="FO52" s="272"/>
      <c r="FP52" s="272"/>
      <c r="FQ52" s="272"/>
      <c r="FR52" s="272"/>
      <c r="FS52" s="272"/>
      <c r="FT52" s="272"/>
      <c r="FU52" s="272"/>
      <c r="FV52" s="303">
        <f>SUM(FW52:FX52)</f>
        <v>0</v>
      </c>
      <c r="FW52" s="303">
        <f>SUM(FY52:FY52)</f>
        <v>0</v>
      </c>
      <c r="FX52" s="303">
        <f>SUM(FZ52:GA52)</f>
        <v>0</v>
      </c>
      <c r="FY52" s="272"/>
      <c r="FZ52" s="272"/>
      <c r="GA52" s="272"/>
      <c r="GB52" s="303"/>
      <c r="GC52" s="328">
        <f>CP52/C52</f>
        <v>1</v>
      </c>
      <c r="GD52" s="328"/>
      <c r="GE52" s="328">
        <f>CW52/J52</f>
        <v>1</v>
      </c>
      <c r="GF52" s="328"/>
      <c r="GG52" s="328"/>
    </row>
    <row r="53" spans="1:189" s="264" customFormat="1" ht="17.25" customHeight="1">
      <c r="A53" s="227">
        <v>14</v>
      </c>
      <c r="B53" s="228" t="s">
        <v>150</v>
      </c>
      <c r="C53" s="270">
        <f t="shared" ref="C53:AI53" si="86">C54+C55</f>
        <v>1049807866</v>
      </c>
      <c r="D53" s="270">
        <f t="shared" si="86"/>
        <v>1049807866</v>
      </c>
      <c r="E53" s="270">
        <f t="shared" si="86"/>
        <v>0</v>
      </c>
      <c r="F53" s="229">
        <f t="shared" si="86"/>
        <v>0</v>
      </c>
      <c r="G53" s="229">
        <f t="shared" si="86"/>
        <v>0</v>
      </c>
      <c r="H53" s="229">
        <f t="shared" si="86"/>
        <v>0</v>
      </c>
      <c r="I53" s="229">
        <f t="shared" si="86"/>
        <v>0</v>
      </c>
      <c r="J53" s="270">
        <f t="shared" si="86"/>
        <v>1049807866</v>
      </c>
      <c r="K53" s="229">
        <f t="shared" si="86"/>
        <v>0</v>
      </c>
      <c r="L53" s="229">
        <f t="shared" si="86"/>
        <v>0</v>
      </c>
      <c r="M53" s="229">
        <f t="shared" si="86"/>
        <v>0</v>
      </c>
      <c r="N53" s="229">
        <f t="shared" si="86"/>
        <v>0</v>
      </c>
      <c r="O53" s="229">
        <f t="shared" si="86"/>
        <v>0</v>
      </c>
      <c r="P53" s="229">
        <f t="shared" si="86"/>
        <v>0</v>
      </c>
      <c r="Q53" s="229">
        <f t="shared" si="86"/>
        <v>0</v>
      </c>
      <c r="R53" s="229">
        <f t="shared" si="86"/>
        <v>0</v>
      </c>
      <c r="S53" s="229">
        <f t="shared" si="86"/>
        <v>0</v>
      </c>
      <c r="T53" s="229">
        <f t="shared" si="86"/>
        <v>0</v>
      </c>
      <c r="U53" s="229">
        <f t="shared" si="86"/>
        <v>0</v>
      </c>
      <c r="V53" s="229">
        <f t="shared" si="86"/>
        <v>0</v>
      </c>
      <c r="W53" s="229">
        <f t="shared" si="86"/>
        <v>0</v>
      </c>
      <c r="X53" s="229">
        <f t="shared" si="86"/>
        <v>0</v>
      </c>
      <c r="Y53" s="229">
        <f t="shared" si="86"/>
        <v>0</v>
      </c>
      <c r="Z53" s="229">
        <f t="shared" si="86"/>
        <v>0</v>
      </c>
      <c r="AA53" s="229">
        <f t="shared" si="86"/>
        <v>0</v>
      </c>
      <c r="AB53" s="229">
        <f t="shared" si="86"/>
        <v>0</v>
      </c>
      <c r="AC53" s="229">
        <f t="shared" si="86"/>
        <v>0</v>
      </c>
      <c r="AD53" s="229">
        <f t="shared" si="86"/>
        <v>0</v>
      </c>
      <c r="AE53" s="229">
        <f t="shared" si="86"/>
        <v>0</v>
      </c>
      <c r="AF53" s="229">
        <f t="shared" si="86"/>
        <v>0</v>
      </c>
      <c r="AG53" s="229">
        <f t="shared" si="86"/>
        <v>0</v>
      </c>
      <c r="AH53" s="229">
        <f t="shared" si="86"/>
        <v>0</v>
      </c>
      <c r="AI53" s="229">
        <f t="shared" si="86"/>
        <v>0</v>
      </c>
      <c r="AJ53" s="229">
        <f t="shared" ref="AJ53:AO53" si="87">AJ54+AJ55</f>
        <v>0</v>
      </c>
      <c r="AK53" s="229">
        <f t="shared" si="87"/>
        <v>0</v>
      </c>
      <c r="AL53" s="229">
        <f t="shared" si="87"/>
        <v>0</v>
      </c>
      <c r="AM53" s="229">
        <f t="shared" si="87"/>
        <v>0</v>
      </c>
      <c r="AN53" s="229">
        <f t="shared" si="87"/>
        <v>0</v>
      </c>
      <c r="AO53" s="229">
        <f t="shared" si="87"/>
        <v>0</v>
      </c>
      <c r="AP53" s="229">
        <f t="shared" ref="AP53:AU53" si="88">AP54+AP55</f>
        <v>0</v>
      </c>
      <c r="AQ53" s="229">
        <f t="shared" si="88"/>
        <v>0</v>
      </c>
      <c r="AR53" s="229">
        <f t="shared" si="88"/>
        <v>0</v>
      </c>
      <c r="AS53" s="229">
        <f t="shared" si="88"/>
        <v>0</v>
      </c>
      <c r="AT53" s="229">
        <f t="shared" si="88"/>
        <v>0</v>
      </c>
      <c r="AU53" s="229">
        <f t="shared" si="88"/>
        <v>0</v>
      </c>
      <c r="AV53" s="229">
        <f>AV54+AV55</f>
        <v>0</v>
      </c>
      <c r="AW53" s="229">
        <f>AW54+AW55</f>
        <v>0</v>
      </c>
      <c r="AX53" s="229">
        <f t="shared" ref="AX53:CN53" si="89">AX54+AX55</f>
        <v>0</v>
      </c>
      <c r="AY53" s="229">
        <f t="shared" si="89"/>
        <v>0</v>
      </c>
      <c r="AZ53" s="229">
        <f t="shared" si="89"/>
        <v>0</v>
      </c>
      <c r="BA53" s="229">
        <f t="shared" si="89"/>
        <v>1049807866</v>
      </c>
      <c r="BB53" s="229">
        <f t="shared" si="89"/>
        <v>0</v>
      </c>
      <c r="BC53" s="229">
        <f t="shared" si="89"/>
        <v>0</v>
      </c>
      <c r="BD53" s="229">
        <f t="shared" si="89"/>
        <v>0</v>
      </c>
      <c r="BE53" s="270">
        <f t="shared" si="89"/>
        <v>0</v>
      </c>
      <c r="BF53" s="270">
        <f t="shared" si="89"/>
        <v>0</v>
      </c>
      <c r="BG53" s="270">
        <f t="shared" si="89"/>
        <v>0</v>
      </c>
      <c r="BH53" s="229">
        <f t="shared" si="89"/>
        <v>0</v>
      </c>
      <c r="BI53" s="229">
        <f t="shared" si="89"/>
        <v>0</v>
      </c>
      <c r="BJ53" s="229">
        <f t="shared" si="89"/>
        <v>0</v>
      </c>
      <c r="BK53" s="229">
        <f t="shared" si="89"/>
        <v>0</v>
      </c>
      <c r="BL53" s="229">
        <f>BL54+BL55</f>
        <v>0</v>
      </c>
      <c r="BM53" s="229">
        <f>BM54+BM55</f>
        <v>0</v>
      </c>
      <c r="BN53" s="229">
        <f t="shared" si="89"/>
        <v>0</v>
      </c>
      <c r="BO53" s="229">
        <f t="shared" si="89"/>
        <v>0</v>
      </c>
      <c r="BP53" s="229">
        <f t="shared" si="89"/>
        <v>0</v>
      </c>
      <c r="BQ53" s="229">
        <f t="shared" si="89"/>
        <v>0</v>
      </c>
      <c r="BR53" s="229">
        <f t="shared" si="89"/>
        <v>0</v>
      </c>
      <c r="BS53" s="229">
        <f t="shared" si="89"/>
        <v>0</v>
      </c>
      <c r="BT53" s="229">
        <f t="shared" si="89"/>
        <v>0</v>
      </c>
      <c r="BU53" s="229">
        <f t="shared" si="89"/>
        <v>0</v>
      </c>
      <c r="BV53" s="229">
        <f t="shared" si="89"/>
        <v>0</v>
      </c>
      <c r="BW53" s="229">
        <f t="shared" si="89"/>
        <v>0</v>
      </c>
      <c r="BX53" s="229">
        <f t="shared" si="89"/>
        <v>0</v>
      </c>
      <c r="BY53" s="229">
        <f t="shared" si="89"/>
        <v>0</v>
      </c>
      <c r="BZ53" s="229">
        <f t="shared" si="89"/>
        <v>0</v>
      </c>
      <c r="CA53" s="229">
        <f t="shared" si="89"/>
        <v>0</v>
      </c>
      <c r="CB53" s="229">
        <f t="shared" si="89"/>
        <v>0</v>
      </c>
      <c r="CC53" s="229">
        <f t="shared" si="89"/>
        <v>0</v>
      </c>
      <c r="CD53" s="229">
        <f t="shared" si="89"/>
        <v>0</v>
      </c>
      <c r="CE53" s="229">
        <f t="shared" si="89"/>
        <v>0</v>
      </c>
      <c r="CF53" s="229">
        <f t="shared" si="89"/>
        <v>0</v>
      </c>
      <c r="CG53" s="229">
        <f t="shared" si="89"/>
        <v>0</v>
      </c>
      <c r="CH53" s="229">
        <f t="shared" si="89"/>
        <v>0</v>
      </c>
      <c r="CI53" s="270">
        <f t="shared" si="89"/>
        <v>0</v>
      </c>
      <c r="CJ53" s="270">
        <f t="shared" si="89"/>
        <v>0</v>
      </c>
      <c r="CK53" s="270">
        <f t="shared" si="89"/>
        <v>0</v>
      </c>
      <c r="CL53" s="229">
        <f t="shared" si="89"/>
        <v>0</v>
      </c>
      <c r="CM53" s="229">
        <f t="shared" si="89"/>
        <v>0</v>
      </c>
      <c r="CN53" s="229">
        <f t="shared" si="89"/>
        <v>0</v>
      </c>
      <c r="CO53" s="271" t="s">
        <v>150</v>
      </c>
      <c r="CP53" s="303">
        <f t="shared" ref="CP53:ER53" si="90">CP54+CP55</f>
        <v>1049807866</v>
      </c>
      <c r="CQ53" s="303">
        <f t="shared" si="90"/>
        <v>1049807866</v>
      </c>
      <c r="CR53" s="303">
        <f t="shared" si="90"/>
        <v>0</v>
      </c>
      <c r="CS53" s="272">
        <f t="shared" si="90"/>
        <v>0</v>
      </c>
      <c r="CT53" s="272">
        <f t="shared" si="90"/>
        <v>0</v>
      </c>
      <c r="CU53" s="272">
        <f t="shared" si="90"/>
        <v>0</v>
      </c>
      <c r="CV53" s="272">
        <f t="shared" si="90"/>
        <v>0</v>
      </c>
      <c r="CW53" s="303">
        <f t="shared" si="90"/>
        <v>1049807866</v>
      </c>
      <c r="CX53" s="272">
        <f t="shared" si="90"/>
        <v>0</v>
      </c>
      <c r="CY53" s="272">
        <f t="shared" si="90"/>
        <v>0</v>
      </c>
      <c r="CZ53" s="272">
        <f t="shared" si="90"/>
        <v>0</v>
      </c>
      <c r="DA53" s="272">
        <f t="shared" si="90"/>
        <v>0</v>
      </c>
      <c r="DB53" s="272">
        <f t="shared" si="90"/>
        <v>0</v>
      </c>
      <c r="DC53" s="272">
        <f t="shared" si="90"/>
        <v>0</v>
      </c>
      <c r="DD53" s="272">
        <f t="shared" si="90"/>
        <v>0</v>
      </c>
      <c r="DE53" s="272">
        <f t="shared" si="90"/>
        <v>0</v>
      </c>
      <c r="DF53" s="272">
        <f t="shared" si="90"/>
        <v>0</v>
      </c>
      <c r="DG53" s="272">
        <f t="shared" si="90"/>
        <v>0</v>
      </c>
      <c r="DH53" s="272">
        <f t="shared" si="90"/>
        <v>0</v>
      </c>
      <c r="DI53" s="272">
        <f t="shared" si="90"/>
        <v>0</v>
      </c>
      <c r="DJ53" s="272">
        <f t="shared" si="90"/>
        <v>0</v>
      </c>
      <c r="DK53" s="272">
        <f t="shared" si="90"/>
        <v>0</v>
      </c>
      <c r="DL53" s="272">
        <f t="shared" si="90"/>
        <v>0</v>
      </c>
      <c r="DM53" s="272">
        <f>DM54+DM55</f>
        <v>0</v>
      </c>
      <c r="DN53" s="272">
        <f t="shared" si="90"/>
        <v>0</v>
      </c>
      <c r="DO53" s="272">
        <f t="shared" si="90"/>
        <v>0</v>
      </c>
      <c r="DP53" s="272">
        <f t="shared" si="90"/>
        <v>0</v>
      </c>
      <c r="DQ53" s="272">
        <f t="shared" si="90"/>
        <v>0</v>
      </c>
      <c r="DR53" s="272">
        <f t="shared" si="90"/>
        <v>0</v>
      </c>
      <c r="DS53" s="272">
        <f t="shared" si="90"/>
        <v>0</v>
      </c>
      <c r="DT53" s="272">
        <f t="shared" si="90"/>
        <v>0</v>
      </c>
      <c r="DU53" s="272">
        <f t="shared" si="90"/>
        <v>0</v>
      </c>
      <c r="DV53" s="272">
        <f t="shared" si="90"/>
        <v>0</v>
      </c>
      <c r="DW53" s="272">
        <f t="shared" si="90"/>
        <v>0</v>
      </c>
      <c r="DX53" s="272">
        <f t="shared" si="90"/>
        <v>0</v>
      </c>
      <c r="DY53" s="272">
        <f t="shared" si="90"/>
        <v>0</v>
      </c>
      <c r="DZ53" s="272">
        <f t="shared" si="90"/>
        <v>0</v>
      </c>
      <c r="EA53" s="272">
        <f t="shared" si="90"/>
        <v>0</v>
      </c>
      <c r="EB53" s="272">
        <f t="shared" si="90"/>
        <v>0</v>
      </c>
      <c r="EC53" s="272">
        <f t="shared" si="90"/>
        <v>0</v>
      </c>
      <c r="ED53" s="272">
        <f t="shared" si="90"/>
        <v>0</v>
      </c>
      <c r="EE53" s="272">
        <f t="shared" si="90"/>
        <v>0</v>
      </c>
      <c r="EF53" s="272">
        <f t="shared" si="90"/>
        <v>0</v>
      </c>
      <c r="EG53" s="272">
        <f t="shared" si="90"/>
        <v>0</v>
      </c>
      <c r="EH53" s="272">
        <f t="shared" si="90"/>
        <v>0</v>
      </c>
      <c r="EI53" s="272">
        <f>EI54+EI55</f>
        <v>0</v>
      </c>
      <c r="EJ53" s="272">
        <f>EJ54+EJ55</f>
        <v>0</v>
      </c>
      <c r="EK53" s="272">
        <f t="shared" si="90"/>
        <v>0</v>
      </c>
      <c r="EL53" s="272">
        <f t="shared" si="90"/>
        <v>0</v>
      </c>
      <c r="EM53" s="272">
        <f t="shared" si="90"/>
        <v>0</v>
      </c>
      <c r="EN53" s="272">
        <f t="shared" si="90"/>
        <v>1049807866</v>
      </c>
      <c r="EO53" s="272">
        <f t="shared" si="90"/>
        <v>0</v>
      </c>
      <c r="EP53" s="272">
        <f t="shared" si="90"/>
        <v>0</v>
      </c>
      <c r="EQ53" s="272">
        <f t="shared" si="90"/>
        <v>0</v>
      </c>
      <c r="ER53" s="303">
        <f t="shared" si="90"/>
        <v>0</v>
      </c>
      <c r="ES53" s="303">
        <f t="shared" ref="ES53:GB53" si="91">ES54+ES55</f>
        <v>0</v>
      </c>
      <c r="ET53" s="303">
        <f t="shared" si="91"/>
        <v>0</v>
      </c>
      <c r="EU53" s="272">
        <f t="shared" si="91"/>
        <v>0</v>
      </c>
      <c r="EV53" s="272">
        <f t="shared" si="91"/>
        <v>0</v>
      </c>
      <c r="EW53" s="272">
        <f t="shared" si="91"/>
        <v>0</v>
      </c>
      <c r="EX53" s="272">
        <f t="shared" si="91"/>
        <v>0</v>
      </c>
      <c r="EY53" s="272">
        <f>EY54+EY55</f>
        <v>0</v>
      </c>
      <c r="EZ53" s="272">
        <f>EZ54+EZ55</f>
        <v>0</v>
      </c>
      <c r="FA53" s="272">
        <f t="shared" si="91"/>
        <v>0</v>
      </c>
      <c r="FB53" s="272">
        <f t="shared" si="91"/>
        <v>0</v>
      </c>
      <c r="FC53" s="272">
        <f t="shared" si="91"/>
        <v>0</v>
      </c>
      <c r="FD53" s="272">
        <f t="shared" si="91"/>
        <v>0</v>
      </c>
      <c r="FE53" s="272">
        <f t="shared" si="91"/>
        <v>0</v>
      </c>
      <c r="FF53" s="272">
        <f t="shared" si="91"/>
        <v>0</v>
      </c>
      <c r="FG53" s="272">
        <f t="shared" si="91"/>
        <v>0</v>
      </c>
      <c r="FH53" s="272">
        <f t="shared" si="91"/>
        <v>0</v>
      </c>
      <c r="FI53" s="272">
        <f t="shared" si="91"/>
        <v>0</v>
      </c>
      <c r="FJ53" s="272">
        <f t="shared" si="91"/>
        <v>0</v>
      </c>
      <c r="FK53" s="272">
        <f t="shared" si="91"/>
        <v>0</v>
      </c>
      <c r="FL53" s="272">
        <f t="shared" si="91"/>
        <v>0</v>
      </c>
      <c r="FM53" s="272">
        <f t="shared" si="91"/>
        <v>0</v>
      </c>
      <c r="FN53" s="272">
        <f t="shared" si="91"/>
        <v>0</v>
      </c>
      <c r="FO53" s="272">
        <f t="shared" si="91"/>
        <v>0</v>
      </c>
      <c r="FP53" s="272">
        <f t="shared" si="91"/>
        <v>0</v>
      </c>
      <c r="FQ53" s="272">
        <f t="shared" si="91"/>
        <v>0</v>
      </c>
      <c r="FR53" s="272">
        <f t="shared" si="91"/>
        <v>0</v>
      </c>
      <c r="FS53" s="272">
        <f t="shared" si="91"/>
        <v>0</v>
      </c>
      <c r="FT53" s="272">
        <f t="shared" si="91"/>
        <v>0</v>
      </c>
      <c r="FU53" s="272">
        <f t="shared" si="91"/>
        <v>0</v>
      </c>
      <c r="FV53" s="303">
        <f t="shared" si="91"/>
        <v>0</v>
      </c>
      <c r="FW53" s="303">
        <f t="shared" si="91"/>
        <v>0</v>
      </c>
      <c r="FX53" s="303">
        <f t="shared" si="91"/>
        <v>0</v>
      </c>
      <c r="FY53" s="272">
        <f t="shared" si="91"/>
        <v>0</v>
      </c>
      <c r="FZ53" s="272">
        <f t="shared" si="91"/>
        <v>0</v>
      </c>
      <c r="GA53" s="272">
        <f t="shared" si="91"/>
        <v>0</v>
      </c>
      <c r="GB53" s="303">
        <f t="shared" si="91"/>
        <v>0</v>
      </c>
      <c r="GC53" s="328">
        <f>CP53/C53</f>
        <v>1</v>
      </c>
      <c r="GD53" s="328"/>
      <c r="GE53" s="328">
        <f>CW53/J53</f>
        <v>1</v>
      </c>
      <c r="GF53" s="328"/>
      <c r="GG53" s="328"/>
    </row>
    <row r="54" spans="1:189" s="264" customFormat="1" ht="17.25" customHeight="1">
      <c r="A54" s="227"/>
      <c r="B54" s="228" t="s">
        <v>183</v>
      </c>
      <c r="C54" s="270">
        <f>D54+BE54+CI54</f>
        <v>0</v>
      </c>
      <c r="D54" s="270">
        <f>E54+J54</f>
        <v>0</v>
      </c>
      <c r="E54" s="270">
        <f>SUM(F54:I54)</f>
        <v>0</v>
      </c>
      <c r="F54" s="229"/>
      <c r="G54" s="229"/>
      <c r="H54" s="229"/>
      <c r="I54" s="229"/>
      <c r="J54" s="270">
        <f>SUM(K54:BD54)</f>
        <v>0</v>
      </c>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c r="BD54" s="229"/>
      <c r="BE54" s="270">
        <f>SUM(BF54:BG54)</f>
        <v>0</v>
      </c>
      <c r="BF54" s="270">
        <f>SUM(BH54:BI54)+BJ54+SUM(BL54:BN54)+BW54+CE54</f>
        <v>0</v>
      </c>
      <c r="BG54" s="270">
        <f>BK54+SUM(BO54:BV54)+SUM(BX54:CD54)+SUM(CF54:CH54)</f>
        <v>0</v>
      </c>
      <c r="BH54" s="229"/>
      <c r="BI54" s="229"/>
      <c r="BJ54" s="229"/>
      <c r="BK54" s="229"/>
      <c r="BL54" s="229"/>
      <c r="BM54" s="229"/>
      <c r="BN54" s="229"/>
      <c r="BO54" s="229"/>
      <c r="BP54" s="229"/>
      <c r="BQ54" s="229"/>
      <c r="BR54" s="229"/>
      <c r="BS54" s="229"/>
      <c r="BT54" s="229"/>
      <c r="BU54" s="229"/>
      <c r="BV54" s="229"/>
      <c r="BW54" s="229"/>
      <c r="BX54" s="229"/>
      <c r="BY54" s="229"/>
      <c r="BZ54" s="229"/>
      <c r="CA54" s="229"/>
      <c r="CB54" s="229"/>
      <c r="CC54" s="229"/>
      <c r="CD54" s="229"/>
      <c r="CE54" s="229"/>
      <c r="CF54" s="229"/>
      <c r="CG54" s="229"/>
      <c r="CH54" s="229"/>
      <c r="CI54" s="270">
        <f>SUM(CJ54:CK54)</f>
        <v>0</v>
      </c>
      <c r="CJ54" s="270">
        <f>SUM(CL54:CL54)</f>
        <v>0</v>
      </c>
      <c r="CK54" s="270">
        <f>SUM(CM54:CN54)</f>
        <v>0</v>
      </c>
      <c r="CL54" s="229"/>
      <c r="CM54" s="229"/>
      <c r="CN54" s="229"/>
      <c r="CO54" s="271" t="s">
        <v>183</v>
      </c>
      <c r="CP54" s="303">
        <f>CQ54+ER54+FV54+GB54</f>
        <v>0</v>
      </c>
      <c r="CQ54" s="303">
        <f>CR54+CW54</f>
        <v>0</v>
      </c>
      <c r="CR54" s="303">
        <f>SUM(CS54:CV54)</f>
        <v>0</v>
      </c>
      <c r="CS54" s="272"/>
      <c r="CT54" s="272"/>
      <c r="CU54" s="272"/>
      <c r="CV54" s="272"/>
      <c r="CW54" s="303">
        <f>SUM(CX54:EQ54)</f>
        <v>0</v>
      </c>
      <c r="CX54" s="272"/>
      <c r="CY54" s="272"/>
      <c r="CZ54" s="272"/>
      <c r="DA54" s="272"/>
      <c r="DB54" s="272"/>
      <c r="DC54" s="272"/>
      <c r="DD54" s="272"/>
      <c r="DE54" s="272"/>
      <c r="DF54" s="272"/>
      <c r="DG54" s="272"/>
      <c r="DH54" s="272"/>
      <c r="DI54" s="272"/>
      <c r="DJ54" s="272"/>
      <c r="DK54" s="272"/>
      <c r="DL54" s="272"/>
      <c r="DM54" s="272"/>
      <c r="DN54" s="272"/>
      <c r="DO54" s="272"/>
      <c r="DP54" s="272"/>
      <c r="DQ54" s="272"/>
      <c r="DR54" s="272"/>
      <c r="DS54" s="272"/>
      <c r="DT54" s="272"/>
      <c r="DU54" s="272"/>
      <c r="DV54" s="272"/>
      <c r="DW54" s="272"/>
      <c r="DX54" s="272"/>
      <c r="DY54" s="272"/>
      <c r="DZ54" s="272"/>
      <c r="EA54" s="272"/>
      <c r="EB54" s="272"/>
      <c r="EC54" s="272"/>
      <c r="ED54" s="272"/>
      <c r="EE54" s="272"/>
      <c r="EF54" s="272"/>
      <c r="EG54" s="272"/>
      <c r="EH54" s="272"/>
      <c r="EI54" s="272"/>
      <c r="EJ54" s="272"/>
      <c r="EK54" s="272"/>
      <c r="EL54" s="272"/>
      <c r="EM54" s="272"/>
      <c r="EN54" s="272"/>
      <c r="EO54" s="272"/>
      <c r="EP54" s="272"/>
      <c r="EQ54" s="272"/>
      <c r="ER54" s="303">
        <f>SUM(ES54:ET54)</f>
        <v>0</v>
      </c>
      <c r="ES54" s="303">
        <f>SUM(EU54:EV54)+EW54+SUM(EY54:FA54)+FJ54+FR54</f>
        <v>0</v>
      </c>
      <c r="ET54" s="303">
        <f>EX54+SUM(FB54:FI54)+SUM(FK54:FQ54)+SUM(FS54:FU54)</f>
        <v>0</v>
      </c>
      <c r="EU54" s="272"/>
      <c r="EV54" s="272"/>
      <c r="EW54" s="272"/>
      <c r="EX54" s="272"/>
      <c r="EY54" s="272"/>
      <c r="EZ54" s="272"/>
      <c r="FA54" s="272"/>
      <c r="FB54" s="272"/>
      <c r="FC54" s="272"/>
      <c r="FD54" s="272"/>
      <c r="FE54" s="272"/>
      <c r="FF54" s="272"/>
      <c r="FG54" s="272"/>
      <c r="FH54" s="272"/>
      <c r="FI54" s="272"/>
      <c r="FJ54" s="272"/>
      <c r="FK54" s="272"/>
      <c r="FL54" s="272"/>
      <c r="FM54" s="272"/>
      <c r="FN54" s="272"/>
      <c r="FO54" s="272"/>
      <c r="FP54" s="272"/>
      <c r="FQ54" s="272"/>
      <c r="FR54" s="272"/>
      <c r="FS54" s="272"/>
      <c r="FT54" s="272"/>
      <c r="FU54" s="272"/>
      <c r="FV54" s="303">
        <f>SUM(FW54:FX54)</f>
        <v>0</v>
      </c>
      <c r="FW54" s="303">
        <f>SUM(FY54:FY54)</f>
        <v>0</v>
      </c>
      <c r="FX54" s="303">
        <f>SUM(FZ54:GA54)</f>
        <v>0</v>
      </c>
      <c r="FY54" s="272"/>
      <c r="FZ54" s="272"/>
      <c r="GA54" s="272"/>
      <c r="GB54" s="303"/>
      <c r="GC54" s="328"/>
      <c r="GD54" s="328"/>
      <c r="GE54" s="328"/>
      <c r="GF54" s="328"/>
      <c r="GG54" s="328"/>
    </row>
    <row r="55" spans="1:189" s="264" customFormat="1" ht="17.25" customHeight="1">
      <c r="A55" s="227"/>
      <c r="B55" s="228" t="s">
        <v>184</v>
      </c>
      <c r="C55" s="270">
        <f>D55+BE55+CI55</f>
        <v>1049807866</v>
      </c>
      <c r="D55" s="270">
        <f>E55+J55</f>
        <v>1049807866</v>
      </c>
      <c r="E55" s="270">
        <f>SUM(F55:I55)</f>
        <v>0</v>
      </c>
      <c r="F55" s="229"/>
      <c r="G55" s="229"/>
      <c r="H55" s="229"/>
      <c r="I55" s="229"/>
      <c r="J55" s="270">
        <f>SUM(K55:BD55)</f>
        <v>1049807866</v>
      </c>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v>1049807866</v>
      </c>
      <c r="BB55" s="229"/>
      <c r="BC55" s="229"/>
      <c r="BD55" s="229"/>
      <c r="BE55" s="270">
        <f>SUM(BF55:BG55)</f>
        <v>0</v>
      </c>
      <c r="BF55" s="270">
        <f>SUM(BH55:BI55)+BJ55+SUM(BL55:BN55)+BW55+CE55</f>
        <v>0</v>
      </c>
      <c r="BG55" s="270">
        <f>BK55+SUM(BO55:BV55)+SUM(BX55:CD55)+SUM(CF55:CH55)</f>
        <v>0</v>
      </c>
      <c r="BH55" s="229"/>
      <c r="BI55" s="229"/>
      <c r="BJ55" s="229"/>
      <c r="BK55" s="229"/>
      <c r="BL55" s="229"/>
      <c r="BM55" s="229"/>
      <c r="BN55" s="229"/>
      <c r="BO55" s="229"/>
      <c r="BP55" s="229"/>
      <c r="BQ55" s="229"/>
      <c r="BR55" s="229"/>
      <c r="BS55" s="229"/>
      <c r="BT55" s="229"/>
      <c r="BU55" s="229"/>
      <c r="BV55" s="229"/>
      <c r="BW55" s="229"/>
      <c r="BX55" s="229"/>
      <c r="BY55" s="229"/>
      <c r="BZ55" s="229"/>
      <c r="CA55" s="229"/>
      <c r="CB55" s="229"/>
      <c r="CC55" s="229"/>
      <c r="CD55" s="229"/>
      <c r="CE55" s="229"/>
      <c r="CF55" s="229"/>
      <c r="CG55" s="229"/>
      <c r="CH55" s="229"/>
      <c r="CI55" s="270">
        <f>SUM(CJ55:CK55)</f>
        <v>0</v>
      </c>
      <c r="CJ55" s="270">
        <f>SUM(CL55:CL55)</f>
        <v>0</v>
      </c>
      <c r="CK55" s="270">
        <f>SUM(CM55:CN55)</f>
        <v>0</v>
      </c>
      <c r="CL55" s="229"/>
      <c r="CM55" s="229"/>
      <c r="CN55" s="229"/>
      <c r="CO55" s="271" t="s">
        <v>184</v>
      </c>
      <c r="CP55" s="303">
        <f>CQ55+ER55+FV55+GB55</f>
        <v>1049807866</v>
      </c>
      <c r="CQ55" s="303">
        <f>CR55+CW55</f>
        <v>1049807866</v>
      </c>
      <c r="CR55" s="303">
        <f>SUM(CS55:CV55)</f>
        <v>0</v>
      </c>
      <c r="CS55" s="272"/>
      <c r="CT55" s="272"/>
      <c r="CU55" s="272"/>
      <c r="CV55" s="272"/>
      <c r="CW55" s="303">
        <f>SUM(CX55:EQ55)</f>
        <v>1049807866</v>
      </c>
      <c r="CX55" s="272"/>
      <c r="CY55" s="272"/>
      <c r="CZ55" s="272"/>
      <c r="DA55" s="272"/>
      <c r="DB55" s="272"/>
      <c r="DC55" s="272"/>
      <c r="DD55" s="272"/>
      <c r="DE55" s="272"/>
      <c r="DF55" s="272"/>
      <c r="DG55" s="272"/>
      <c r="DH55" s="272"/>
      <c r="DI55" s="272"/>
      <c r="DJ55" s="272"/>
      <c r="DK55" s="272"/>
      <c r="DL55" s="272"/>
      <c r="DM55" s="272"/>
      <c r="DN55" s="272"/>
      <c r="DO55" s="272"/>
      <c r="DP55" s="272"/>
      <c r="DQ55" s="272"/>
      <c r="DR55" s="272"/>
      <c r="DS55" s="272"/>
      <c r="DT55" s="272"/>
      <c r="DU55" s="272"/>
      <c r="DV55" s="272"/>
      <c r="DW55" s="272"/>
      <c r="DX55" s="272"/>
      <c r="DY55" s="272"/>
      <c r="DZ55" s="272"/>
      <c r="EA55" s="272"/>
      <c r="EB55" s="272"/>
      <c r="EC55" s="272"/>
      <c r="ED55" s="272"/>
      <c r="EE55" s="272"/>
      <c r="EF55" s="272"/>
      <c r="EG55" s="272"/>
      <c r="EH55" s="272"/>
      <c r="EI55" s="272"/>
      <c r="EJ55" s="272"/>
      <c r="EK55" s="272"/>
      <c r="EL55" s="272"/>
      <c r="EM55" s="272"/>
      <c r="EN55" s="272">
        <v>1049807866</v>
      </c>
      <c r="EO55" s="272"/>
      <c r="EP55" s="272"/>
      <c r="EQ55" s="272"/>
      <c r="ER55" s="303">
        <f>SUM(ES55:ET55)</f>
        <v>0</v>
      </c>
      <c r="ES55" s="303">
        <f>SUM(EU55:EV55)+EW55+SUM(EY55:FA55)+FJ55+FR55</f>
        <v>0</v>
      </c>
      <c r="ET55" s="303">
        <f>EX55+SUM(FB55:FI55)+SUM(FK55:FQ55)+SUM(FS55:FU55)</f>
        <v>0</v>
      </c>
      <c r="EU55" s="272"/>
      <c r="EV55" s="272"/>
      <c r="EW55" s="272"/>
      <c r="EX55" s="272"/>
      <c r="EY55" s="272"/>
      <c r="EZ55" s="272"/>
      <c r="FA55" s="272"/>
      <c r="FB55" s="272"/>
      <c r="FC55" s="272"/>
      <c r="FD55" s="272"/>
      <c r="FE55" s="272"/>
      <c r="FF55" s="272"/>
      <c r="FG55" s="272"/>
      <c r="FH55" s="272"/>
      <c r="FI55" s="272"/>
      <c r="FJ55" s="272"/>
      <c r="FK55" s="272"/>
      <c r="FL55" s="272"/>
      <c r="FM55" s="272"/>
      <c r="FN55" s="272"/>
      <c r="FO55" s="272"/>
      <c r="FP55" s="272"/>
      <c r="FQ55" s="272"/>
      <c r="FR55" s="272"/>
      <c r="FS55" s="272"/>
      <c r="FT55" s="272"/>
      <c r="FU55" s="272"/>
      <c r="FV55" s="303">
        <f>SUM(FW55:FX55)</f>
        <v>0</v>
      </c>
      <c r="FW55" s="303">
        <f>SUM(FY55:FY55)</f>
        <v>0</v>
      </c>
      <c r="FX55" s="303">
        <f>SUM(FZ55:GA55)</f>
        <v>0</v>
      </c>
      <c r="FY55" s="272"/>
      <c r="FZ55" s="272"/>
      <c r="GA55" s="272"/>
      <c r="GB55" s="303"/>
      <c r="GC55" s="328">
        <f>CP55/C55</f>
        <v>1</v>
      </c>
      <c r="GD55" s="328"/>
      <c r="GE55" s="328">
        <f>CW55/J55</f>
        <v>1</v>
      </c>
      <c r="GF55" s="328"/>
      <c r="GG55" s="328"/>
    </row>
    <row r="56" spans="1:189" s="264" customFormat="1" ht="17.25" customHeight="1">
      <c r="A56" s="227">
        <v>15</v>
      </c>
      <c r="B56" s="228" t="s">
        <v>548</v>
      </c>
      <c r="C56" s="270">
        <f t="shared" ref="C56:AI56" si="92">C57+C58</f>
        <v>5924106748</v>
      </c>
      <c r="D56" s="270">
        <f t="shared" si="92"/>
        <v>5924106748</v>
      </c>
      <c r="E56" s="270">
        <f t="shared" si="92"/>
        <v>0</v>
      </c>
      <c r="F56" s="229">
        <f t="shared" si="92"/>
        <v>0</v>
      </c>
      <c r="G56" s="229">
        <f t="shared" si="92"/>
        <v>0</v>
      </c>
      <c r="H56" s="229">
        <f t="shared" si="92"/>
        <v>0</v>
      </c>
      <c r="I56" s="229">
        <f t="shared" si="92"/>
        <v>0</v>
      </c>
      <c r="J56" s="270">
        <f t="shared" si="92"/>
        <v>5924106748</v>
      </c>
      <c r="K56" s="229">
        <f t="shared" si="92"/>
        <v>0</v>
      </c>
      <c r="L56" s="229">
        <f t="shared" si="92"/>
        <v>0</v>
      </c>
      <c r="M56" s="229">
        <f t="shared" si="92"/>
        <v>0</v>
      </c>
      <c r="N56" s="229">
        <f t="shared" si="92"/>
        <v>0</v>
      </c>
      <c r="O56" s="229">
        <f t="shared" si="92"/>
        <v>0</v>
      </c>
      <c r="P56" s="229">
        <f t="shared" si="92"/>
        <v>0</v>
      </c>
      <c r="Q56" s="229">
        <f t="shared" si="92"/>
        <v>0</v>
      </c>
      <c r="R56" s="229">
        <f t="shared" si="92"/>
        <v>0</v>
      </c>
      <c r="S56" s="229">
        <f t="shared" si="92"/>
        <v>0</v>
      </c>
      <c r="T56" s="229">
        <f t="shared" si="92"/>
        <v>0</v>
      </c>
      <c r="U56" s="229">
        <f t="shared" si="92"/>
        <v>0</v>
      </c>
      <c r="V56" s="229">
        <f t="shared" si="92"/>
        <v>0</v>
      </c>
      <c r="W56" s="229">
        <f t="shared" si="92"/>
        <v>0</v>
      </c>
      <c r="X56" s="229">
        <f t="shared" si="92"/>
        <v>0</v>
      </c>
      <c r="Y56" s="229">
        <f t="shared" si="92"/>
        <v>0</v>
      </c>
      <c r="Z56" s="229">
        <f t="shared" si="92"/>
        <v>13720000</v>
      </c>
      <c r="AA56" s="229">
        <f t="shared" si="92"/>
        <v>0</v>
      </c>
      <c r="AB56" s="229">
        <f t="shared" si="92"/>
        <v>0</v>
      </c>
      <c r="AC56" s="229">
        <f t="shared" si="92"/>
        <v>1635330420</v>
      </c>
      <c r="AD56" s="229">
        <f t="shared" si="92"/>
        <v>3658549728</v>
      </c>
      <c r="AE56" s="229">
        <f t="shared" si="92"/>
        <v>616506600</v>
      </c>
      <c r="AF56" s="229">
        <f t="shared" si="92"/>
        <v>0</v>
      </c>
      <c r="AG56" s="229">
        <f t="shared" si="92"/>
        <v>0</v>
      </c>
      <c r="AH56" s="229">
        <f t="shared" si="92"/>
        <v>0</v>
      </c>
      <c r="AI56" s="229">
        <f t="shared" si="92"/>
        <v>0</v>
      </c>
      <c r="AJ56" s="229">
        <f t="shared" ref="AJ56:AO56" si="93">AJ57+AJ58</f>
        <v>0</v>
      </c>
      <c r="AK56" s="229">
        <f t="shared" si="93"/>
        <v>0</v>
      </c>
      <c r="AL56" s="229">
        <f t="shared" si="93"/>
        <v>0</v>
      </c>
      <c r="AM56" s="229">
        <f t="shared" si="93"/>
        <v>0</v>
      </c>
      <c r="AN56" s="229">
        <f t="shared" si="93"/>
        <v>0</v>
      </c>
      <c r="AO56" s="229">
        <f t="shared" si="93"/>
        <v>0</v>
      </c>
      <c r="AP56" s="229">
        <f t="shared" ref="AP56:AU56" si="94">AP57+AP58</f>
        <v>0</v>
      </c>
      <c r="AQ56" s="229">
        <f t="shared" si="94"/>
        <v>0</v>
      </c>
      <c r="AR56" s="229">
        <f t="shared" si="94"/>
        <v>0</v>
      </c>
      <c r="AS56" s="229">
        <f t="shared" si="94"/>
        <v>0</v>
      </c>
      <c r="AT56" s="229">
        <f t="shared" si="94"/>
        <v>0</v>
      </c>
      <c r="AU56" s="229">
        <f t="shared" si="94"/>
        <v>0</v>
      </c>
      <c r="AV56" s="229">
        <f>AV57+AV58</f>
        <v>0</v>
      </c>
      <c r="AW56" s="229">
        <f>AW57+AW58</f>
        <v>0</v>
      </c>
      <c r="AX56" s="229">
        <f t="shared" ref="AX56:CN56" si="95">AX57+AX58</f>
        <v>0</v>
      </c>
      <c r="AY56" s="229">
        <f t="shared" si="95"/>
        <v>0</v>
      </c>
      <c r="AZ56" s="229">
        <f t="shared" si="95"/>
        <v>0</v>
      </c>
      <c r="BA56" s="229">
        <f t="shared" si="95"/>
        <v>0</v>
      </c>
      <c r="BB56" s="229">
        <f t="shared" si="95"/>
        <v>0</v>
      </c>
      <c r="BC56" s="229">
        <f t="shared" si="95"/>
        <v>0</v>
      </c>
      <c r="BD56" s="229">
        <f t="shared" si="95"/>
        <v>0</v>
      </c>
      <c r="BE56" s="270">
        <f t="shared" si="95"/>
        <v>0</v>
      </c>
      <c r="BF56" s="270">
        <f t="shared" si="95"/>
        <v>0</v>
      </c>
      <c r="BG56" s="270">
        <f t="shared" si="95"/>
        <v>0</v>
      </c>
      <c r="BH56" s="229">
        <f t="shared" si="95"/>
        <v>0</v>
      </c>
      <c r="BI56" s="229">
        <f t="shared" si="95"/>
        <v>0</v>
      </c>
      <c r="BJ56" s="229">
        <f t="shared" si="95"/>
        <v>0</v>
      </c>
      <c r="BK56" s="229">
        <f t="shared" si="95"/>
        <v>0</v>
      </c>
      <c r="BL56" s="229">
        <f>BL57+BL58</f>
        <v>0</v>
      </c>
      <c r="BM56" s="229">
        <f>BM57+BM58</f>
        <v>0</v>
      </c>
      <c r="BN56" s="229">
        <f t="shared" si="95"/>
        <v>0</v>
      </c>
      <c r="BO56" s="229">
        <f t="shared" si="95"/>
        <v>0</v>
      </c>
      <c r="BP56" s="229">
        <f t="shared" si="95"/>
        <v>0</v>
      </c>
      <c r="BQ56" s="229">
        <f t="shared" si="95"/>
        <v>0</v>
      </c>
      <c r="BR56" s="229">
        <f t="shared" si="95"/>
        <v>0</v>
      </c>
      <c r="BS56" s="229">
        <f t="shared" si="95"/>
        <v>0</v>
      </c>
      <c r="BT56" s="229">
        <f t="shared" si="95"/>
        <v>0</v>
      </c>
      <c r="BU56" s="229">
        <f t="shared" si="95"/>
        <v>0</v>
      </c>
      <c r="BV56" s="229">
        <f t="shared" si="95"/>
        <v>0</v>
      </c>
      <c r="BW56" s="229">
        <f t="shared" si="95"/>
        <v>0</v>
      </c>
      <c r="BX56" s="229">
        <f t="shared" si="95"/>
        <v>0</v>
      </c>
      <c r="BY56" s="229">
        <f t="shared" si="95"/>
        <v>0</v>
      </c>
      <c r="BZ56" s="229">
        <f t="shared" si="95"/>
        <v>0</v>
      </c>
      <c r="CA56" s="229">
        <f t="shared" si="95"/>
        <v>0</v>
      </c>
      <c r="CB56" s="229">
        <f t="shared" si="95"/>
        <v>0</v>
      </c>
      <c r="CC56" s="229">
        <f t="shared" si="95"/>
        <v>0</v>
      </c>
      <c r="CD56" s="229">
        <f t="shared" si="95"/>
        <v>0</v>
      </c>
      <c r="CE56" s="229">
        <f t="shared" si="95"/>
        <v>0</v>
      </c>
      <c r="CF56" s="229">
        <f t="shared" si="95"/>
        <v>0</v>
      </c>
      <c r="CG56" s="229">
        <f t="shared" si="95"/>
        <v>0</v>
      </c>
      <c r="CH56" s="229">
        <f t="shared" si="95"/>
        <v>0</v>
      </c>
      <c r="CI56" s="270">
        <f t="shared" si="95"/>
        <v>0</v>
      </c>
      <c r="CJ56" s="270">
        <f t="shared" si="95"/>
        <v>0</v>
      </c>
      <c r="CK56" s="270">
        <f t="shared" si="95"/>
        <v>0</v>
      </c>
      <c r="CL56" s="229">
        <f t="shared" si="95"/>
        <v>0</v>
      </c>
      <c r="CM56" s="229">
        <f t="shared" si="95"/>
        <v>0</v>
      </c>
      <c r="CN56" s="229">
        <f t="shared" si="95"/>
        <v>0</v>
      </c>
      <c r="CO56" s="271" t="s">
        <v>393</v>
      </c>
      <c r="CP56" s="303">
        <f t="shared" ref="CP56:ER56" si="96">CP57+CP58</f>
        <v>5924106748</v>
      </c>
      <c r="CQ56" s="303">
        <f t="shared" si="96"/>
        <v>5924106748</v>
      </c>
      <c r="CR56" s="303">
        <f t="shared" si="96"/>
        <v>0</v>
      </c>
      <c r="CS56" s="272">
        <f t="shared" si="96"/>
        <v>0</v>
      </c>
      <c r="CT56" s="272">
        <f t="shared" si="96"/>
        <v>0</v>
      </c>
      <c r="CU56" s="272">
        <f t="shared" si="96"/>
        <v>0</v>
      </c>
      <c r="CV56" s="272">
        <f t="shared" si="96"/>
        <v>0</v>
      </c>
      <c r="CW56" s="303">
        <f t="shared" si="96"/>
        <v>5924106748</v>
      </c>
      <c r="CX56" s="272">
        <f t="shared" si="96"/>
        <v>0</v>
      </c>
      <c r="CY56" s="272">
        <f t="shared" si="96"/>
        <v>0</v>
      </c>
      <c r="CZ56" s="272">
        <f t="shared" si="96"/>
        <v>0</v>
      </c>
      <c r="DA56" s="272">
        <f t="shared" si="96"/>
        <v>0</v>
      </c>
      <c r="DB56" s="272">
        <f t="shared" si="96"/>
        <v>0</v>
      </c>
      <c r="DC56" s="272">
        <f t="shared" si="96"/>
        <v>0</v>
      </c>
      <c r="DD56" s="272">
        <f t="shared" si="96"/>
        <v>0</v>
      </c>
      <c r="DE56" s="272">
        <f t="shared" si="96"/>
        <v>0</v>
      </c>
      <c r="DF56" s="272">
        <f t="shared" si="96"/>
        <v>0</v>
      </c>
      <c r="DG56" s="272">
        <f t="shared" si="96"/>
        <v>0</v>
      </c>
      <c r="DH56" s="272">
        <f t="shared" si="96"/>
        <v>0</v>
      </c>
      <c r="DI56" s="272">
        <f t="shared" si="96"/>
        <v>0</v>
      </c>
      <c r="DJ56" s="272">
        <f t="shared" si="96"/>
        <v>0</v>
      </c>
      <c r="DK56" s="272">
        <f t="shared" si="96"/>
        <v>0</v>
      </c>
      <c r="DL56" s="272">
        <f t="shared" si="96"/>
        <v>0</v>
      </c>
      <c r="DM56" s="272">
        <f>DM57+DM58</f>
        <v>13720000</v>
      </c>
      <c r="DN56" s="272">
        <f t="shared" si="96"/>
        <v>0</v>
      </c>
      <c r="DO56" s="272">
        <f t="shared" si="96"/>
        <v>0</v>
      </c>
      <c r="DP56" s="272">
        <f t="shared" si="96"/>
        <v>1635330420</v>
      </c>
      <c r="DQ56" s="272">
        <f t="shared" si="96"/>
        <v>3658549728</v>
      </c>
      <c r="DR56" s="272">
        <f t="shared" si="96"/>
        <v>616506600</v>
      </c>
      <c r="DS56" s="272">
        <f t="shared" si="96"/>
        <v>0</v>
      </c>
      <c r="DT56" s="272">
        <f t="shared" si="96"/>
        <v>0</v>
      </c>
      <c r="DU56" s="272">
        <f t="shared" si="96"/>
        <v>0</v>
      </c>
      <c r="DV56" s="272">
        <f t="shared" si="96"/>
        <v>0</v>
      </c>
      <c r="DW56" s="272">
        <f t="shared" si="96"/>
        <v>0</v>
      </c>
      <c r="DX56" s="272">
        <f t="shared" si="96"/>
        <v>0</v>
      </c>
      <c r="DY56" s="272">
        <f t="shared" si="96"/>
        <v>0</v>
      </c>
      <c r="DZ56" s="272">
        <f t="shared" si="96"/>
        <v>0</v>
      </c>
      <c r="EA56" s="272">
        <f t="shared" si="96"/>
        <v>0</v>
      </c>
      <c r="EB56" s="272">
        <f t="shared" si="96"/>
        <v>0</v>
      </c>
      <c r="EC56" s="272">
        <f t="shared" si="96"/>
        <v>0</v>
      </c>
      <c r="ED56" s="272">
        <f t="shared" si="96"/>
        <v>0</v>
      </c>
      <c r="EE56" s="272">
        <f t="shared" si="96"/>
        <v>0</v>
      </c>
      <c r="EF56" s="272">
        <f t="shared" si="96"/>
        <v>0</v>
      </c>
      <c r="EG56" s="272">
        <f t="shared" si="96"/>
        <v>0</v>
      </c>
      <c r="EH56" s="272">
        <f t="shared" si="96"/>
        <v>0</v>
      </c>
      <c r="EI56" s="272">
        <f>EI57+EI58</f>
        <v>0</v>
      </c>
      <c r="EJ56" s="272">
        <f>EJ57+EJ58</f>
        <v>0</v>
      </c>
      <c r="EK56" s="272">
        <f t="shared" si="96"/>
        <v>0</v>
      </c>
      <c r="EL56" s="272">
        <f t="shared" si="96"/>
        <v>0</v>
      </c>
      <c r="EM56" s="272">
        <f t="shared" si="96"/>
        <v>0</v>
      </c>
      <c r="EN56" s="272">
        <f t="shared" si="96"/>
        <v>0</v>
      </c>
      <c r="EO56" s="272">
        <f t="shared" si="96"/>
        <v>0</v>
      </c>
      <c r="EP56" s="272">
        <f t="shared" si="96"/>
        <v>0</v>
      </c>
      <c r="EQ56" s="272">
        <f t="shared" si="96"/>
        <v>0</v>
      </c>
      <c r="ER56" s="303">
        <f t="shared" si="96"/>
        <v>0</v>
      </c>
      <c r="ES56" s="303">
        <f t="shared" ref="ES56:GB56" si="97">ES57+ES58</f>
        <v>0</v>
      </c>
      <c r="ET56" s="303">
        <f t="shared" si="97"/>
        <v>0</v>
      </c>
      <c r="EU56" s="272">
        <f t="shared" si="97"/>
        <v>0</v>
      </c>
      <c r="EV56" s="272">
        <f t="shared" si="97"/>
        <v>0</v>
      </c>
      <c r="EW56" s="272">
        <f t="shared" si="97"/>
        <v>0</v>
      </c>
      <c r="EX56" s="272">
        <f t="shared" si="97"/>
        <v>0</v>
      </c>
      <c r="EY56" s="272">
        <f>EY57+EY58</f>
        <v>0</v>
      </c>
      <c r="EZ56" s="272">
        <f>EZ57+EZ58</f>
        <v>0</v>
      </c>
      <c r="FA56" s="272">
        <f t="shared" si="97"/>
        <v>0</v>
      </c>
      <c r="FB56" s="272">
        <f t="shared" si="97"/>
        <v>0</v>
      </c>
      <c r="FC56" s="272">
        <f t="shared" si="97"/>
        <v>0</v>
      </c>
      <c r="FD56" s="272">
        <f t="shared" si="97"/>
        <v>0</v>
      </c>
      <c r="FE56" s="272">
        <f t="shared" si="97"/>
        <v>0</v>
      </c>
      <c r="FF56" s="272">
        <f t="shared" si="97"/>
        <v>0</v>
      </c>
      <c r="FG56" s="272">
        <f t="shared" si="97"/>
        <v>0</v>
      </c>
      <c r="FH56" s="272">
        <f t="shared" si="97"/>
        <v>0</v>
      </c>
      <c r="FI56" s="272">
        <f t="shared" si="97"/>
        <v>0</v>
      </c>
      <c r="FJ56" s="272">
        <f t="shared" si="97"/>
        <v>0</v>
      </c>
      <c r="FK56" s="272">
        <f t="shared" si="97"/>
        <v>0</v>
      </c>
      <c r="FL56" s="272">
        <f t="shared" si="97"/>
        <v>0</v>
      </c>
      <c r="FM56" s="272">
        <f t="shared" si="97"/>
        <v>0</v>
      </c>
      <c r="FN56" s="272">
        <f t="shared" si="97"/>
        <v>0</v>
      </c>
      <c r="FO56" s="272">
        <f t="shared" si="97"/>
        <v>0</v>
      </c>
      <c r="FP56" s="272">
        <f t="shared" si="97"/>
        <v>0</v>
      </c>
      <c r="FQ56" s="272">
        <f t="shared" si="97"/>
        <v>0</v>
      </c>
      <c r="FR56" s="272">
        <f t="shared" si="97"/>
        <v>0</v>
      </c>
      <c r="FS56" s="272">
        <f t="shared" si="97"/>
        <v>0</v>
      </c>
      <c r="FT56" s="272">
        <f t="shared" si="97"/>
        <v>0</v>
      </c>
      <c r="FU56" s="272">
        <f t="shared" si="97"/>
        <v>0</v>
      </c>
      <c r="FV56" s="303">
        <f t="shared" si="97"/>
        <v>0</v>
      </c>
      <c r="FW56" s="303">
        <f t="shared" si="97"/>
        <v>0</v>
      </c>
      <c r="FX56" s="303">
        <f t="shared" si="97"/>
        <v>0</v>
      </c>
      <c r="FY56" s="272">
        <f t="shared" si="97"/>
        <v>0</v>
      </c>
      <c r="FZ56" s="272">
        <f t="shared" si="97"/>
        <v>0</v>
      </c>
      <c r="GA56" s="272">
        <f t="shared" si="97"/>
        <v>0</v>
      </c>
      <c r="GB56" s="303">
        <f t="shared" si="97"/>
        <v>0</v>
      </c>
      <c r="GC56" s="328">
        <f>CP56/C56</f>
        <v>1</v>
      </c>
      <c r="GD56" s="328"/>
      <c r="GE56" s="328">
        <f>CW56/J56</f>
        <v>1</v>
      </c>
      <c r="GF56" s="328"/>
      <c r="GG56" s="328"/>
    </row>
    <row r="57" spans="1:189" s="264" customFormat="1" ht="17.25" customHeight="1">
      <c r="A57" s="227"/>
      <c r="B57" s="228" t="s">
        <v>183</v>
      </c>
      <c r="C57" s="270">
        <f>D57+BE57+CI57</f>
        <v>0</v>
      </c>
      <c r="D57" s="270">
        <f>E57+J57</f>
        <v>0</v>
      </c>
      <c r="E57" s="270">
        <f>SUM(F57:I57)</f>
        <v>0</v>
      </c>
      <c r="F57" s="229"/>
      <c r="G57" s="229"/>
      <c r="H57" s="229"/>
      <c r="I57" s="229"/>
      <c r="J57" s="270">
        <f>SUM(K57:BD57)</f>
        <v>0</v>
      </c>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c r="AY57" s="229"/>
      <c r="AZ57" s="229"/>
      <c r="BA57" s="229"/>
      <c r="BB57" s="229"/>
      <c r="BC57" s="229"/>
      <c r="BD57" s="229"/>
      <c r="BE57" s="270">
        <f>SUM(BF57:BG57)</f>
        <v>0</v>
      </c>
      <c r="BF57" s="270">
        <f>SUM(BH57:BI57)+BJ57+BM57+BW57+CE57</f>
        <v>0</v>
      </c>
      <c r="BG57" s="270">
        <f>BK57+SUM(BO57:BV57)+SUM(BX57:CD57)+SUM(CF57:CH57)</f>
        <v>0</v>
      </c>
      <c r="BH57" s="229"/>
      <c r="BI57" s="229"/>
      <c r="BJ57" s="229"/>
      <c r="BK57" s="229"/>
      <c r="BL57" s="229"/>
      <c r="BM57" s="229"/>
      <c r="BN57" s="229"/>
      <c r="BO57" s="229"/>
      <c r="BP57" s="229"/>
      <c r="BQ57" s="229"/>
      <c r="BR57" s="229"/>
      <c r="BS57" s="229"/>
      <c r="BT57" s="229"/>
      <c r="BU57" s="229"/>
      <c r="BV57" s="229"/>
      <c r="BW57" s="229"/>
      <c r="BX57" s="229"/>
      <c r="BY57" s="229"/>
      <c r="BZ57" s="229"/>
      <c r="CA57" s="229"/>
      <c r="CB57" s="229"/>
      <c r="CC57" s="229"/>
      <c r="CD57" s="229"/>
      <c r="CE57" s="229"/>
      <c r="CF57" s="229"/>
      <c r="CG57" s="229"/>
      <c r="CH57" s="229"/>
      <c r="CI57" s="270">
        <f>SUM(CJ57:CK57)</f>
        <v>0</v>
      </c>
      <c r="CJ57" s="270">
        <f>SUM(CL57:CL57)</f>
        <v>0</v>
      </c>
      <c r="CK57" s="270">
        <f>SUM(CM57:CN57)</f>
        <v>0</v>
      </c>
      <c r="CL57" s="229"/>
      <c r="CM57" s="229"/>
      <c r="CN57" s="229"/>
      <c r="CO57" s="271" t="s">
        <v>183</v>
      </c>
      <c r="CP57" s="303">
        <f>CQ57+ER57+FV57+GB57</f>
        <v>0</v>
      </c>
      <c r="CQ57" s="303">
        <f>CR57+CW57</f>
        <v>0</v>
      </c>
      <c r="CR57" s="303">
        <f>SUM(CS57:CV57)</f>
        <v>0</v>
      </c>
      <c r="CS57" s="272"/>
      <c r="CT57" s="272"/>
      <c r="CU57" s="272"/>
      <c r="CV57" s="272"/>
      <c r="CW57" s="303">
        <f>SUM(CX57:EQ57)</f>
        <v>0</v>
      </c>
      <c r="CX57" s="272"/>
      <c r="CY57" s="272"/>
      <c r="CZ57" s="272"/>
      <c r="DA57" s="272"/>
      <c r="DB57" s="272"/>
      <c r="DC57" s="272"/>
      <c r="DD57" s="272"/>
      <c r="DE57" s="272"/>
      <c r="DF57" s="272"/>
      <c r="DG57" s="272"/>
      <c r="DH57" s="272"/>
      <c r="DI57" s="272"/>
      <c r="DJ57" s="272"/>
      <c r="DK57" s="272"/>
      <c r="DL57" s="272"/>
      <c r="DM57" s="272"/>
      <c r="DN57" s="272"/>
      <c r="DO57" s="272"/>
      <c r="DP57" s="272"/>
      <c r="DQ57" s="272"/>
      <c r="DR57" s="272"/>
      <c r="DS57" s="272"/>
      <c r="DT57" s="272"/>
      <c r="DU57" s="272"/>
      <c r="DV57" s="272"/>
      <c r="DW57" s="272"/>
      <c r="DX57" s="272"/>
      <c r="DY57" s="272"/>
      <c r="DZ57" s="272"/>
      <c r="EA57" s="272"/>
      <c r="EB57" s="272"/>
      <c r="EC57" s="272"/>
      <c r="ED57" s="272"/>
      <c r="EE57" s="272"/>
      <c r="EF57" s="272"/>
      <c r="EG57" s="272"/>
      <c r="EH57" s="272"/>
      <c r="EI57" s="272"/>
      <c r="EJ57" s="272"/>
      <c r="EK57" s="272"/>
      <c r="EL57" s="272"/>
      <c r="EM57" s="272"/>
      <c r="EN57" s="272"/>
      <c r="EO57" s="272"/>
      <c r="EP57" s="272"/>
      <c r="EQ57" s="272"/>
      <c r="ER57" s="303">
        <f>SUM(ES57:ET57)</f>
        <v>0</v>
      </c>
      <c r="ES57" s="303">
        <f>SUM(EU57:EV57)+EW57+EZ57+FJ57+FR57</f>
        <v>0</v>
      </c>
      <c r="ET57" s="303">
        <f>EX57+SUM(FB57:FI57)+SUM(FK57:FQ57)+SUM(FS57:FU57)</f>
        <v>0</v>
      </c>
      <c r="EU57" s="272"/>
      <c r="EV57" s="272"/>
      <c r="EW57" s="272"/>
      <c r="EX57" s="272"/>
      <c r="EY57" s="272"/>
      <c r="EZ57" s="272"/>
      <c r="FA57" s="272"/>
      <c r="FB57" s="272"/>
      <c r="FC57" s="272"/>
      <c r="FD57" s="272"/>
      <c r="FE57" s="272"/>
      <c r="FF57" s="272"/>
      <c r="FG57" s="272"/>
      <c r="FH57" s="272"/>
      <c r="FI57" s="272"/>
      <c r="FJ57" s="272"/>
      <c r="FK57" s="272"/>
      <c r="FL57" s="272"/>
      <c r="FM57" s="272"/>
      <c r="FN57" s="272"/>
      <c r="FO57" s="272"/>
      <c r="FP57" s="272"/>
      <c r="FQ57" s="272"/>
      <c r="FR57" s="272"/>
      <c r="FS57" s="272"/>
      <c r="FT57" s="272"/>
      <c r="FU57" s="272"/>
      <c r="FV57" s="303">
        <f>SUM(FW57:FX57)</f>
        <v>0</v>
      </c>
      <c r="FW57" s="303">
        <f>SUM(FY57:FY57)</f>
        <v>0</v>
      </c>
      <c r="FX57" s="303">
        <f>SUM(FZ57:GA57)</f>
        <v>0</v>
      </c>
      <c r="FY57" s="272"/>
      <c r="FZ57" s="272"/>
      <c r="GA57" s="272"/>
      <c r="GB57" s="303"/>
      <c r="GC57" s="328"/>
      <c r="GD57" s="328"/>
      <c r="GE57" s="328"/>
      <c r="GF57" s="328"/>
      <c r="GG57" s="328"/>
    </row>
    <row r="58" spans="1:189" s="264" customFormat="1" ht="17.25" customHeight="1">
      <c r="A58" s="227"/>
      <c r="B58" s="228" t="s">
        <v>184</v>
      </c>
      <c r="C58" s="270">
        <f>D58+BE58+CI58</f>
        <v>5924106748</v>
      </c>
      <c r="D58" s="270">
        <f>E58+J58</f>
        <v>5924106748</v>
      </c>
      <c r="E58" s="270">
        <f>SUM(F58:I58)</f>
        <v>0</v>
      </c>
      <c r="F58" s="229"/>
      <c r="G58" s="229"/>
      <c r="H58" s="229"/>
      <c r="I58" s="229"/>
      <c r="J58" s="270">
        <f>SUM(K58:BD58)</f>
        <v>5924106748</v>
      </c>
      <c r="K58" s="229"/>
      <c r="L58" s="229"/>
      <c r="M58" s="229"/>
      <c r="N58" s="229"/>
      <c r="O58" s="229"/>
      <c r="P58" s="229"/>
      <c r="Q58" s="229"/>
      <c r="R58" s="229"/>
      <c r="S58" s="229"/>
      <c r="T58" s="229"/>
      <c r="U58" s="229"/>
      <c r="V58" s="229"/>
      <c r="W58" s="229"/>
      <c r="X58" s="229"/>
      <c r="Y58" s="229"/>
      <c r="Z58" s="229">
        <v>13720000</v>
      </c>
      <c r="AA58" s="229"/>
      <c r="AB58" s="229"/>
      <c r="AC58" s="229">
        <f>810812000+758763420+65755000</f>
        <v>1635330420</v>
      </c>
      <c r="AD58" s="229">
        <f>1798012000+1844470728+16067000</f>
        <v>3658549728</v>
      </c>
      <c r="AE58" s="229">
        <f>263211000+333396600+19899000</f>
        <v>616506600</v>
      </c>
      <c r="AF58" s="229"/>
      <c r="AG58" s="229"/>
      <c r="AH58" s="229"/>
      <c r="AI58" s="229"/>
      <c r="AJ58" s="229"/>
      <c r="AK58" s="229"/>
      <c r="AL58" s="229"/>
      <c r="AM58" s="229"/>
      <c r="AN58" s="229"/>
      <c r="AO58" s="229"/>
      <c r="AP58" s="229"/>
      <c r="AQ58" s="229"/>
      <c r="AR58" s="229"/>
      <c r="AS58" s="229"/>
      <c r="AT58" s="229"/>
      <c r="AU58" s="229"/>
      <c r="AV58" s="229"/>
      <c r="AW58" s="229"/>
      <c r="AX58" s="229"/>
      <c r="AY58" s="229"/>
      <c r="AZ58" s="229"/>
      <c r="BA58" s="229"/>
      <c r="BB58" s="229"/>
      <c r="BC58" s="229"/>
      <c r="BD58" s="229"/>
      <c r="BE58" s="270">
        <f>SUM(BF58:BG58)</f>
        <v>0</v>
      </c>
      <c r="BF58" s="270">
        <f>SUM(BH58:BI58)+BJ58+BM58+BW58+CE58</f>
        <v>0</v>
      </c>
      <c r="BG58" s="270">
        <f>BK58+SUM(BO58:BV58)+SUM(BX58:CD58)+SUM(CF58:CH58)</f>
        <v>0</v>
      </c>
      <c r="BH58" s="229"/>
      <c r="BI58" s="229"/>
      <c r="BJ58" s="229"/>
      <c r="BK58" s="229"/>
      <c r="BL58" s="229"/>
      <c r="BM58" s="229"/>
      <c r="BN58" s="229"/>
      <c r="BO58" s="229"/>
      <c r="BP58" s="229"/>
      <c r="BQ58" s="229"/>
      <c r="BR58" s="229"/>
      <c r="BS58" s="229"/>
      <c r="BT58" s="229"/>
      <c r="BU58" s="229"/>
      <c r="BV58" s="229"/>
      <c r="BW58" s="229"/>
      <c r="BX58" s="229"/>
      <c r="BY58" s="229"/>
      <c r="BZ58" s="229"/>
      <c r="CA58" s="229"/>
      <c r="CB58" s="229"/>
      <c r="CC58" s="229"/>
      <c r="CD58" s="229"/>
      <c r="CE58" s="229"/>
      <c r="CF58" s="229"/>
      <c r="CG58" s="229"/>
      <c r="CH58" s="229"/>
      <c r="CI58" s="270">
        <f>SUM(CJ58:CK58)</f>
        <v>0</v>
      </c>
      <c r="CJ58" s="270">
        <f>SUM(CL58:CL58)</f>
        <v>0</v>
      </c>
      <c r="CK58" s="270">
        <f>SUM(CM58:CN58)</f>
        <v>0</v>
      </c>
      <c r="CL58" s="229"/>
      <c r="CM58" s="229"/>
      <c r="CN58" s="229"/>
      <c r="CO58" s="271" t="s">
        <v>184</v>
      </c>
      <c r="CP58" s="303">
        <f>CQ58+ER58+FV58+GB58</f>
        <v>5924106748</v>
      </c>
      <c r="CQ58" s="303">
        <f>CR58+CW58</f>
        <v>5924106748</v>
      </c>
      <c r="CR58" s="303">
        <f>SUM(CS58:CV58)</f>
        <v>0</v>
      </c>
      <c r="CS58" s="272"/>
      <c r="CT58" s="272"/>
      <c r="CU58" s="272"/>
      <c r="CV58" s="272"/>
      <c r="CW58" s="303">
        <f>SUM(CX58:EQ58)</f>
        <v>5924106748</v>
      </c>
      <c r="CX58" s="272"/>
      <c r="CY58" s="272"/>
      <c r="CZ58" s="272"/>
      <c r="DA58" s="272"/>
      <c r="DB58" s="272"/>
      <c r="DC58" s="272"/>
      <c r="DD58" s="272"/>
      <c r="DE58" s="272"/>
      <c r="DF58" s="272"/>
      <c r="DG58" s="272"/>
      <c r="DH58" s="272"/>
      <c r="DI58" s="272"/>
      <c r="DJ58" s="272"/>
      <c r="DK58" s="272"/>
      <c r="DL58" s="272"/>
      <c r="DM58" s="272">
        <v>13720000</v>
      </c>
      <c r="DN58" s="272"/>
      <c r="DO58" s="272"/>
      <c r="DP58" s="272">
        <f>810812000+758763420+65755000</f>
        <v>1635330420</v>
      </c>
      <c r="DQ58" s="272">
        <f>1798012000+1844470728+16067000</f>
        <v>3658549728</v>
      </c>
      <c r="DR58" s="272">
        <f>263211000+333396600+19899000</f>
        <v>616506600</v>
      </c>
      <c r="DS58" s="272"/>
      <c r="DT58" s="272"/>
      <c r="DU58" s="272"/>
      <c r="DV58" s="272"/>
      <c r="DW58" s="272"/>
      <c r="DX58" s="272"/>
      <c r="DY58" s="272"/>
      <c r="DZ58" s="272"/>
      <c r="EA58" s="272"/>
      <c r="EB58" s="272"/>
      <c r="EC58" s="272"/>
      <c r="ED58" s="272"/>
      <c r="EE58" s="272"/>
      <c r="EF58" s="272"/>
      <c r="EG58" s="272"/>
      <c r="EH58" s="272"/>
      <c r="EI58" s="272"/>
      <c r="EJ58" s="272"/>
      <c r="EK58" s="272"/>
      <c r="EL58" s="272"/>
      <c r="EM58" s="272"/>
      <c r="EN58" s="272"/>
      <c r="EO58" s="272"/>
      <c r="EP58" s="272"/>
      <c r="EQ58" s="272"/>
      <c r="ER58" s="303">
        <f>SUM(ES58:ET58)</f>
        <v>0</v>
      </c>
      <c r="ES58" s="303">
        <f>SUM(EU58:EV58)+EW58+EZ58+FJ58+FR58</f>
        <v>0</v>
      </c>
      <c r="ET58" s="303">
        <f>EX58+SUM(FB58:FI58)+SUM(FK58:FQ58)+SUM(FS58:FU58)</f>
        <v>0</v>
      </c>
      <c r="EU58" s="272"/>
      <c r="EV58" s="272"/>
      <c r="EW58" s="272"/>
      <c r="EX58" s="272"/>
      <c r="EY58" s="272"/>
      <c r="EZ58" s="272"/>
      <c r="FA58" s="272"/>
      <c r="FB58" s="272"/>
      <c r="FC58" s="272"/>
      <c r="FD58" s="272"/>
      <c r="FE58" s="272"/>
      <c r="FF58" s="272"/>
      <c r="FG58" s="272"/>
      <c r="FH58" s="272"/>
      <c r="FI58" s="272"/>
      <c r="FJ58" s="272"/>
      <c r="FK58" s="272"/>
      <c r="FL58" s="272"/>
      <c r="FM58" s="272"/>
      <c r="FN58" s="272"/>
      <c r="FO58" s="272"/>
      <c r="FP58" s="272"/>
      <c r="FQ58" s="272"/>
      <c r="FR58" s="272"/>
      <c r="FS58" s="272"/>
      <c r="FT58" s="272"/>
      <c r="FU58" s="272"/>
      <c r="FV58" s="303">
        <f>SUM(FW58:FX58)</f>
        <v>0</v>
      </c>
      <c r="FW58" s="303">
        <f>SUM(FY58:FY58)</f>
        <v>0</v>
      </c>
      <c r="FX58" s="303">
        <f>SUM(FZ58:GA58)</f>
        <v>0</v>
      </c>
      <c r="FY58" s="272"/>
      <c r="FZ58" s="272"/>
      <c r="GA58" s="272"/>
      <c r="GB58" s="303"/>
      <c r="GC58" s="328">
        <f>CP58/C58</f>
        <v>1</v>
      </c>
      <c r="GD58" s="328"/>
      <c r="GE58" s="328">
        <f>CW58/J58</f>
        <v>1</v>
      </c>
      <c r="GF58" s="328"/>
      <c r="GG58" s="328"/>
    </row>
    <row r="59" spans="1:189" s="264" customFormat="1" ht="17.25" customHeight="1">
      <c r="A59" s="227">
        <v>16</v>
      </c>
      <c r="B59" s="228" t="s">
        <v>193</v>
      </c>
      <c r="C59" s="270">
        <f t="shared" ref="C59:AI59" si="98">C60+C61</f>
        <v>6153066000</v>
      </c>
      <c r="D59" s="270">
        <f t="shared" si="98"/>
        <v>728066000</v>
      </c>
      <c r="E59" s="270">
        <f t="shared" si="98"/>
        <v>0</v>
      </c>
      <c r="F59" s="229">
        <f t="shared" si="98"/>
        <v>0</v>
      </c>
      <c r="G59" s="229">
        <f t="shared" si="98"/>
        <v>0</v>
      </c>
      <c r="H59" s="229">
        <f t="shared" si="98"/>
        <v>0</v>
      </c>
      <c r="I59" s="229">
        <f t="shared" si="98"/>
        <v>0</v>
      </c>
      <c r="J59" s="270">
        <f t="shared" si="98"/>
        <v>728066000</v>
      </c>
      <c r="K59" s="229">
        <f t="shared" si="98"/>
        <v>0</v>
      </c>
      <c r="L59" s="229">
        <f t="shared" si="98"/>
        <v>0</v>
      </c>
      <c r="M59" s="229">
        <f t="shared" si="98"/>
        <v>0</v>
      </c>
      <c r="N59" s="229">
        <f t="shared" si="98"/>
        <v>0</v>
      </c>
      <c r="O59" s="229">
        <f t="shared" si="98"/>
        <v>0</v>
      </c>
      <c r="P59" s="229">
        <f t="shared" si="98"/>
        <v>0</v>
      </c>
      <c r="Q59" s="229">
        <f t="shared" si="98"/>
        <v>0</v>
      </c>
      <c r="R59" s="229">
        <f t="shared" si="98"/>
        <v>0</v>
      </c>
      <c r="S59" s="229">
        <f t="shared" si="98"/>
        <v>0</v>
      </c>
      <c r="T59" s="229">
        <f t="shared" si="98"/>
        <v>0</v>
      </c>
      <c r="U59" s="229">
        <f t="shared" si="98"/>
        <v>0</v>
      </c>
      <c r="V59" s="229">
        <f t="shared" si="98"/>
        <v>0</v>
      </c>
      <c r="W59" s="229">
        <f t="shared" si="98"/>
        <v>0</v>
      </c>
      <c r="X59" s="229">
        <f t="shared" si="98"/>
        <v>0</v>
      </c>
      <c r="Y59" s="229">
        <f t="shared" si="98"/>
        <v>0</v>
      </c>
      <c r="Z59" s="229">
        <f t="shared" si="98"/>
        <v>17954000</v>
      </c>
      <c r="AA59" s="229">
        <f t="shared" si="98"/>
        <v>0</v>
      </c>
      <c r="AB59" s="229">
        <f t="shared" si="98"/>
        <v>0</v>
      </c>
      <c r="AC59" s="229">
        <f t="shared" si="98"/>
        <v>0</v>
      </c>
      <c r="AD59" s="229">
        <f t="shared" si="98"/>
        <v>0</v>
      </c>
      <c r="AE59" s="229">
        <f t="shared" si="98"/>
        <v>0</v>
      </c>
      <c r="AF59" s="229">
        <f t="shared" si="98"/>
        <v>0</v>
      </c>
      <c r="AG59" s="229">
        <f t="shared" si="98"/>
        <v>103600000</v>
      </c>
      <c r="AH59" s="229">
        <f t="shared" si="98"/>
        <v>0</v>
      </c>
      <c r="AI59" s="229">
        <f t="shared" si="98"/>
        <v>0</v>
      </c>
      <c r="AJ59" s="229">
        <f t="shared" ref="AJ59:AO59" si="99">AJ60+AJ61</f>
        <v>0</v>
      </c>
      <c r="AK59" s="229">
        <f t="shared" si="99"/>
        <v>0</v>
      </c>
      <c r="AL59" s="229">
        <f t="shared" si="99"/>
        <v>0</v>
      </c>
      <c r="AM59" s="229">
        <f t="shared" si="99"/>
        <v>0</v>
      </c>
      <c r="AN59" s="229">
        <f t="shared" si="99"/>
        <v>0</v>
      </c>
      <c r="AO59" s="229">
        <f t="shared" si="99"/>
        <v>0</v>
      </c>
      <c r="AP59" s="229">
        <f t="shared" ref="AP59:AU59" si="100">AP60+AP61</f>
        <v>0</v>
      </c>
      <c r="AQ59" s="229">
        <f t="shared" si="100"/>
        <v>0</v>
      </c>
      <c r="AR59" s="229">
        <f t="shared" si="100"/>
        <v>0</v>
      </c>
      <c r="AS59" s="229">
        <f t="shared" si="100"/>
        <v>0</v>
      </c>
      <c r="AT59" s="229">
        <f t="shared" si="100"/>
        <v>0</v>
      </c>
      <c r="AU59" s="229">
        <f t="shared" si="100"/>
        <v>0</v>
      </c>
      <c r="AV59" s="229">
        <f>AV60+AV61</f>
        <v>0</v>
      </c>
      <c r="AW59" s="229">
        <f>AW60+AW61</f>
        <v>0</v>
      </c>
      <c r="AX59" s="229">
        <f t="shared" ref="AX59:CN59" si="101">AX60+AX61</f>
        <v>0</v>
      </c>
      <c r="AY59" s="229">
        <f t="shared" si="101"/>
        <v>0</v>
      </c>
      <c r="AZ59" s="229">
        <f t="shared" si="101"/>
        <v>0</v>
      </c>
      <c r="BA59" s="229">
        <f t="shared" si="101"/>
        <v>606512000</v>
      </c>
      <c r="BB59" s="229">
        <f t="shared" si="101"/>
        <v>0</v>
      </c>
      <c r="BC59" s="229">
        <f t="shared" si="101"/>
        <v>0</v>
      </c>
      <c r="BD59" s="229">
        <f t="shared" si="101"/>
        <v>0</v>
      </c>
      <c r="BE59" s="270">
        <f t="shared" si="101"/>
        <v>5425000000</v>
      </c>
      <c r="BF59" s="270">
        <f t="shared" si="101"/>
        <v>0</v>
      </c>
      <c r="BG59" s="270">
        <f t="shared" si="101"/>
        <v>5425000000</v>
      </c>
      <c r="BH59" s="229">
        <f t="shared" si="101"/>
        <v>0</v>
      </c>
      <c r="BI59" s="229">
        <f t="shared" si="101"/>
        <v>0</v>
      </c>
      <c r="BJ59" s="229">
        <f t="shared" si="101"/>
        <v>0</v>
      </c>
      <c r="BK59" s="229">
        <f t="shared" si="101"/>
        <v>0</v>
      </c>
      <c r="BL59" s="229">
        <f>BL60+BL61</f>
        <v>0</v>
      </c>
      <c r="BM59" s="229">
        <f>BM60+BM61</f>
        <v>0</v>
      </c>
      <c r="BN59" s="229">
        <f t="shared" si="101"/>
        <v>0</v>
      </c>
      <c r="BO59" s="229">
        <f t="shared" si="101"/>
        <v>4318000000</v>
      </c>
      <c r="BP59" s="229">
        <f t="shared" si="101"/>
        <v>0</v>
      </c>
      <c r="BQ59" s="229">
        <f t="shared" si="101"/>
        <v>0</v>
      </c>
      <c r="BR59" s="229">
        <f t="shared" si="101"/>
        <v>0</v>
      </c>
      <c r="BS59" s="229">
        <f t="shared" si="101"/>
        <v>0</v>
      </c>
      <c r="BT59" s="229">
        <f t="shared" si="101"/>
        <v>0</v>
      </c>
      <c r="BU59" s="229">
        <f t="shared" si="101"/>
        <v>1007000000</v>
      </c>
      <c r="BV59" s="229">
        <f t="shared" si="101"/>
        <v>100000000</v>
      </c>
      <c r="BW59" s="229">
        <f t="shared" si="101"/>
        <v>0</v>
      </c>
      <c r="BX59" s="229">
        <f t="shared" si="101"/>
        <v>0</v>
      </c>
      <c r="BY59" s="229">
        <f t="shared" si="101"/>
        <v>0</v>
      </c>
      <c r="BZ59" s="229">
        <f t="shared" si="101"/>
        <v>0</v>
      </c>
      <c r="CA59" s="229">
        <f t="shared" si="101"/>
        <v>0</v>
      </c>
      <c r="CB59" s="229">
        <f t="shared" si="101"/>
        <v>0</v>
      </c>
      <c r="CC59" s="229">
        <f t="shared" si="101"/>
        <v>0</v>
      </c>
      <c r="CD59" s="229">
        <f t="shared" si="101"/>
        <v>0</v>
      </c>
      <c r="CE59" s="229">
        <f t="shared" si="101"/>
        <v>0</v>
      </c>
      <c r="CF59" s="229">
        <f t="shared" si="101"/>
        <v>0</v>
      </c>
      <c r="CG59" s="229">
        <f t="shared" si="101"/>
        <v>0</v>
      </c>
      <c r="CH59" s="229">
        <f t="shared" si="101"/>
        <v>0</v>
      </c>
      <c r="CI59" s="270">
        <f t="shared" si="101"/>
        <v>0</v>
      </c>
      <c r="CJ59" s="270">
        <f t="shared" si="101"/>
        <v>0</v>
      </c>
      <c r="CK59" s="270">
        <f t="shared" si="101"/>
        <v>0</v>
      </c>
      <c r="CL59" s="229">
        <f t="shared" si="101"/>
        <v>0</v>
      </c>
      <c r="CM59" s="229">
        <f t="shared" si="101"/>
        <v>0</v>
      </c>
      <c r="CN59" s="229">
        <f t="shared" si="101"/>
        <v>0</v>
      </c>
      <c r="CO59" s="271" t="s">
        <v>193</v>
      </c>
      <c r="CP59" s="303">
        <f>CP60+CP61</f>
        <v>6153066000</v>
      </c>
      <c r="CQ59" s="303">
        <f t="shared" ref="CQ59:ER59" si="102">CQ60+CQ61</f>
        <v>728066000</v>
      </c>
      <c r="CR59" s="303">
        <f t="shared" si="102"/>
        <v>0</v>
      </c>
      <c r="CS59" s="272">
        <f t="shared" si="102"/>
        <v>0</v>
      </c>
      <c r="CT59" s="272">
        <f t="shared" si="102"/>
        <v>0</v>
      </c>
      <c r="CU59" s="272">
        <f t="shared" si="102"/>
        <v>0</v>
      </c>
      <c r="CV59" s="272">
        <f t="shared" si="102"/>
        <v>0</v>
      </c>
      <c r="CW59" s="303">
        <f t="shared" si="102"/>
        <v>728066000</v>
      </c>
      <c r="CX59" s="272">
        <f t="shared" si="102"/>
        <v>0</v>
      </c>
      <c r="CY59" s="272">
        <f t="shared" si="102"/>
        <v>0</v>
      </c>
      <c r="CZ59" s="272">
        <f t="shared" si="102"/>
        <v>0</v>
      </c>
      <c r="DA59" s="272">
        <f t="shared" si="102"/>
        <v>0</v>
      </c>
      <c r="DB59" s="272">
        <f t="shared" si="102"/>
        <v>0</v>
      </c>
      <c r="DC59" s="272">
        <f t="shared" si="102"/>
        <v>0</v>
      </c>
      <c r="DD59" s="272">
        <f t="shared" si="102"/>
        <v>0</v>
      </c>
      <c r="DE59" s="272">
        <f t="shared" si="102"/>
        <v>0</v>
      </c>
      <c r="DF59" s="272">
        <f t="shared" si="102"/>
        <v>0</v>
      </c>
      <c r="DG59" s="272">
        <f t="shared" si="102"/>
        <v>0</v>
      </c>
      <c r="DH59" s="272">
        <f t="shared" si="102"/>
        <v>0</v>
      </c>
      <c r="DI59" s="272">
        <f t="shared" si="102"/>
        <v>0</v>
      </c>
      <c r="DJ59" s="272">
        <f t="shared" si="102"/>
        <v>0</v>
      </c>
      <c r="DK59" s="272">
        <f t="shared" si="102"/>
        <v>0</v>
      </c>
      <c r="DL59" s="272">
        <f t="shared" si="102"/>
        <v>0</v>
      </c>
      <c r="DM59" s="272">
        <f>DM60+DM61</f>
        <v>17954000</v>
      </c>
      <c r="DN59" s="272">
        <f t="shared" si="102"/>
        <v>0</v>
      </c>
      <c r="DO59" s="272">
        <f t="shared" si="102"/>
        <v>0</v>
      </c>
      <c r="DP59" s="272">
        <f t="shared" si="102"/>
        <v>0</v>
      </c>
      <c r="DQ59" s="272">
        <f t="shared" si="102"/>
        <v>0</v>
      </c>
      <c r="DR59" s="272">
        <f t="shared" si="102"/>
        <v>0</v>
      </c>
      <c r="DS59" s="272">
        <f t="shared" si="102"/>
        <v>0</v>
      </c>
      <c r="DT59" s="272">
        <f t="shared" si="102"/>
        <v>103600000</v>
      </c>
      <c r="DU59" s="272">
        <f t="shared" si="102"/>
        <v>0</v>
      </c>
      <c r="DV59" s="272">
        <f t="shared" si="102"/>
        <v>0</v>
      </c>
      <c r="DW59" s="272">
        <f t="shared" si="102"/>
        <v>0</v>
      </c>
      <c r="DX59" s="272">
        <f t="shared" si="102"/>
        <v>0</v>
      </c>
      <c r="DY59" s="272">
        <f t="shared" si="102"/>
        <v>0</v>
      </c>
      <c r="DZ59" s="272">
        <f t="shared" si="102"/>
        <v>0</v>
      </c>
      <c r="EA59" s="272">
        <f t="shared" si="102"/>
        <v>0</v>
      </c>
      <c r="EB59" s="272">
        <f t="shared" si="102"/>
        <v>0</v>
      </c>
      <c r="EC59" s="272">
        <f t="shared" si="102"/>
        <v>0</v>
      </c>
      <c r="ED59" s="272">
        <f t="shared" si="102"/>
        <v>0</v>
      </c>
      <c r="EE59" s="272">
        <f t="shared" si="102"/>
        <v>0</v>
      </c>
      <c r="EF59" s="272">
        <f t="shared" si="102"/>
        <v>0</v>
      </c>
      <c r="EG59" s="272">
        <f t="shared" si="102"/>
        <v>0</v>
      </c>
      <c r="EH59" s="272">
        <f t="shared" si="102"/>
        <v>0</v>
      </c>
      <c r="EI59" s="272">
        <f>EI60+EI61</f>
        <v>0</v>
      </c>
      <c r="EJ59" s="272">
        <f>EJ60+EJ61</f>
        <v>0</v>
      </c>
      <c r="EK59" s="272">
        <f t="shared" si="102"/>
        <v>0</v>
      </c>
      <c r="EL59" s="272">
        <f t="shared" si="102"/>
        <v>0</v>
      </c>
      <c r="EM59" s="272">
        <f t="shared" si="102"/>
        <v>0</v>
      </c>
      <c r="EN59" s="272">
        <f t="shared" si="102"/>
        <v>606512000</v>
      </c>
      <c r="EO59" s="272">
        <f t="shared" si="102"/>
        <v>0</v>
      </c>
      <c r="EP59" s="272">
        <f t="shared" si="102"/>
        <v>0</v>
      </c>
      <c r="EQ59" s="272">
        <f t="shared" si="102"/>
        <v>0</v>
      </c>
      <c r="ER59" s="303">
        <f t="shared" si="102"/>
        <v>4497290180</v>
      </c>
      <c r="ES59" s="303">
        <f t="shared" ref="ES59:GB59" si="103">ES60+ES61</f>
        <v>0</v>
      </c>
      <c r="ET59" s="303">
        <f t="shared" si="103"/>
        <v>4497290180</v>
      </c>
      <c r="EU59" s="272">
        <f t="shared" si="103"/>
        <v>0</v>
      </c>
      <c r="EV59" s="272">
        <f t="shared" si="103"/>
        <v>0</v>
      </c>
      <c r="EW59" s="272">
        <f t="shared" si="103"/>
        <v>0</v>
      </c>
      <c r="EX59" s="272">
        <f t="shared" si="103"/>
        <v>0</v>
      </c>
      <c r="EY59" s="272">
        <f>EY60+EY61</f>
        <v>0</v>
      </c>
      <c r="EZ59" s="272">
        <f>EZ60+EZ61</f>
        <v>0</v>
      </c>
      <c r="FA59" s="272">
        <f t="shared" si="103"/>
        <v>0</v>
      </c>
      <c r="FB59" s="272">
        <f t="shared" si="103"/>
        <v>4191536000</v>
      </c>
      <c r="FC59" s="272">
        <f t="shared" si="103"/>
        <v>0</v>
      </c>
      <c r="FD59" s="272">
        <f t="shared" si="103"/>
        <v>0</v>
      </c>
      <c r="FE59" s="272">
        <f t="shared" si="103"/>
        <v>0</v>
      </c>
      <c r="FF59" s="272">
        <f t="shared" si="103"/>
        <v>0</v>
      </c>
      <c r="FG59" s="272">
        <f t="shared" si="103"/>
        <v>0</v>
      </c>
      <c r="FH59" s="272">
        <f t="shared" si="103"/>
        <v>255129180</v>
      </c>
      <c r="FI59" s="272">
        <f t="shared" si="103"/>
        <v>50625000</v>
      </c>
      <c r="FJ59" s="272">
        <f t="shared" si="103"/>
        <v>0</v>
      </c>
      <c r="FK59" s="272">
        <f t="shared" si="103"/>
        <v>0</v>
      </c>
      <c r="FL59" s="272">
        <f t="shared" si="103"/>
        <v>0</v>
      </c>
      <c r="FM59" s="272">
        <f t="shared" si="103"/>
        <v>0</v>
      </c>
      <c r="FN59" s="272">
        <f t="shared" si="103"/>
        <v>0</v>
      </c>
      <c r="FO59" s="272">
        <f t="shared" si="103"/>
        <v>0</v>
      </c>
      <c r="FP59" s="272">
        <f t="shared" si="103"/>
        <v>0</v>
      </c>
      <c r="FQ59" s="272">
        <f t="shared" si="103"/>
        <v>0</v>
      </c>
      <c r="FR59" s="272">
        <f t="shared" si="103"/>
        <v>0</v>
      </c>
      <c r="FS59" s="272">
        <f t="shared" si="103"/>
        <v>0</v>
      </c>
      <c r="FT59" s="272">
        <f t="shared" si="103"/>
        <v>0</v>
      </c>
      <c r="FU59" s="272">
        <f t="shared" si="103"/>
        <v>0</v>
      </c>
      <c r="FV59" s="303">
        <f t="shared" si="103"/>
        <v>0</v>
      </c>
      <c r="FW59" s="303">
        <f t="shared" si="103"/>
        <v>0</v>
      </c>
      <c r="FX59" s="303">
        <f t="shared" si="103"/>
        <v>0</v>
      </c>
      <c r="FY59" s="272">
        <f t="shared" si="103"/>
        <v>0</v>
      </c>
      <c r="FZ59" s="272">
        <f t="shared" si="103"/>
        <v>0</v>
      </c>
      <c r="GA59" s="272">
        <f t="shared" si="103"/>
        <v>0</v>
      </c>
      <c r="GB59" s="303">
        <f t="shared" si="103"/>
        <v>927709820</v>
      </c>
      <c r="GC59" s="328">
        <f>CP59/C59</f>
        <v>1</v>
      </c>
      <c r="GD59" s="328"/>
      <c r="GE59" s="328">
        <f>CW59/J59</f>
        <v>1</v>
      </c>
      <c r="GF59" s="328">
        <f>ER59/BE59</f>
        <v>0.82899358156682024</v>
      </c>
      <c r="GG59" s="328"/>
    </row>
    <row r="60" spans="1:189" s="264" customFormat="1" ht="17.25" customHeight="1">
      <c r="A60" s="227"/>
      <c r="B60" s="228" t="s">
        <v>183</v>
      </c>
      <c r="C60" s="270">
        <f>D60+BE60+CI60</f>
        <v>0</v>
      </c>
      <c r="D60" s="270">
        <f>E60+J60</f>
        <v>0</v>
      </c>
      <c r="E60" s="270">
        <f>SUM(F60:I60)</f>
        <v>0</v>
      </c>
      <c r="F60" s="229"/>
      <c r="G60" s="229"/>
      <c r="H60" s="229"/>
      <c r="I60" s="229"/>
      <c r="J60" s="270">
        <f>SUM(K60:BD60)</f>
        <v>0</v>
      </c>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29"/>
      <c r="AP60" s="229"/>
      <c r="AQ60" s="229"/>
      <c r="AR60" s="229"/>
      <c r="AS60" s="229"/>
      <c r="AT60" s="229"/>
      <c r="AU60" s="229"/>
      <c r="AV60" s="229"/>
      <c r="AW60" s="229"/>
      <c r="AX60" s="229"/>
      <c r="AY60" s="229"/>
      <c r="AZ60" s="229"/>
      <c r="BA60" s="229"/>
      <c r="BB60" s="229"/>
      <c r="BC60" s="229"/>
      <c r="BD60" s="229"/>
      <c r="BE60" s="270">
        <f>SUM(BF60:BG60)</f>
        <v>0</v>
      </c>
      <c r="BF60" s="270">
        <f>SUM(BH60:BI60)+BJ60+SUM(BL60:BN60)+BW60+CE60</f>
        <v>0</v>
      </c>
      <c r="BG60" s="270">
        <f>BK60+SUM(BO60:BV60)+SUM(BX60:CD60)+SUM(CF60:CH60)</f>
        <v>0</v>
      </c>
      <c r="BH60" s="229"/>
      <c r="BI60" s="229"/>
      <c r="BJ60" s="229"/>
      <c r="BK60" s="229"/>
      <c r="BL60" s="229"/>
      <c r="BM60" s="229"/>
      <c r="BN60" s="229"/>
      <c r="BO60" s="229"/>
      <c r="BP60" s="229"/>
      <c r="BQ60" s="229"/>
      <c r="BR60" s="229"/>
      <c r="BS60" s="229"/>
      <c r="BT60" s="229"/>
      <c r="BU60" s="229"/>
      <c r="BV60" s="229"/>
      <c r="BW60" s="229"/>
      <c r="BX60" s="229"/>
      <c r="BY60" s="229"/>
      <c r="BZ60" s="229"/>
      <c r="CA60" s="229"/>
      <c r="CB60" s="229"/>
      <c r="CC60" s="229"/>
      <c r="CD60" s="229"/>
      <c r="CE60" s="229"/>
      <c r="CF60" s="229"/>
      <c r="CG60" s="229"/>
      <c r="CH60" s="229"/>
      <c r="CI60" s="270">
        <f>SUM(CJ60:CK60)</f>
        <v>0</v>
      </c>
      <c r="CJ60" s="270">
        <f>SUM(CL60:CL60)</f>
        <v>0</v>
      </c>
      <c r="CK60" s="270">
        <f>SUM(CM60:CN60)</f>
        <v>0</v>
      </c>
      <c r="CL60" s="229"/>
      <c r="CM60" s="229"/>
      <c r="CN60" s="229"/>
      <c r="CO60" s="271" t="s">
        <v>183</v>
      </c>
      <c r="CP60" s="303">
        <f>CQ60+ER60+FV60+GB60</f>
        <v>0</v>
      </c>
      <c r="CQ60" s="303">
        <f>CR60+CW60</f>
        <v>0</v>
      </c>
      <c r="CR60" s="303">
        <f>SUM(CS60:CV60)</f>
        <v>0</v>
      </c>
      <c r="CS60" s="272"/>
      <c r="CT60" s="272"/>
      <c r="CU60" s="272"/>
      <c r="CV60" s="272"/>
      <c r="CW60" s="303">
        <f>SUM(CX60:EQ60)</f>
        <v>0</v>
      </c>
      <c r="CX60" s="272"/>
      <c r="CY60" s="272"/>
      <c r="CZ60" s="272"/>
      <c r="DA60" s="272"/>
      <c r="DB60" s="272"/>
      <c r="DC60" s="272"/>
      <c r="DD60" s="272"/>
      <c r="DE60" s="272"/>
      <c r="DF60" s="272"/>
      <c r="DG60" s="272"/>
      <c r="DH60" s="272"/>
      <c r="DI60" s="272"/>
      <c r="DJ60" s="272"/>
      <c r="DK60" s="272"/>
      <c r="DL60" s="272"/>
      <c r="DM60" s="272"/>
      <c r="DN60" s="272"/>
      <c r="DO60" s="272"/>
      <c r="DP60" s="272"/>
      <c r="DQ60" s="272"/>
      <c r="DR60" s="272"/>
      <c r="DS60" s="272"/>
      <c r="DT60" s="272"/>
      <c r="DU60" s="272"/>
      <c r="DV60" s="272"/>
      <c r="DW60" s="272"/>
      <c r="DX60" s="272"/>
      <c r="DY60" s="272"/>
      <c r="DZ60" s="272"/>
      <c r="EA60" s="272"/>
      <c r="EB60" s="272"/>
      <c r="EC60" s="272"/>
      <c r="ED60" s="272"/>
      <c r="EE60" s="272"/>
      <c r="EF60" s="272"/>
      <c r="EG60" s="272"/>
      <c r="EH60" s="272"/>
      <c r="EI60" s="272"/>
      <c r="EJ60" s="272"/>
      <c r="EK60" s="272"/>
      <c r="EL60" s="272"/>
      <c r="EM60" s="272"/>
      <c r="EN60" s="272"/>
      <c r="EO60" s="272"/>
      <c r="EP60" s="272"/>
      <c r="EQ60" s="272"/>
      <c r="ER60" s="303">
        <f>SUM(ES60:ET60)</f>
        <v>0</v>
      </c>
      <c r="ES60" s="303">
        <f>SUM(EU60:EV60)+EW60+SUM(EY60:FA60)+FJ60+FR60</f>
        <v>0</v>
      </c>
      <c r="ET60" s="303">
        <f>EX60+SUM(FB60:FI60)+SUM(FK60:FQ60)+SUM(FS60:FU60)</f>
        <v>0</v>
      </c>
      <c r="EU60" s="272"/>
      <c r="EV60" s="272"/>
      <c r="EW60" s="272"/>
      <c r="EX60" s="272"/>
      <c r="EY60" s="272"/>
      <c r="EZ60" s="272"/>
      <c r="FA60" s="272"/>
      <c r="FB60" s="272"/>
      <c r="FC60" s="272"/>
      <c r="FD60" s="272"/>
      <c r="FE60" s="272"/>
      <c r="FF60" s="272"/>
      <c r="FG60" s="272"/>
      <c r="FH60" s="272"/>
      <c r="FI60" s="272"/>
      <c r="FJ60" s="272"/>
      <c r="FK60" s="272"/>
      <c r="FL60" s="272"/>
      <c r="FM60" s="272"/>
      <c r="FN60" s="272"/>
      <c r="FO60" s="272"/>
      <c r="FP60" s="272"/>
      <c r="FQ60" s="272"/>
      <c r="FR60" s="272"/>
      <c r="FS60" s="272"/>
      <c r="FT60" s="272"/>
      <c r="FU60" s="272"/>
      <c r="FV60" s="303">
        <f>SUM(FW60:FX60)</f>
        <v>0</v>
      </c>
      <c r="FW60" s="303">
        <f>SUM(FY60:FY60)</f>
        <v>0</v>
      </c>
      <c r="FX60" s="303">
        <f>SUM(FZ60:GA60)</f>
        <v>0</v>
      </c>
      <c r="FY60" s="272"/>
      <c r="FZ60" s="272"/>
      <c r="GA60" s="272"/>
      <c r="GB60" s="303"/>
      <c r="GC60" s="328"/>
      <c r="GD60" s="328"/>
      <c r="GE60" s="328"/>
      <c r="GF60" s="328"/>
      <c r="GG60" s="328"/>
    </row>
    <row r="61" spans="1:189" s="264" customFormat="1" ht="17.25" customHeight="1">
      <c r="A61" s="227"/>
      <c r="B61" s="228" t="s">
        <v>184</v>
      </c>
      <c r="C61" s="270">
        <f>D61+BE61+CI61</f>
        <v>6153066000</v>
      </c>
      <c r="D61" s="270">
        <f>E61+J61</f>
        <v>728066000</v>
      </c>
      <c r="E61" s="270">
        <f>SUM(F61:I61)</f>
        <v>0</v>
      </c>
      <c r="F61" s="229"/>
      <c r="G61" s="229"/>
      <c r="H61" s="229"/>
      <c r="I61" s="229"/>
      <c r="J61" s="270">
        <f>SUM(K61:BD61)</f>
        <v>728066000</v>
      </c>
      <c r="K61" s="229"/>
      <c r="L61" s="229"/>
      <c r="M61" s="229"/>
      <c r="N61" s="229"/>
      <c r="O61" s="229"/>
      <c r="P61" s="229"/>
      <c r="Q61" s="229"/>
      <c r="R61" s="229"/>
      <c r="S61" s="229"/>
      <c r="T61" s="229"/>
      <c r="U61" s="229"/>
      <c r="V61" s="229"/>
      <c r="W61" s="229"/>
      <c r="X61" s="229"/>
      <c r="Y61" s="229"/>
      <c r="Z61" s="229">
        <v>17954000</v>
      </c>
      <c r="AA61" s="229"/>
      <c r="AB61" s="229"/>
      <c r="AC61" s="229"/>
      <c r="AD61" s="229"/>
      <c r="AE61" s="229"/>
      <c r="AF61" s="229"/>
      <c r="AG61" s="229">
        <v>103600000</v>
      </c>
      <c r="AH61" s="229"/>
      <c r="AI61" s="229"/>
      <c r="AJ61" s="229"/>
      <c r="AK61" s="229"/>
      <c r="AL61" s="229"/>
      <c r="AM61" s="229"/>
      <c r="AN61" s="229"/>
      <c r="AO61" s="229"/>
      <c r="AP61" s="229"/>
      <c r="AQ61" s="229"/>
      <c r="AR61" s="229"/>
      <c r="AS61" s="229"/>
      <c r="AT61" s="229"/>
      <c r="AU61" s="229"/>
      <c r="AV61" s="229"/>
      <c r="AW61" s="229"/>
      <c r="AX61" s="229"/>
      <c r="AY61" s="229"/>
      <c r="AZ61" s="229"/>
      <c r="BA61" s="229">
        <v>606512000</v>
      </c>
      <c r="BB61" s="229"/>
      <c r="BC61" s="229"/>
      <c r="BD61" s="229"/>
      <c r="BE61" s="270">
        <f>SUM(BF61:BG61)</f>
        <v>5425000000</v>
      </c>
      <c r="BF61" s="270">
        <f>SUM(BH61:BI61)+BJ61+SUM(BL61:BN61)+BW61+CE61</f>
        <v>0</v>
      </c>
      <c r="BG61" s="270">
        <f>BK61+SUM(BO61:BV61)+SUM(BX61:CD61)+SUM(CF61:CH61)</f>
        <v>5425000000</v>
      </c>
      <c r="BH61" s="229"/>
      <c r="BI61" s="229"/>
      <c r="BJ61" s="229"/>
      <c r="BK61" s="229"/>
      <c r="BL61" s="229"/>
      <c r="BM61" s="229"/>
      <c r="BN61" s="229"/>
      <c r="BO61" s="229">
        <v>4318000000</v>
      </c>
      <c r="BP61" s="229"/>
      <c r="BQ61" s="229"/>
      <c r="BR61" s="229"/>
      <c r="BS61" s="229"/>
      <c r="BT61" s="229"/>
      <c r="BU61" s="229">
        <f>191000000+816000000</f>
        <v>1007000000</v>
      </c>
      <c r="BV61" s="229">
        <v>100000000</v>
      </c>
      <c r="BW61" s="229"/>
      <c r="BX61" s="229"/>
      <c r="BY61" s="229"/>
      <c r="BZ61" s="229"/>
      <c r="CA61" s="229"/>
      <c r="CB61" s="229"/>
      <c r="CC61" s="229"/>
      <c r="CD61" s="229"/>
      <c r="CE61" s="229"/>
      <c r="CF61" s="229"/>
      <c r="CG61" s="229"/>
      <c r="CH61" s="229"/>
      <c r="CI61" s="270">
        <f>SUM(CJ61:CK61)</f>
        <v>0</v>
      </c>
      <c r="CJ61" s="270">
        <f>SUM(CL61:CL61)</f>
        <v>0</v>
      </c>
      <c r="CK61" s="270">
        <f>SUM(CM61:CN61)</f>
        <v>0</v>
      </c>
      <c r="CL61" s="229"/>
      <c r="CM61" s="229"/>
      <c r="CN61" s="229"/>
      <c r="CO61" s="271" t="s">
        <v>184</v>
      </c>
      <c r="CP61" s="303">
        <f>CQ61+ER61+FV61+GB61</f>
        <v>6153066000</v>
      </c>
      <c r="CQ61" s="303">
        <f>CR61+CW61</f>
        <v>728066000</v>
      </c>
      <c r="CR61" s="303">
        <f>SUM(CS61:CV61)</f>
        <v>0</v>
      </c>
      <c r="CS61" s="272"/>
      <c r="CT61" s="272"/>
      <c r="CU61" s="272"/>
      <c r="CV61" s="272"/>
      <c r="CW61" s="303">
        <f>SUM(CX61:EQ61)</f>
        <v>728066000</v>
      </c>
      <c r="CX61" s="272"/>
      <c r="CY61" s="272"/>
      <c r="CZ61" s="272"/>
      <c r="DA61" s="272"/>
      <c r="DB61" s="272"/>
      <c r="DC61" s="272"/>
      <c r="DD61" s="272"/>
      <c r="DE61" s="272"/>
      <c r="DF61" s="272"/>
      <c r="DG61" s="272"/>
      <c r="DH61" s="272"/>
      <c r="DI61" s="272"/>
      <c r="DJ61" s="272"/>
      <c r="DK61" s="272"/>
      <c r="DL61" s="272"/>
      <c r="DM61" s="272">
        <v>17954000</v>
      </c>
      <c r="DN61" s="272"/>
      <c r="DO61" s="272"/>
      <c r="DP61" s="272"/>
      <c r="DQ61" s="272"/>
      <c r="DR61" s="272"/>
      <c r="DS61" s="272"/>
      <c r="DT61" s="272">
        <v>103600000</v>
      </c>
      <c r="DU61" s="272"/>
      <c r="DV61" s="272"/>
      <c r="DW61" s="272"/>
      <c r="DX61" s="272"/>
      <c r="DY61" s="272"/>
      <c r="DZ61" s="272"/>
      <c r="EA61" s="272"/>
      <c r="EB61" s="272"/>
      <c r="EC61" s="272"/>
      <c r="ED61" s="272"/>
      <c r="EE61" s="272"/>
      <c r="EF61" s="272"/>
      <c r="EG61" s="272"/>
      <c r="EH61" s="272"/>
      <c r="EI61" s="272"/>
      <c r="EJ61" s="272"/>
      <c r="EK61" s="272"/>
      <c r="EL61" s="272"/>
      <c r="EM61" s="272"/>
      <c r="EN61" s="272">
        <v>606512000</v>
      </c>
      <c r="EO61" s="272"/>
      <c r="EP61" s="272"/>
      <c r="EQ61" s="272"/>
      <c r="ER61" s="303">
        <f>SUM(ES61:ET61)</f>
        <v>4497290180</v>
      </c>
      <c r="ES61" s="303">
        <f>SUM(EU61:EV61)+EW61+SUM(EY61:FA61)+FJ61+FR61</f>
        <v>0</v>
      </c>
      <c r="ET61" s="303">
        <f>EX61+SUM(FB61:FI61)+SUM(FK61:FQ61)+SUM(FS61:FU61)</f>
        <v>4497290180</v>
      </c>
      <c r="EU61" s="272"/>
      <c r="EV61" s="272"/>
      <c r="EW61" s="272"/>
      <c r="EX61" s="272"/>
      <c r="EY61" s="272"/>
      <c r="EZ61" s="272"/>
      <c r="FA61" s="272"/>
      <c r="FB61" s="272">
        <v>4191536000</v>
      </c>
      <c r="FC61" s="272"/>
      <c r="FD61" s="272"/>
      <c r="FE61" s="272"/>
      <c r="FF61" s="272"/>
      <c r="FG61" s="272"/>
      <c r="FH61" s="272">
        <v>255129180</v>
      </c>
      <c r="FI61" s="272">
        <v>50625000</v>
      </c>
      <c r="FJ61" s="272"/>
      <c r="FK61" s="272"/>
      <c r="FL61" s="272"/>
      <c r="FM61" s="272"/>
      <c r="FN61" s="272"/>
      <c r="FO61" s="272"/>
      <c r="FP61" s="272"/>
      <c r="FQ61" s="272"/>
      <c r="FR61" s="272"/>
      <c r="FS61" s="272"/>
      <c r="FT61" s="272"/>
      <c r="FU61" s="272"/>
      <c r="FV61" s="303">
        <f>SUM(FW61:FX61)</f>
        <v>0</v>
      </c>
      <c r="FW61" s="303">
        <f>SUM(FY61:FY61)</f>
        <v>0</v>
      </c>
      <c r="FX61" s="303">
        <f>SUM(FZ61:GA61)</f>
        <v>0</v>
      </c>
      <c r="FY61" s="272"/>
      <c r="FZ61" s="272"/>
      <c r="GA61" s="272"/>
      <c r="GB61" s="303">
        <v>927709820</v>
      </c>
      <c r="GC61" s="328">
        <f>CP61/C61</f>
        <v>1</v>
      </c>
      <c r="GD61" s="328"/>
      <c r="GE61" s="328">
        <f>CW61/J61</f>
        <v>1</v>
      </c>
      <c r="GF61" s="328">
        <f>ER61/BE61</f>
        <v>0.82899358156682024</v>
      </c>
      <c r="GG61" s="328"/>
    </row>
    <row r="62" spans="1:189" s="264" customFormat="1" ht="17.25" customHeight="1">
      <c r="A62" s="227">
        <v>17</v>
      </c>
      <c r="B62" s="228" t="s">
        <v>391</v>
      </c>
      <c r="C62" s="270">
        <f t="shared" ref="C62:AI62" si="104">C63+C64</f>
        <v>1227533118</v>
      </c>
      <c r="D62" s="270">
        <f t="shared" si="104"/>
        <v>1227533118</v>
      </c>
      <c r="E62" s="270">
        <f t="shared" si="104"/>
        <v>0</v>
      </c>
      <c r="F62" s="229">
        <f t="shared" si="104"/>
        <v>0</v>
      </c>
      <c r="G62" s="229">
        <f t="shared" si="104"/>
        <v>0</v>
      </c>
      <c r="H62" s="229">
        <f t="shared" si="104"/>
        <v>0</v>
      </c>
      <c r="I62" s="229">
        <f t="shared" si="104"/>
        <v>0</v>
      </c>
      <c r="J62" s="270">
        <f t="shared" si="104"/>
        <v>1227533118</v>
      </c>
      <c r="K62" s="229">
        <f t="shared" si="104"/>
        <v>0</v>
      </c>
      <c r="L62" s="229">
        <f t="shared" si="104"/>
        <v>0</v>
      </c>
      <c r="M62" s="229">
        <f t="shared" si="104"/>
        <v>0</v>
      </c>
      <c r="N62" s="229">
        <f t="shared" si="104"/>
        <v>0</v>
      </c>
      <c r="O62" s="229">
        <f t="shared" si="104"/>
        <v>0</v>
      </c>
      <c r="P62" s="229">
        <f t="shared" si="104"/>
        <v>0</v>
      </c>
      <c r="Q62" s="229">
        <f t="shared" si="104"/>
        <v>0</v>
      </c>
      <c r="R62" s="229">
        <f t="shared" si="104"/>
        <v>0</v>
      </c>
      <c r="S62" s="229">
        <f t="shared" si="104"/>
        <v>0</v>
      </c>
      <c r="T62" s="229">
        <f t="shared" si="104"/>
        <v>0</v>
      </c>
      <c r="U62" s="229">
        <f t="shared" si="104"/>
        <v>0</v>
      </c>
      <c r="V62" s="229">
        <f t="shared" si="104"/>
        <v>0</v>
      </c>
      <c r="W62" s="229">
        <f t="shared" si="104"/>
        <v>0</v>
      </c>
      <c r="X62" s="229">
        <f t="shared" si="104"/>
        <v>0</v>
      </c>
      <c r="Y62" s="229">
        <f t="shared" si="104"/>
        <v>0</v>
      </c>
      <c r="Z62" s="229">
        <f t="shared" si="104"/>
        <v>1227533118</v>
      </c>
      <c r="AA62" s="229">
        <f t="shared" si="104"/>
        <v>0</v>
      </c>
      <c r="AB62" s="229">
        <f t="shared" si="104"/>
        <v>0</v>
      </c>
      <c r="AC62" s="229">
        <f t="shared" si="104"/>
        <v>0</v>
      </c>
      <c r="AD62" s="229">
        <f t="shared" si="104"/>
        <v>0</v>
      </c>
      <c r="AE62" s="229">
        <f t="shared" si="104"/>
        <v>0</v>
      </c>
      <c r="AF62" s="229">
        <f t="shared" si="104"/>
        <v>0</v>
      </c>
      <c r="AG62" s="229">
        <f t="shared" si="104"/>
        <v>0</v>
      </c>
      <c r="AH62" s="229">
        <f t="shared" si="104"/>
        <v>0</v>
      </c>
      <c r="AI62" s="229">
        <f t="shared" si="104"/>
        <v>0</v>
      </c>
      <c r="AJ62" s="229">
        <f t="shared" ref="AJ62:AO62" si="105">AJ63+AJ64</f>
        <v>0</v>
      </c>
      <c r="AK62" s="229">
        <f t="shared" si="105"/>
        <v>0</v>
      </c>
      <c r="AL62" s="229">
        <f t="shared" si="105"/>
        <v>0</v>
      </c>
      <c r="AM62" s="229">
        <f t="shared" si="105"/>
        <v>0</v>
      </c>
      <c r="AN62" s="229">
        <f t="shared" si="105"/>
        <v>0</v>
      </c>
      <c r="AO62" s="229">
        <f t="shared" si="105"/>
        <v>0</v>
      </c>
      <c r="AP62" s="229">
        <f t="shared" ref="AP62:AU62" si="106">AP63+AP64</f>
        <v>0</v>
      </c>
      <c r="AQ62" s="229">
        <f t="shared" si="106"/>
        <v>0</v>
      </c>
      <c r="AR62" s="229">
        <f t="shared" si="106"/>
        <v>0</v>
      </c>
      <c r="AS62" s="229">
        <f t="shared" si="106"/>
        <v>0</v>
      </c>
      <c r="AT62" s="229">
        <f t="shared" si="106"/>
        <v>0</v>
      </c>
      <c r="AU62" s="229">
        <f t="shared" si="106"/>
        <v>0</v>
      </c>
      <c r="AV62" s="229">
        <f>AV63+AV64</f>
        <v>0</v>
      </c>
      <c r="AW62" s="229">
        <f>AW63+AW64</f>
        <v>0</v>
      </c>
      <c r="AX62" s="229">
        <f t="shared" ref="AX62:CN62" si="107">AX63+AX64</f>
        <v>0</v>
      </c>
      <c r="AY62" s="229">
        <f t="shared" si="107"/>
        <v>0</v>
      </c>
      <c r="AZ62" s="229">
        <f t="shared" si="107"/>
        <v>0</v>
      </c>
      <c r="BA62" s="229">
        <f t="shared" si="107"/>
        <v>0</v>
      </c>
      <c r="BB62" s="229">
        <f t="shared" si="107"/>
        <v>0</v>
      </c>
      <c r="BC62" s="229">
        <f t="shared" si="107"/>
        <v>0</v>
      </c>
      <c r="BD62" s="229">
        <f t="shared" si="107"/>
        <v>0</v>
      </c>
      <c r="BE62" s="270">
        <f t="shared" si="107"/>
        <v>0</v>
      </c>
      <c r="BF62" s="270">
        <f t="shared" si="107"/>
        <v>0</v>
      </c>
      <c r="BG62" s="270">
        <f t="shared" si="107"/>
        <v>0</v>
      </c>
      <c r="BH62" s="229">
        <f t="shared" si="107"/>
        <v>0</v>
      </c>
      <c r="BI62" s="229">
        <f t="shared" si="107"/>
        <v>0</v>
      </c>
      <c r="BJ62" s="229">
        <f t="shared" si="107"/>
        <v>0</v>
      </c>
      <c r="BK62" s="229">
        <f t="shared" si="107"/>
        <v>0</v>
      </c>
      <c r="BL62" s="229">
        <f>BL63+BL64</f>
        <v>0</v>
      </c>
      <c r="BM62" s="229">
        <f>BM63+BM64</f>
        <v>0</v>
      </c>
      <c r="BN62" s="229">
        <f t="shared" si="107"/>
        <v>0</v>
      </c>
      <c r="BO62" s="229">
        <f t="shared" si="107"/>
        <v>0</v>
      </c>
      <c r="BP62" s="229">
        <f t="shared" si="107"/>
        <v>0</v>
      </c>
      <c r="BQ62" s="229">
        <f t="shared" si="107"/>
        <v>0</v>
      </c>
      <c r="BR62" s="229">
        <f t="shared" si="107"/>
        <v>0</v>
      </c>
      <c r="BS62" s="229">
        <f t="shared" si="107"/>
        <v>0</v>
      </c>
      <c r="BT62" s="229">
        <f t="shared" si="107"/>
        <v>0</v>
      </c>
      <c r="BU62" s="229">
        <f t="shared" si="107"/>
        <v>0</v>
      </c>
      <c r="BV62" s="229">
        <f t="shared" si="107"/>
        <v>0</v>
      </c>
      <c r="BW62" s="229">
        <f t="shared" si="107"/>
        <v>0</v>
      </c>
      <c r="BX62" s="229">
        <f t="shared" si="107"/>
        <v>0</v>
      </c>
      <c r="BY62" s="229">
        <f t="shared" si="107"/>
        <v>0</v>
      </c>
      <c r="BZ62" s="229">
        <f t="shared" si="107"/>
        <v>0</v>
      </c>
      <c r="CA62" s="229">
        <f t="shared" si="107"/>
        <v>0</v>
      </c>
      <c r="CB62" s="229">
        <f t="shared" si="107"/>
        <v>0</v>
      </c>
      <c r="CC62" s="229">
        <f t="shared" si="107"/>
        <v>0</v>
      </c>
      <c r="CD62" s="229">
        <f t="shared" si="107"/>
        <v>0</v>
      </c>
      <c r="CE62" s="229">
        <f t="shared" si="107"/>
        <v>0</v>
      </c>
      <c r="CF62" s="229">
        <f t="shared" si="107"/>
        <v>0</v>
      </c>
      <c r="CG62" s="229">
        <f t="shared" si="107"/>
        <v>0</v>
      </c>
      <c r="CH62" s="229">
        <f t="shared" si="107"/>
        <v>0</v>
      </c>
      <c r="CI62" s="270">
        <f t="shared" si="107"/>
        <v>0</v>
      </c>
      <c r="CJ62" s="270">
        <f t="shared" si="107"/>
        <v>0</v>
      </c>
      <c r="CK62" s="270">
        <f t="shared" si="107"/>
        <v>0</v>
      </c>
      <c r="CL62" s="229">
        <f t="shared" si="107"/>
        <v>0</v>
      </c>
      <c r="CM62" s="229">
        <f t="shared" si="107"/>
        <v>0</v>
      </c>
      <c r="CN62" s="229">
        <f t="shared" si="107"/>
        <v>0</v>
      </c>
      <c r="CO62" s="271" t="s">
        <v>391</v>
      </c>
      <c r="CP62" s="303">
        <f t="shared" ref="CP62:ER62" si="108">CP63+CP64</f>
        <v>1227533118</v>
      </c>
      <c r="CQ62" s="303">
        <f t="shared" si="108"/>
        <v>1227533118</v>
      </c>
      <c r="CR62" s="303">
        <f t="shared" si="108"/>
        <v>0</v>
      </c>
      <c r="CS62" s="272">
        <f t="shared" si="108"/>
        <v>0</v>
      </c>
      <c r="CT62" s="272">
        <f t="shared" si="108"/>
        <v>0</v>
      </c>
      <c r="CU62" s="272">
        <f t="shared" si="108"/>
        <v>0</v>
      </c>
      <c r="CV62" s="272">
        <f t="shared" si="108"/>
        <v>0</v>
      </c>
      <c r="CW62" s="303">
        <f t="shared" si="108"/>
        <v>1227533118</v>
      </c>
      <c r="CX62" s="272">
        <f t="shared" si="108"/>
        <v>0</v>
      </c>
      <c r="CY62" s="272">
        <f t="shared" si="108"/>
        <v>0</v>
      </c>
      <c r="CZ62" s="272">
        <f t="shared" si="108"/>
        <v>0</v>
      </c>
      <c r="DA62" s="272">
        <f t="shared" si="108"/>
        <v>0</v>
      </c>
      <c r="DB62" s="272">
        <f t="shared" si="108"/>
        <v>0</v>
      </c>
      <c r="DC62" s="272">
        <f t="shared" si="108"/>
        <v>0</v>
      </c>
      <c r="DD62" s="272">
        <f t="shared" si="108"/>
        <v>0</v>
      </c>
      <c r="DE62" s="272">
        <f t="shared" si="108"/>
        <v>0</v>
      </c>
      <c r="DF62" s="272">
        <f t="shared" si="108"/>
        <v>0</v>
      </c>
      <c r="DG62" s="272">
        <f t="shared" si="108"/>
        <v>0</v>
      </c>
      <c r="DH62" s="272">
        <f t="shared" si="108"/>
        <v>0</v>
      </c>
      <c r="DI62" s="272">
        <f t="shared" si="108"/>
        <v>0</v>
      </c>
      <c r="DJ62" s="272">
        <f t="shared" si="108"/>
        <v>0</v>
      </c>
      <c r="DK62" s="272">
        <f t="shared" si="108"/>
        <v>0</v>
      </c>
      <c r="DL62" s="272">
        <f t="shared" si="108"/>
        <v>0</v>
      </c>
      <c r="DM62" s="272">
        <f>DM63+DM64</f>
        <v>1227533118</v>
      </c>
      <c r="DN62" s="272">
        <f t="shared" si="108"/>
        <v>0</v>
      </c>
      <c r="DO62" s="272">
        <f t="shared" si="108"/>
        <v>0</v>
      </c>
      <c r="DP62" s="272">
        <f t="shared" si="108"/>
        <v>0</v>
      </c>
      <c r="DQ62" s="272">
        <f t="shared" si="108"/>
        <v>0</v>
      </c>
      <c r="DR62" s="272">
        <f t="shared" si="108"/>
        <v>0</v>
      </c>
      <c r="DS62" s="272">
        <f t="shared" si="108"/>
        <v>0</v>
      </c>
      <c r="DT62" s="272">
        <f t="shared" si="108"/>
        <v>0</v>
      </c>
      <c r="DU62" s="272">
        <f t="shared" si="108"/>
        <v>0</v>
      </c>
      <c r="DV62" s="272">
        <f t="shared" si="108"/>
        <v>0</v>
      </c>
      <c r="DW62" s="272">
        <f t="shared" si="108"/>
        <v>0</v>
      </c>
      <c r="DX62" s="272">
        <f t="shared" si="108"/>
        <v>0</v>
      </c>
      <c r="DY62" s="272">
        <f t="shared" si="108"/>
        <v>0</v>
      </c>
      <c r="DZ62" s="272">
        <f t="shared" si="108"/>
        <v>0</v>
      </c>
      <c r="EA62" s="272">
        <f t="shared" si="108"/>
        <v>0</v>
      </c>
      <c r="EB62" s="272">
        <f t="shared" si="108"/>
        <v>0</v>
      </c>
      <c r="EC62" s="272">
        <f t="shared" si="108"/>
        <v>0</v>
      </c>
      <c r="ED62" s="272">
        <f t="shared" si="108"/>
        <v>0</v>
      </c>
      <c r="EE62" s="272">
        <f t="shared" si="108"/>
        <v>0</v>
      </c>
      <c r="EF62" s="272">
        <f t="shared" si="108"/>
        <v>0</v>
      </c>
      <c r="EG62" s="272">
        <f t="shared" si="108"/>
        <v>0</v>
      </c>
      <c r="EH62" s="272">
        <f t="shared" si="108"/>
        <v>0</v>
      </c>
      <c r="EI62" s="272">
        <f>EI63+EI64</f>
        <v>0</v>
      </c>
      <c r="EJ62" s="272">
        <f>EJ63+EJ64</f>
        <v>0</v>
      </c>
      <c r="EK62" s="272">
        <f t="shared" si="108"/>
        <v>0</v>
      </c>
      <c r="EL62" s="272">
        <f t="shared" si="108"/>
        <v>0</v>
      </c>
      <c r="EM62" s="272">
        <f t="shared" si="108"/>
        <v>0</v>
      </c>
      <c r="EN62" s="272">
        <f t="shared" si="108"/>
        <v>0</v>
      </c>
      <c r="EO62" s="272">
        <f t="shared" si="108"/>
        <v>0</v>
      </c>
      <c r="EP62" s="272">
        <f t="shared" si="108"/>
        <v>0</v>
      </c>
      <c r="EQ62" s="272">
        <f t="shared" si="108"/>
        <v>0</v>
      </c>
      <c r="ER62" s="303">
        <f t="shared" si="108"/>
        <v>0</v>
      </c>
      <c r="ES62" s="303">
        <f t="shared" ref="ES62:GB62" si="109">ES63+ES64</f>
        <v>0</v>
      </c>
      <c r="ET62" s="303">
        <f t="shared" si="109"/>
        <v>0</v>
      </c>
      <c r="EU62" s="272">
        <f t="shared" si="109"/>
        <v>0</v>
      </c>
      <c r="EV62" s="272">
        <f t="shared" si="109"/>
        <v>0</v>
      </c>
      <c r="EW62" s="272">
        <f t="shared" si="109"/>
        <v>0</v>
      </c>
      <c r="EX62" s="272">
        <f t="shared" si="109"/>
        <v>0</v>
      </c>
      <c r="EY62" s="272">
        <f>EY63+EY64</f>
        <v>0</v>
      </c>
      <c r="EZ62" s="272">
        <f>EZ63+EZ64</f>
        <v>0</v>
      </c>
      <c r="FA62" s="272">
        <f t="shared" si="109"/>
        <v>0</v>
      </c>
      <c r="FB62" s="272">
        <f t="shared" si="109"/>
        <v>0</v>
      </c>
      <c r="FC62" s="272">
        <f t="shared" si="109"/>
        <v>0</v>
      </c>
      <c r="FD62" s="272">
        <f t="shared" si="109"/>
        <v>0</v>
      </c>
      <c r="FE62" s="272">
        <f t="shared" si="109"/>
        <v>0</v>
      </c>
      <c r="FF62" s="272">
        <f t="shared" si="109"/>
        <v>0</v>
      </c>
      <c r="FG62" s="272">
        <f t="shared" si="109"/>
        <v>0</v>
      </c>
      <c r="FH62" s="272">
        <f t="shared" si="109"/>
        <v>0</v>
      </c>
      <c r="FI62" s="272">
        <f t="shared" si="109"/>
        <v>0</v>
      </c>
      <c r="FJ62" s="272">
        <f t="shared" si="109"/>
        <v>0</v>
      </c>
      <c r="FK62" s="272">
        <f t="shared" si="109"/>
        <v>0</v>
      </c>
      <c r="FL62" s="272">
        <f t="shared" si="109"/>
        <v>0</v>
      </c>
      <c r="FM62" s="272">
        <f t="shared" si="109"/>
        <v>0</v>
      </c>
      <c r="FN62" s="272">
        <f t="shared" si="109"/>
        <v>0</v>
      </c>
      <c r="FO62" s="272">
        <f t="shared" si="109"/>
        <v>0</v>
      </c>
      <c r="FP62" s="272">
        <f t="shared" si="109"/>
        <v>0</v>
      </c>
      <c r="FQ62" s="272">
        <f t="shared" si="109"/>
        <v>0</v>
      </c>
      <c r="FR62" s="272">
        <f t="shared" si="109"/>
        <v>0</v>
      </c>
      <c r="FS62" s="272">
        <f t="shared" si="109"/>
        <v>0</v>
      </c>
      <c r="FT62" s="272">
        <f t="shared" si="109"/>
        <v>0</v>
      </c>
      <c r="FU62" s="272">
        <f t="shared" si="109"/>
        <v>0</v>
      </c>
      <c r="FV62" s="303">
        <f t="shared" si="109"/>
        <v>0</v>
      </c>
      <c r="FW62" s="303">
        <f t="shared" si="109"/>
        <v>0</v>
      </c>
      <c r="FX62" s="303">
        <f t="shared" si="109"/>
        <v>0</v>
      </c>
      <c r="FY62" s="272">
        <f t="shared" si="109"/>
        <v>0</v>
      </c>
      <c r="FZ62" s="272">
        <f t="shared" si="109"/>
        <v>0</v>
      </c>
      <c r="GA62" s="272">
        <f t="shared" si="109"/>
        <v>0</v>
      </c>
      <c r="GB62" s="303">
        <f t="shared" si="109"/>
        <v>0</v>
      </c>
      <c r="GC62" s="328">
        <f>CP62/C62</f>
        <v>1</v>
      </c>
      <c r="GD62" s="328"/>
      <c r="GE62" s="328">
        <f>CW62/J62</f>
        <v>1</v>
      </c>
      <c r="GF62" s="328"/>
      <c r="GG62" s="328"/>
    </row>
    <row r="63" spans="1:189" s="264" customFormat="1" ht="17.25" customHeight="1">
      <c r="A63" s="227"/>
      <c r="B63" s="228" t="s">
        <v>183</v>
      </c>
      <c r="C63" s="270">
        <f>D63+BE63+CI63</f>
        <v>0</v>
      </c>
      <c r="D63" s="270">
        <f>E63+J63</f>
        <v>0</v>
      </c>
      <c r="E63" s="270">
        <f>SUM(F63:I63)</f>
        <v>0</v>
      </c>
      <c r="F63" s="229"/>
      <c r="G63" s="229"/>
      <c r="H63" s="229"/>
      <c r="I63" s="229"/>
      <c r="J63" s="270">
        <f>SUM(K63:BD63)</f>
        <v>0</v>
      </c>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c r="AU63" s="229"/>
      <c r="AV63" s="229"/>
      <c r="AW63" s="229"/>
      <c r="AX63" s="229"/>
      <c r="AY63" s="229"/>
      <c r="AZ63" s="229"/>
      <c r="BA63" s="229"/>
      <c r="BB63" s="229"/>
      <c r="BC63" s="229"/>
      <c r="BD63" s="229"/>
      <c r="BE63" s="270">
        <f>SUM(BF63:BG63)</f>
        <v>0</v>
      </c>
      <c r="BF63" s="270">
        <f>SUM(BH63:BI63)+BJ63+BM63+BW63+CE63</f>
        <v>0</v>
      </c>
      <c r="BG63" s="270">
        <f>BK63+SUM(BO63:BV63)+SUM(BX63:CD63)+SUM(CF63:CH63)</f>
        <v>0</v>
      </c>
      <c r="BH63" s="229"/>
      <c r="BI63" s="229"/>
      <c r="BJ63" s="229"/>
      <c r="BK63" s="229"/>
      <c r="BL63" s="229"/>
      <c r="BM63" s="229"/>
      <c r="BN63" s="229"/>
      <c r="BO63" s="229"/>
      <c r="BP63" s="229"/>
      <c r="BQ63" s="229"/>
      <c r="BR63" s="229"/>
      <c r="BS63" s="229"/>
      <c r="BT63" s="229"/>
      <c r="BU63" s="229"/>
      <c r="BV63" s="229"/>
      <c r="BW63" s="229"/>
      <c r="BX63" s="229"/>
      <c r="BY63" s="229"/>
      <c r="BZ63" s="229"/>
      <c r="CA63" s="229"/>
      <c r="CB63" s="229"/>
      <c r="CC63" s="229"/>
      <c r="CD63" s="229"/>
      <c r="CE63" s="229"/>
      <c r="CF63" s="229"/>
      <c r="CG63" s="229"/>
      <c r="CH63" s="229"/>
      <c r="CI63" s="270">
        <f>SUM(CJ63:CK63)</f>
        <v>0</v>
      </c>
      <c r="CJ63" s="270">
        <f>SUM(CL63:CL63)</f>
        <v>0</v>
      </c>
      <c r="CK63" s="270">
        <f>SUM(CM63:CN63)</f>
        <v>0</v>
      </c>
      <c r="CL63" s="229"/>
      <c r="CM63" s="229"/>
      <c r="CN63" s="229"/>
      <c r="CO63" s="271" t="s">
        <v>183</v>
      </c>
      <c r="CP63" s="303">
        <f>CQ63+ER63+FV63+GB63</f>
        <v>0</v>
      </c>
      <c r="CQ63" s="303">
        <f>CR63+CW63</f>
        <v>0</v>
      </c>
      <c r="CR63" s="303">
        <f>SUM(CS63:CV63)</f>
        <v>0</v>
      </c>
      <c r="CS63" s="272"/>
      <c r="CT63" s="272"/>
      <c r="CU63" s="272"/>
      <c r="CV63" s="272"/>
      <c r="CW63" s="303">
        <f>SUM(CX63:EQ63)</f>
        <v>0</v>
      </c>
      <c r="CX63" s="272"/>
      <c r="CY63" s="272"/>
      <c r="CZ63" s="272"/>
      <c r="DA63" s="272"/>
      <c r="DB63" s="272"/>
      <c r="DC63" s="272"/>
      <c r="DD63" s="272"/>
      <c r="DE63" s="272"/>
      <c r="DF63" s="272"/>
      <c r="DG63" s="272"/>
      <c r="DH63" s="272"/>
      <c r="DI63" s="272"/>
      <c r="DJ63" s="272"/>
      <c r="DK63" s="272"/>
      <c r="DL63" s="272"/>
      <c r="DM63" s="272"/>
      <c r="DN63" s="272"/>
      <c r="DO63" s="272"/>
      <c r="DP63" s="272"/>
      <c r="DQ63" s="272"/>
      <c r="DR63" s="272"/>
      <c r="DS63" s="272"/>
      <c r="DT63" s="272"/>
      <c r="DU63" s="272"/>
      <c r="DV63" s="272"/>
      <c r="DW63" s="272"/>
      <c r="DX63" s="272"/>
      <c r="DY63" s="272"/>
      <c r="DZ63" s="272"/>
      <c r="EA63" s="272"/>
      <c r="EB63" s="272"/>
      <c r="EC63" s="272"/>
      <c r="ED63" s="272"/>
      <c r="EE63" s="272"/>
      <c r="EF63" s="272"/>
      <c r="EG63" s="272"/>
      <c r="EH63" s="272"/>
      <c r="EI63" s="272"/>
      <c r="EJ63" s="272"/>
      <c r="EK63" s="272"/>
      <c r="EL63" s="272"/>
      <c r="EM63" s="272"/>
      <c r="EN63" s="272"/>
      <c r="EO63" s="272"/>
      <c r="EP63" s="272"/>
      <c r="EQ63" s="272"/>
      <c r="ER63" s="303">
        <f>SUM(ES63:ET63)</f>
        <v>0</v>
      </c>
      <c r="ES63" s="303">
        <f>SUM(EU63:EV63)+EW63+EZ63+FJ63+FR63</f>
        <v>0</v>
      </c>
      <c r="ET63" s="303">
        <f>EX63+SUM(FB63:FI63)+SUM(FK63:FQ63)+SUM(FS63:FU63)</f>
        <v>0</v>
      </c>
      <c r="EU63" s="272"/>
      <c r="EV63" s="272"/>
      <c r="EW63" s="272"/>
      <c r="EX63" s="272"/>
      <c r="EY63" s="272"/>
      <c r="EZ63" s="272"/>
      <c r="FA63" s="272"/>
      <c r="FB63" s="272"/>
      <c r="FC63" s="272"/>
      <c r="FD63" s="272"/>
      <c r="FE63" s="272"/>
      <c r="FF63" s="272"/>
      <c r="FG63" s="272"/>
      <c r="FH63" s="272"/>
      <c r="FI63" s="272"/>
      <c r="FJ63" s="272"/>
      <c r="FK63" s="272"/>
      <c r="FL63" s="272"/>
      <c r="FM63" s="272"/>
      <c r="FN63" s="272"/>
      <c r="FO63" s="272"/>
      <c r="FP63" s="272"/>
      <c r="FQ63" s="272"/>
      <c r="FR63" s="272"/>
      <c r="FS63" s="272"/>
      <c r="FT63" s="272"/>
      <c r="FU63" s="272"/>
      <c r="FV63" s="303">
        <f>SUM(FW63:FX63)</f>
        <v>0</v>
      </c>
      <c r="FW63" s="303">
        <f>SUM(FY63:FY63)</f>
        <v>0</v>
      </c>
      <c r="FX63" s="303">
        <f>SUM(FZ63:GA63)</f>
        <v>0</v>
      </c>
      <c r="FY63" s="272"/>
      <c r="FZ63" s="272"/>
      <c r="GA63" s="272"/>
      <c r="GB63" s="303"/>
      <c r="GC63" s="328"/>
      <c r="GD63" s="328"/>
      <c r="GE63" s="328"/>
      <c r="GF63" s="328"/>
      <c r="GG63" s="328"/>
    </row>
    <row r="64" spans="1:189" s="264" customFormat="1" ht="17.25" customHeight="1">
      <c r="A64" s="227"/>
      <c r="B64" s="228" t="s">
        <v>184</v>
      </c>
      <c r="C64" s="270">
        <f>D64+BE64+CI64</f>
        <v>1227533118</v>
      </c>
      <c r="D64" s="270">
        <f>E64+J64</f>
        <v>1227533118</v>
      </c>
      <c r="E64" s="270">
        <f>SUM(F64:I64)</f>
        <v>0</v>
      </c>
      <c r="F64" s="229"/>
      <c r="G64" s="229"/>
      <c r="H64" s="229"/>
      <c r="I64" s="229"/>
      <c r="J64" s="270">
        <f>SUM(K64:BD64)</f>
        <v>1227533118</v>
      </c>
      <c r="K64" s="229"/>
      <c r="L64" s="229"/>
      <c r="M64" s="229"/>
      <c r="N64" s="229"/>
      <c r="O64" s="229"/>
      <c r="P64" s="229"/>
      <c r="Q64" s="229"/>
      <c r="R64" s="229"/>
      <c r="S64" s="229"/>
      <c r="T64" s="229"/>
      <c r="U64" s="229"/>
      <c r="V64" s="229"/>
      <c r="W64" s="229"/>
      <c r="X64" s="229"/>
      <c r="Y64" s="229"/>
      <c r="Z64" s="229">
        <v>1227533118</v>
      </c>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70">
        <f>SUM(BF64:BG64)</f>
        <v>0</v>
      </c>
      <c r="BF64" s="270">
        <f>SUM(BH64:BI64)+BJ64+BM64+BW64+CE64</f>
        <v>0</v>
      </c>
      <c r="BG64" s="270">
        <f>BK64+SUM(BO64:BV64)+SUM(BX64:CD64)+SUM(CF64:CH64)</f>
        <v>0</v>
      </c>
      <c r="BH64" s="229"/>
      <c r="BI64" s="229"/>
      <c r="BJ64" s="229"/>
      <c r="BK64" s="229"/>
      <c r="BL64" s="229"/>
      <c r="BM64" s="229"/>
      <c r="BN64" s="229"/>
      <c r="BO64" s="229"/>
      <c r="BP64" s="229"/>
      <c r="BQ64" s="229"/>
      <c r="BR64" s="229"/>
      <c r="BS64" s="229"/>
      <c r="BT64" s="229"/>
      <c r="BU64" s="229"/>
      <c r="BV64" s="229"/>
      <c r="BW64" s="229"/>
      <c r="BX64" s="229"/>
      <c r="BY64" s="229"/>
      <c r="BZ64" s="229"/>
      <c r="CA64" s="229"/>
      <c r="CB64" s="229"/>
      <c r="CC64" s="229"/>
      <c r="CD64" s="229"/>
      <c r="CE64" s="229"/>
      <c r="CF64" s="229"/>
      <c r="CG64" s="229"/>
      <c r="CH64" s="229"/>
      <c r="CI64" s="270">
        <f>SUM(CJ64:CK64)</f>
        <v>0</v>
      </c>
      <c r="CJ64" s="270">
        <f>SUM(CL64:CL64)</f>
        <v>0</v>
      </c>
      <c r="CK64" s="270">
        <f>SUM(CM64:CN64)</f>
        <v>0</v>
      </c>
      <c r="CL64" s="229"/>
      <c r="CM64" s="229"/>
      <c r="CN64" s="229"/>
      <c r="CO64" s="271" t="s">
        <v>184</v>
      </c>
      <c r="CP64" s="303">
        <f>CQ64+ER64+FV64+GB64</f>
        <v>1227533118</v>
      </c>
      <c r="CQ64" s="303">
        <f>CR64+CW64</f>
        <v>1227533118</v>
      </c>
      <c r="CR64" s="303">
        <f>SUM(CS64:CV64)</f>
        <v>0</v>
      </c>
      <c r="CS64" s="272"/>
      <c r="CT64" s="272"/>
      <c r="CU64" s="272"/>
      <c r="CV64" s="272"/>
      <c r="CW64" s="303">
        <f>SUM(CX64:EQ64)</f>
        <v>1227533118</v>
      </c>
      <c r="CX64" s="272"/>
      <c r="CY64" s="272"/>
      <c r="CZ64" s="272"/>
      <c r="DA64" s="272"/>
      <c r="DB64" s="272"/>
      <c r="DC64" s="272"/>
      <c r="DD64" s="272"/>
      <c r="DE64" s="272"/>
      <c r="DF64" s="272"/>
      <c r="DG64" s="272"/>
      <c r="DH64" s="272"/>
      <c r="DI64" s="272"/>
      <c r="DJ64" s="272"/>
      <c r="DK64" s="272"/>
      <c r="DL64" s="272"/>
      <c r="DM64" s="272">
        <v>1227533118</v>
      </c>
      <c r="DN64" s="272"/>
      <c r="DO64" s="272"/>
      <c r="DP64" s="272"/>
      <c r="DQ64" s="272"/>
      <c r="DR64" s="272"/>
      <c r="DS64" s="272"/>
      <c r="DT64" s="272"/>
      <c r="DU64" s="272"/>
      <c r="DV64" s="272"/>
      <c r="DW64" s="272"/>
      <c r="DX64" s="272"/>
      <c r="DY64" s="272"/>
      <c r="DZ64" s="272"/>
      <c r="EA64" s="272"/>
      <c r="EB64" s="272"/>
      <c r="EC64" s="272"/>
      <c r="ED64" s="272"/>
      <c r="EE64" s="272"/>
      <c r="EF64" s="272"/>
      <c r="EG64" s="272"/>
      <c r="EH64" s="272"/>
      <c r="EI64" s="272"/>
      <c r="EJ64" s="272"/>
      <c r="EK64" s="272"/>
      <c r="EL64" s="272"/>
      <c r="EM64" s="272"/>
      <c r="EN64" s="272"/>
      <c r="EO64" s="272"/>
      <c r="EP64" s="272"/>
      <c r="EQ64" s="272"/>
      <c r="ER64" s="303">
        <f>SUM(ES64:ET64)</f>
        <v>0</v>
      </c>
      <c r="ES64" s="303">
        <f>SUM(EU64:EV64)+EW64+EZ64+FJ64+FR64</f>
        <v>0</v>
      </c>
      <c r="ET64" s="303">
        <f>EX64+SUM(FB64:FI64)+SUM(FK64:FQ64)+SUM(FS64:FU64)</f>
        <v>0</v>
      </c>
      <c r="EU64" s="272"/>
      <c r="EV64" s="272"/>
      <c r="EW64" s="272"/>
      <c r="EX64" s="272"/>
      <c r="EY64" s="272"/>
      <c r="EZ64" s="272"/>
      <c r="FA64" s="272"/>
      <c r="FB64" s="272"/>
      <c r="FC64" s="272"/>
      <c r="FD64" s="272"/>
      <c r="FE64" s="272"/>
      <c r="FF64" s="272"/>
      <c r="FG64" s="272"/>
      <c r="FH64" s="272"/>
      <c r="FI64" s="272"/>
      <c r="FJ64" s="272"/>
      <c r="FK64" s="272"/>
      <c r="FL64" s="272"/>
      <c r="FM64" s="272"/>
      <c r="FN64" s="272"/>
      <c r="FO64" s="272"/>
      <c r="FP64" s="272"/>
      <c r="FQ64" s="272"/>
      <c r="FR64" s="272"/>
      <c r="FS64" s="272"/>
      <c r="FT64" s="272"/>
      <c r="FU64" s="272"/>
      <c r="FV64" s="303">
        <f>SUM(FW64:FX64)</f>
        <v>0</v>
      </c>
      <c r="FW64" s="303">
        <f>SUM(FY64:FY64)</f>
        <v>0</v>
      </c>
      <c r="FX64" s="303">
        <f>SUM(FZ64:GA64)</f>
        <v>0</v>
      </c>
      <c r="FY64" s="272"/>
      <c r="FZ64" s="272"/>
      <c r="GA64" s="272"/>
      <c r="GB64" s="303"/>
      <c r="GC64" s="328">
        <f>CP64/C64</f>
        <v>1</v>
      </c>
      <c r="GD64" s="328"/>
      <c r="GE64" s="328">
        <f>CW64/J64</f>
        <v>1</v>
      </c>
      <c r="GF64" s="328"/>
      <c r="GG64" s="328"/>
    </row>
    <row r="65" spans="1:189" s="264" customFormat="1" ht="17.25" customHeight="1">
      <c r="A65" s="227">
        <v>18</v>
      </c>
      <c r="B65" s="228" t="s">
        <v>340</v>
      </c>
      <c r="C65" s="270">
        <f t="shared" ref="C65:AI65" si="110">C66+C67</f>
        <v>5652356019</v>
      </c>
      <c r="D65" s="270">
        <f t="shared" si="110"/>
        <v>4541356019</v>
      </c>
      <c r="E65" s="270">
        <f t="shared" si="110"/>
        <v>0</v>
      </c>
      <c r="F65" s="229">
        <f t="shared" si="110"/>
        <v>0</v>
      </c>
      <c r="G65" s="229">
        <f t="shared" si="110"/>
        <v>0</v>
      </c>
      <c r="H65" s="229">
        <f t="shared" si="110"/>
        <v>0</v>
      </c>
      <c r="I65" s="229">
        <f t="shared" si="110"/>
        <v>0</v>
      </c>
      <c r="J65" s="270">
        <f t="shared" si="110"/>
        <v>4541356019</v>
      </c>
      <c r="K65" s="229">
        <f t="shared" si="110"/>
        <v>0</v>
      </c>
      <c r="L65" s="229">
        <f t="shared" si="110"/>
        <v>0</v>
      </c>
      <c r="M65" s="229">
        <f t="shared" si="110"/>
        <v>0</v>
      </c>
      <c r="N65" s="229">
        <f t="shared" si="110"/>
        <v>0</v>
      </c>
      <c r="O65" s="229">
        <f t="shared" si="110"/>
        <v>0</v>
      </c>
      <c r="P65" s="229">
        <f t="shared" si="110"/>
        <v>0</v>
      </c>
      <c r="Q65" s="229">
        <f t="shared" si="110"/>
        <v>0</v>
      </c>
      <c r="R65" s="229">
        <f t="shared" si="110"/>
        <v>0</v>
      </c>
      <c r="S65" s="229">
        <f t="shared" si="110"/>
        <v>0</v>
      </c>
      <c r="T65" s="229">
        <f t="shared" si="110"/>
        <v>0</v>
      </c>
      <c r="U65" s="229">
        <f t="shared" si="110"/>
        <v>0</v>
      </c>
      <c r="V65" s="229">
        <f t="shared" si="110"/>
        <v>0</v>
      </c>
      <c r="W65" s="229">
        <f t="shared" si="110"/>
        <v>0</v>
      </c>
      <c r="X65" s="229">
        <f t="shared" si="110"/>
        <v>0</v>
      </c>
      <c r="Y65" s="229">
        <f t="shared" si="110"/>
        <v>0</v>
      </c>
      <c r="Z65" s="229">
        <f t="shared" si="110"/>
        <v>31450000</v>
      </c>
      <c r="AA65" s="229">
        <f t="shared" si="110"/>
        <v>0</v>
      </c>
      <c r="AB65" s="229">
        <f t="shared" si="110"/>
        <v>0</v>
      </c>
      <c r="AC65" s="229">
        <f t="shared" si="110"/>
        <v>0</v>
      </c>
      <c r="AD65" s="229">
        <f t="shared" si="110"/>
        <v>0</v>
      </c>
      <c r="AE65" s="229">
        <f t="shared" si="110"/>
        <v>0</v>
      </c>
      <c r="AF65" s="229">
        <f t="shared" si="110"/>
        <v>0</v>
      </c>
      <c r="AG65" s="229">
        <f t="shared" si="110"/>
        <v>0</v>
      </c>
      <c r="AH65" s="229">
        <f t="shared" si="110"/>
        <v>0</v>
      </c>
      <c r="AI65" s="229">
        <f t="shared" si="110"/>
        <v>0</v>
      </c>
      <c r="AJ65" s="229">
        <f t="shared" ref="AJ65:AO65" si="111">AJ66+AJ67</f>
        <v>0</v>
      </c>
      <c r="AK65" s="229">
        <f t="shared" si="111"/>
        <v>0</v>
      </c>
      <c r="AL65" s="229">
        <f t="shared" si="111"/>
        <v>0</v>
      </c>
      <c r="AM65" s="229">
        <f t="shared" si="111"/>
        <v>0</v>
      </c>
      <c r="AN65" s="229">
        <f t="shared" si="111"/>
        <v>0</v>
      </c>
      <c r="AO65" s="229">
        <f t="shared" si="111"/>
        <v>0</v>
      </c>
      <c r="AP65" s="229">
        <f t="shared" ref="AP65:AU65" si="112">AP66+AP67</f>
        <v>0</v>
      </c>
      <c r="AQ65" s="229">
        <f t="shared" si="112"/>
        <v>0</v>
      </c>
      <c r="AR65" s="229">
        <f t="shared" si="112"/>
        <v>0</v>
      </c>
      <c r="AS65" s="229">
        <f t="shared" si="112"/>
        <v>0</v>
      </c>
      <c r="AT65" s="229">
        <f t="shared" si="112"/>
        <v>0</v>
      </c>
      <c r="AU65" s="229">
        <f t="shared" si="112"/>
        <v>0</v>
      </c>
      <c r="AV65" s="229">
        <f>AV66+AV67</f>
        <v>0</v>
      </c>
      <c r="AW65" s="229">
        <f>AW66+AW67</f>
        <v>0</v>
      </c>
      <c r="AX65" s="229">
        <f t="shared" ref="AX65:CN65" si="113">AX66+AX67</f>
        <v>0</v>
      </c>
      <c r="AY65" s="229">
        <f t="shared" si="113"/>
        <v>0</v>
      </c>
      <c r="AZ65" s="229">
        <f t="shared" si="113"/>
        <v>0</v>
      </c>
      <c r="BA65" s="229">
        <f t="shared" si="113"/>
        <v>4350533569</v>
      </c>
      <c r="BB65" s="229">
        <f t="shared" si="113"/>
        <v>159372450</v>
      </c>
      <c r="BC65" s="229">
        <f t="shared" si="113"/>
        <v>0</v>
      </c>
      <c r="BD65" s="229">
        <f t="shared" si="113"/>
        <v>0</v>
      </c>
      <c r="BE65" s="270">
        <f t="shared" si="113"/>
        <v>1111000000</v>
      </c>
      <c r="BF65" s="270">
        <f t="shared" si="113"/>
        <v>0</v>
      </c>
      <c r="BG65" s="270">
        <f t="shared" si="113"/>
        <v>1111000000</v>
      </c>
      <c r="BH65" s="229">
        <f t="shared" si="113"/>
        <v>0</v>
      </c>
      <c r="BI65" s="229">
        <f t="shared" si="113"/>
        <v>0</v>
      </c>
      <c r="BJ65" s="229">
        <f t="shared" si="113"/>
        <v>0</v>
      </c>
      <c r="BK65" s="229">
        <f t="shared" si="113"/>
        <v>0</v>
      </c>
      <c r="BL65" s="229">
        <f>BL66+BL67</f>
        <v>0</v>
      </c>
      <c r="BM65" s="229">
        <f>BM66+BM67</f>
        <v>0</v>
      </c>
      <c r="BN65" s="229">
        <f t="shared" si="113"/>
        <v>0</v>
      </c>
      <c r="BO65" s="229">
        <f t="shared" si="113"/>
        <v>0</v>
      </c>
      <c r="BP65" s="229">
        <f t="shared" si="113"/>
        <v>0</v>
      </c>
      <c r="BQ65" s="229">
        <f t="shared" si="113"/>
        <v>0</v>
      </c>
      <c r="BR65" s="229">
        <f t="shared" si="113"/>
        <v>0</v>
      </c>
      <c r="BS65" s="229">
        <f t="shared" si="113"/>
        <v>0</v>
      </c>
      <c r="BT65" s="229">
        <f t="shared" si="113"/>
        <v>1111000000</v>
      </c>
      <c r="BU65" s="229">
        <f t="shared" si="113"/>
        <v>0</v>
      </c>
      <c r="BV65" s="229">
        <f t="shared" si="113"/>
        <v>0</v>
      </c>
      <c r="BW65" s="229">
        <f t="shared" si="113"/>
        <v>0</v>
      </c>
      <c r="BX65" s="229">
        <f t="shared" si="113"/>
        <v>0</v>
      </c>
      <c r="BY65" s="229">
        <f t="shared" si="113"/>
        <v>0</v>
      </c>
      <c r="BZ65" s="229">
        <f t="shared" si="113"/>
        <v>0</v>
      </c>
      <c r="CA65" s="229">
        <f t="shared" si="113"/>
        <v>0</v>
      </c>
      <c r="CB65" s="229">
        <f t="shared" si="113"/>
        <v>0</v>
      </c>
      <c r="CC65" s="229">
        <f t="shared" si="113"/>
        <v>0</v>
      </c>
      <c r="CD65" s="229">
        <f t="shared" si="113"/>
        <v>0</v>
      </c>
      <c r="CE65" s="229">
        <f t="shared" si="113"/>
        <v>0</v>
      </c>
      <c r="CF65" s="229">
        <f t="shared" si="113"/>
        <v>0</v>
      </c>
      <c r="CG65" s="229">
        <f t="shared" si="113"/>
        <v>0</v>
      </c>
      <c r="CH65" s="229">
        <f t="shared" si="113"/>
        <v>0</v>
      </c>
      <c r="CI65" s="270">
        <f t="shared" si="113"/>
        <v>0</v>
      </c>
      <c r="CJ65" s="270">
        <f t="shared" si="113"/>
        <v>0</v>
      </c>
      <c r="CK65" s="270">
        <f t="shared" si="113"/>
        <v>0</v>
      </c>
      <c r="CL65" s="229">
        <f t="shared" si="113"/>
        <v>0</v>
      </c>
      <c r="CM65" s="229">
        <f t="shared" si="113"/>
        <v>0</v>
      </c>
      <c r="CN65" s="229">
        <f t="shared" si="113"/>
        <v>0</v>
      </c>
      <c r="CO65" s="271" t="s">
        <v>186</v>
      </c>
      <c r="CP65" s="303">
        <f t="shared" ref="CP65:ER65" si="114">CP66+CP67</f>
        <v>5652356019</v>
      </c>
      <c r="CQ65" s="303">
        <f t="shared" si="114"/>
        <v>4541356019</v>
      </c>
      <c r="CR65" s="303">
        <f t="shared" si="114"/>
        <v>0</v>
      </c>
      <c r="CS65" s="272">
        <f t="shared" si="114"/>
        <v>0</v>
      </c>
      <c r="CT65" s="272">
        <f t="shared" si="114"/>
        <v>0</v>
      </c>
      <c r="CU65" s="272">
        <f t="shared" si="114"/>
        <v>0</v>
      </c>
      <c r="CV65" s="272">
        <f t="shared" si="114"/>
        <v>0</v>
      </c>
      <c r="CW65" s="303">
        <f t="shared" si="114"/>
        <v>4541356019</v>
      </c>
      <c r="CX65" s="272">
        <f t="shared" si="114"/>
        <v>0</v>
      </c>
      <c r="CY65" s="272">
        <f t="shared" si="114"/>
        <v>0</v>
      </c>
      <c r="CZ65" s="272">
        <f t="shared" si="114"/>
        <v>0</v>
      </c>
      <c r="DA65" s="272">
        <f t="shared" si="114"/>
        <v>0</v>
      </c>
      <c r="DB65" s="272">
        <f t="shared" si="114"/>
        <v>0</v>
      </c>
      <c r="DC65" s="272">
        <f t="shared" si="114"/>
        <v>0</v>
      </c>
      <c r="DD65" s="272">
        <f t="shared" si="114"/>
        <v>0</v>
      </c>
      <c r="DE65" s="272">
        <f t="shared" si="114"/>
        <v>0</v>
      </c>
      <c r="DF65" s="272">
        <f t="shared" si="114"/>
        <v>0</v>
      </c>
      <c r="DG65" s="272">
        <f t="shared" si="114"/>
        <v>0</v>
      </c>
      <c r="DH65" s="272">
        <f t="shared" si="114"/>
        <v>0</v>
      </c>
      <c r="DI65" s="272">
        <f t="shared" si="114"/>
        <v>0</v>
      </c>
      <c r="DJ65" s="272">
        <f t="shared" si="114"/>
        <v>0</v>
      </c>
      <c r="DK65" s="272">
        <f t="shared" si="114"/>
        <v>0</v>
      </c>
      <c r="DL65" s="272">
        <f t="shared" si="114"/>
        <v>0</v>
      </c>
      <c r="DM65" s="272">
        <f>DM66+DM67</f>
        <v>31450000</v>
      </c>
      <c r="DN65" s="272">
        <f t="shared" si="114"/>
        <v>0</v>
      </c>
      <c r="DO65" s="272">
        <f t="shared" si="114"/>
        <v>0</v>
      </c>
      <c r="DP65" s="272">
        <f t="shared" si="114"/>
        <v>0</v>
      </c>
      <c r="DQ65" s="272">
        <f t="shared" si="114"/>
        <v>0</v>
      </c>
      <c r="DR65" s="272">
        <f t="shared" si="114"/>
        <v>0</v>
      </c>
      <c r="DS65" s="272">
        <f t="shared" si="114"/>
        <v>0</v>
      </c>
      <c r="DT65" s="272">
        <f t="shared" si="114"/>
        <v>0</v>
      </c>
      <c r="DU65" s="272">
        <f t="shared" si="114"/>
        <v>0</v>
      </c>
      <c r="DV65" s="272">
        <f t="shared" si="114"/>
        <v>0</v>
      </c>
      <c r="DW65" s="272">
        <f t="shared" si="114"/>
        <v>0</v>
      </c>
      <c r="DX65" s="272">
        <f t="shared" si="114"/>
        <v>0</v>
      </c>
      <c r="DY65" s="272">
        <f t="shared" si="114"/>
        <v>0</v>
      </c>
      <c r="DZ65" s="272">
        <f t="shared" si="114"/>
        <v>0</v>
      </c>
      <c r="EA65" s="272">
        <f t="shared" si="114"/>
        <v>0</v>
      </c>
      <c r="EB65" s="272">
        <f t="shared" si="114"/>
        <v>0</v>
      </c>
      <c r="EC65" s="272">
        <f t="shared" si="114"/>
        <v>0</v>
      </c>
      <c r="ED65" s="272">
        <f t="shared" si="114"/>
        <v>0</v>
      </c>
      <c r="EE65" s="272">
        <f t="shared" si="114"/>
        <v>0</v>
      </c>
      <c r="EF65" s="272">
        <f t="shared" si="114"/>
        <v>0</v>
      </c>
      <c r="EG65" s="272">
        <f t="shared" si="114"/>
        <v>0</v>
      </c>
      <c r="EH65" s="272">
        <f t="shared" si="114"/>
        <v>0</v>
      </c>
      <c r="EI65" s="272">
        <f>EI66+EI67</f>
        <v>0</v>
      </c>
      <c r="EJ65" s="272">
        <f>EJ66+EJ67</f>
        <v>0</v>
      </c>
      <c r="EK65" s="272">
        <f t="shared" si="114"/>
        <v>0</v>
      </c>
      <c r="EL65" s="272">
        <f t="shared" si="114"/>
        <v>0</v>
      </c>
      <c r="EM65" s="272">
        <f t="shared" si="114"/>
        <v>0</v>
      </c>
      <c r="EN65" s="272">
        <f t="shared" si="114"/>
        <v>4350533569</v>
      </c>
      <c r="EO65" s="272">
        <f t="shared" si="114"/>
        <v>159372450</v>
      </c>
      <c r="EP65" s="272">
        <f t="shared" si="114"/>
        <v>0</v>
      </c>
      <c r="EQ65" s="272">
        <f t="shared" si="114"/>
        <v>0</v>
      </c>
      <c r="ER65" s="303">
        <f t="shared" si="114"/>
        <v>340256510</v>
      </c>
      <c r="ES65" s="303">
        <f t="shared" ref="ES65:GB65" si="115">ES66+ES67</f>
        <v>0</v>
      </c>
      <c r="ET65" s="303">
        <f t="shared" si="115"/>
        <v>340256510</v>
      </c>
      <c r="EU65" s="272">
        <f t="shared" si="115"/>
        <v>0</v>
      </c>
      <c r="EV65" s="272">
        <f t="shared" si="115"/>
        <v>0</v>
      </c>
      <c r="EW65" s="272">
        <f t="shared" si="115"/>
        <v>0</v>
      </c>
      <c r="EX65" s="272">
        <f t="shared" si="115"/>
        <v>0</v>
      </c>
      <c r="EY65" s="272">
        <f>EY66+EY67</f>
        <v>0</v>
      </c>
      <c r="EZ65" s="272">
        <f>EZ66+EZ67</f>
        <v>0</v>
      </c>
      <c r="FA65" s="272">
        <f t="shared" si="115"/>
        <v>0</v>
      </c>
      <c r="FB65" s="272">
        <f t="shared" si="115"/>
        <v>0</v>
      </c>
      <c r="FC65" s="272">
        <f t="shared" si="115"/>
        <v>0</v>
      </c>
      <c r="FD65" s="272">
        <f t="shared" si="115"/>
        <v>0</v>
      </c>
      <c r="FE65" s="272">
        <f t="shared" si="115"/>
        <v>0</v>
      </c>
      <c r="FF65" s="272">
        <f t="shared" si="115"/>
        <v>0</v>
      </c>
      <c r="FG65" s="272">
        <f t="shared" si="115"/>
        <v>340256510</v>
      </c>
      <c r="FH65" s="272">
        <f t="shared" si="115"/>
        <v>0</v>
      </c>
      <c r="FI65" s="272">
        <f t="shared" si="115"/>
        <v>0</v>
      </c>
      <c r="FJ65" s="272">
        <f t="shared" si="115"/>
        <v>0</v>
      </c>
      <c r="FK65" s="272">
        <f t="shared" si="115"/>
        <v>0</v>
      </c>
      <c r="FL65" s="272">
        <f t="shared" si="115"/>
        <v>0</v>
      </c>
      <c r="FM65" s="272">
        <f t="shared" si="115"/>
        <v>0</v>
      </c>
      <c r="FN65" s="272">
        <f t="shared" si="115"/>
        <v>0</v>
      </c>
      <c r="FO65" s="272">
        <f t="shared" si="115"/>
        <v>0</v>
      </c>
      <c r="FP65" s="272">
        <f t="shared" si="115"/>
        <v>0</v>
      </c>
      <c r="FQ65" s="272">
        <f t="shared" si="115"/>
        <v>0</v>
      </c>
      <c r="FR65" s="272">
        <f t="shared" si="115"/>
        <v>0</v>
      </c>
      <c r="FS65" s="272">
        <f t="shared" si="115"/>
        <v>0</v>
      </c>
      <c r="FT65" s="272">
        <f t="shared" si="115"/>
        <v>0</v>
      </c>
      <c r="FU65" s="272">
        <f t="shared" si="115"/>
        <v>0</v>
      </c>
      <c r="FV65" s="303">
        <f t="shared" si="115"/>
        <v>0</v>
      </c>
      <c r="FW65" s="303">
        <f t="shared" si="115"/>
        <v>0</v>
      </c>
      <c r="FX65" s="303">
        <f t="shared" si="115"/>
        <v>0</v>
      </c>
      <c r="FY65" s="272">
        <f t="shared" si="115"/>
        <v>0</v>
      </c>
      <c r="FZ65" s="272">
        <f t="shared" si="115"/>
        <v>0</v>
      </c>
      <c r="GA65" s="272">
        <f t="shared" si="115"/>
        <v>0</v>
      </c>
      <c r="GB65" s="303">
        <f t="shared" si="115"/>
        <v>770743490</v>
      </c>
      <c r="GC65" s="328">
        <f>CP65/C65</f>
        <v>1</v>
      </c>
      <c r="GD65" s="328"/>
      <c r="GE65" s="328">
        <f>CW65/J65</f>
        <v>1</v>
      </c>
      <c r="GF65" s="328">
        <f>ER65/BE65</f>
        <v>0.30626148514851487</v>
      </c>
      <c r="GG65" s="328"/>
    </row>
    <row r="66" spans="1:189" s="264" customFormat="1" ht="17.25" customHeight="1">
      <c r="A66" s="227"/>
      <c r="B66" s="228" t="s">
        <v>183</v>
      </c>
      <c r="C66" s="270">
        <f>D66+BE66+CI66</f>
        <v>0</v>
      </c>
      <c r="D66" s="270">
        <f>E66+J66</f>
        <v>0</v>
      </c>
      <c r="E66" s="270">
        <f>SUM(F66:I66)</f>
        <v>0</v>
      </c>
      <c r="F66" s="229"/>
      <c r="G66" s="229"/>
      <c r="H66" s="229"/>
      <c r="I66" s="229"/>
      <c r="J66" s="270">
        <f>SUM(K66:BD66)</f>
        <v>0</v>
      </c>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29"/>
      <c r="AY66" s="229"/>
      <c r="AZ66" s="229"/>
      <c r="BA66" s="229"/>
      <c r="BB66" s="229"/>
      <c r="BC66" s="229"/>
      <c r="BD66" s="229"/>
      <c r="BE66" s="270">
        <f>SUM(BF66:BG66)</f>
        <v>0</v>
      </c>
      <c r="BF66" s="270">
        <f>SUM(BH66:BI66)+BJ66+SUM(BL66:BN66)+BW66+CE66</f>
        <v>0</v>
      </c>
      <c r="BG66" s="270">
        <f>BK66+SUM(BO66:BV66)+SUM(BX66:CD66)+SUM(CF66:CH66)</f>
        <v>0</v>
      </c>
      <c r="BH66" s="229"/>
      <c r="BI66" s="229"/>
      <c r="BJ66" s="229"/>
      <c r="BK66" s="229"/>
      <c r="BL66" s="229"/>
      <c r="BM66" s="229"/>
      <c r="BN66" s="229"/>
      <c r="BO66" s="229"/>
      <c r="BP66" s="229"/>
      <c r="BQ66" s="229"/>
      <c r="BR66" s="229"/>
      <c r="BS66" s="229"/>
      <c r="BT66" s="229"/>
      <c r="BU66" s="229"/>
      <c r="BV66" s="229"/>
      <c r="BW66" s="229"/>
      <c r="BX66" s="229"/>
      <c r="BY66" s="229"/>
      <c r="BZ66" s="229"/>
      <c r="CA66" s="229"/>
      <c r="CB66" s="229"/>
      <c r="CC66" s="229"/>
      <c r="CD66" s="229"/>
      <c r="CE66" s="229"/>
      <c r="CF66" s="229"/>
      <c r="CG66" s="229"/>
      <c r="CH66" s="229"/>
      <c r="CI66" s="270">
        <f>SUM(CJ66:CK66)</f>
        <v>0</v>
      </c>
      <c r="CJ66" s="270">
        <f>SUM(CL66:CL66)</f>
        <v>0</v>
      </c>
      <c r="CK66" s="270">
        <f>SUM(CM66:CN66)</f>
        <v>0</v>
      </c>
      <c r="CL66" s="229"/>
      <c r="CM66" s="229"/>
      <c r="CN66" s="229"/>
      <c r="CO66" s="271" t="s">
        <v>183</v>
      </c>
      <c r="CP66" s="303">
        <f>CQ66+ER66+FV66+GB66</f>
        <v>0</v>
      </c>
      <c r="CQ66" s="303">
        <f>CR66+CW66</f>
        <v>0</v>
      </c>
      <c r="CR66" s="303">
        <f>SUM(CS66:CV66)</f>
        <v>0</v>
      </c>
      <c r="CS66" s="272"/>
      <c r="CT66" s="272"/>
      <c r="CU66" s="272"/>
      <c r="CV66" s="272"/>
      <c r="CW66" s="303">
        <f>SUM(CX66:EQ66)</f>
        <v>0</v>
      </c>
      <c r="CX66" s="272"/>
      <c r="CY66" s="272"/>
      <c r="CZ66" s="272"/>
      <c r="DA66" s="272"/>
      <c r="DB66" s="272"/>
      <c r="DC66" s="272"/>
      <c r="DD66" s="272"/>
      <c r="DE66" s="272"/>
      <c r="DF66" s="272"/>
      <c r="DG66" s="272"/>
      <c r="DH66" s="272"/>
      <c r="DI66" s="272"/>
      <c r="DJ66" s="272"/>
      <c r="DK66" s="272"/>
      <c r="DL66" s="272"/>
      <c r="DM66" s="272"/>
      <c r="DN66" s="272"/>
      <c r="DO66" s="272"/>
      <c r="DP66" s="272"/>
      <c r="DQ66" s="272"/>
      <c r="DR66" s="272"/>
      <c r="DS66" s="272"/>
      <c r="DT66" s="272"/>
      <c r="DU66" s="272"/>
      <c r="DV66" s="272"/>
      <c r="DW66" s="272"/>
      <c r="DX66" s="272"/>
      <c r="DY66" s="272"/>
      <c r="DZ66" s="272"/>
      <c r="EA66" s="272"/>
      <c r="EB66" s="272"/>
      <c r="EC66" s="272"/>
      <c r="ED66" s="272"/>
      <c r="EE66" s="272"/>
      <c r="EF66" s="272"/>
      <c r="EG66" s="272"/>
      <c r="EH66" s="272"/>
      <c r="EI66" s="272"/>
      <c r="EJ66" s="272"/>
      <c r="EK66" s="272"/>
      <c r="EL66" s="272"/>
      <c r="EM66" s="272"/>
      <c r="EN66" s="272"/>
      <c r="EO66" s="272"/>
      <c r="EP66" s="272"/>
      <c r="EQ66" s="272"/>
      <c r="ER66" s="303">
        <f>SUM(ES66:ET66)</f>
        <v>0</v>
      </c>
      <c r="ES66" s="303">
        <f>SUM(EU66:EV66)+EW66+SUM(EY66:FA66)+FJ66+FR66</f>
        <v>0</v>
      </c>
      <c r="ET66" s="303">
        <f>EX66+SUM(FB66:FI66)+SUM(FK66:FQ66)+SUM(FS66:FU66)</f>
        <v>0</v>
      </c>
      <c r="EU66" s="272"/>
      <c r="EV66" s="272"/>
      <c r="EW66" s="272"/>
      <c r="EX66" s="272"/>
      <c r="EY66" s="272"/>
      <c r="EZ66" s="272"/>
      <c r="FA66" s="272"/>
      <c r="FB66" s="272"/>
      <c r="FC66" s="272"/>
      <c r="FD66" s="272"/>
      <c r="FE66" s="272"/>
      <c r="FF66" s="272"/>
      <c r="FG66" s="272"/>
      <c r="FH66" s="272"/>
      <c r="FI66" s="272"/>
      <c r="FJ66" s="272"/>
      <c r="FK66" s="272"/>
      <c r="FL66" s="272"/>
      <c r="FM66" s="272"/>
      <c r="FN66" s="272"/>
      <c r="FO66" s="272"/>
      <c r="FP66" s="272"/>
      <c r="FQ66" s="272"/>
      <c r="FR66" s="272"/>
      <c r="FS66" s="272"/>
      <c r="FT66" s="272"/>
      <c r="FU66" s="272"/>
      <c r="FV66" s="303">
        <f>SUM(FW66:FX66)</f>
        <v>0</v>
      </c>
      <c r="FW66" s="303">
        <f>SUM(FY66:FY66)</f>
        <v>0</v>
      </c>
      <c r="FX66" s="303">
        <f>SUM(FZ66:GA66)</f>
        <v>0</v>
      </c>
      <c r="FY66" s="272"/>
      <c r="FZ66" s="272"/>
      <c r="GA66" s="272"/>
      <c r="GB66" s="303"/>
      <c r="GC66" s="328"/>
      <c r="GD66" s="328"/>
      <c r="GE66" s="328"/>
      <c r="GF66" s="328"/>
      <c r="GG66" s="328"/>
    </row>
    <row r="67" spans="1:189" s="264" customFormat="1" ht="17.25" customHeight="1">
      <c r="A67" s="227"/>
      <c r="B67" s="228" t="s">
        <v>184</v>
      </c>
      <c r="C67" s="270">
        <f>D67+BE67+CI67</f>
        <v>5652356019</v>
      </c>
      <c r="D67" s="270">
        <f>E67+J67</f>
        <v>4541356019</v>
      </c>
      <c r="E67" s="270">
        <f>SUM(F67:I67)</f>
        <v>0</v>
      </c>
      <c r="F67" s="229"/>
      <c r="G67" s="229"/>
      <c r="H67" s="229"/>
      <c r="I67" s="229"/>
      <c r="J67" s="270">
        <f>SUM(K67:BD67)</f>
        <v>4541356019</v>
      </c>
      <c r="K67" s="229"/>
      <c r="L67" s="229"/>
      <c r="M67" s="229"/>
      <c r="N67" s="229"/>
      <c r="O67" s="229"/>
      <c r="P67" s="229"/>
      <c r="Q67" s="229"/>
      <c r="R67" s="229"/>
      <c r="S67" s="229"/>
      <c r="T67" s="229"/>
      <c r="U67" s="229"/>
      <c r="V67" s="229"/>
      <c r="W67" s="229"/>
      <c r="X67" s="229"/>
      <c r="Y67" s="229"/>
      <c r="Z67" s="229">
        <v>31450000</v>
      </c>
      <c r="AA67" s="229"/>
      <c r="AB67" s="229"/>
      <c r="AC67" s="229"/>
      <c r="AD67" s="229"/>
      <c r="AE67" s="229"/>
      <c r="AF67" s="229"/>
      <c r="AG67" s="229"/>
      <c r="AH67" s="229"/>
      <c r="AI67" s="229"/>
      <c r="AJ67" s="229"/>
      <c r="AK67" s="229"/>
      <c r="AL67" s="229"/>
      <c r="AM67" s="229"/>
      <c r="AN67" s="229"/>
      <c r="AO67" s="229"/>
      <c r="AP67" s="229"/>
      <c r="AQ67" s="229"/>
      <c r="AR67" s="229"/>
      <c r="AS67" s="229"/>
      <c r="AT67" s="229"/>
      <c r="AU67" s="229"/>
      <c r="AV67" s="229"/>
      <c r="AW67" s="229"/>
      <c r="AX67" s="229"/>
      <c r="AY67" s="229"/>
      <c r="AZ67" s="229"/>
      <c r="BA67" s="229">
        <v>4350533569</v>
      </c>
      <c r="BB67" s="229">
        <v>159372450</v>
      </c>
      <c r="BC67" s="229"/>
      <c r="BD67" s="229"/>
      <c r="BE67" s="270">
        <f>SUM(BF67:BG67)</f>
        <v>1111000000</v>
      </c>
      <c r="BF67" s="270">
        <f>SUM(BH67:BI67)+BJ67+SUM(BL67:BN67)+BW67+CE67</f>
        <v>0</v>
      </c>
      <c r="BG67" s="270">
        <f>BK67+SUM(BO67:BV67)+SUM(BX67:CD67)+SUM(CF67:CH67)</f>
        <v>1111000000</v>
      </c>
      <c r="BH67" s="229"/>
      <c r="BI67" s="229"/>
      <c r="BJ67" s="229"/>
      <c r="BK67" s="229"/>
      <c r="BL67" s="229"/>
      <c r="BM67" s="229"/>
      <c r="BN67" s="229"/>
      <c r="BO67" s="229"/>
      <c r="BP67" s="229"/>
      <c r="BQ67" s="229"/>
      <c r="BR67" s="229"/>
      <c r="BS67" s="229"/>
      <c r="BT67" s="229">
        <v>1111000000</v>
      </c>
      <c r="BU67" s="229"/>
      <c r="BV67" s="229"/>
      <c r="BW67" s="229"/>
      <c r="BX67" s="229"/>
      <c r="BY67" s="229"/>
      <c r="BZ67" s="229"/>
      <c r="CA67" s="229"/>
      <c r="CB67" s="229"/>
      <c r="CC67" s="229"/>
      <c r="CD67" s="229"/>
      <c r="CE67" s="229"/>
      <c r="CF67" s="229"/>
      <c r="CG67" s="229"/>
      <c r="CH67" s="229"/>
      <c r="CI67" s="270">
        <f>SUM(CJ67:CK67)</f>
        <v>0</v>
      </c>
      <c r="CJ67" s="270">
        <f>SUM(CL67:CL67)</f>
        <v>0</v>
      </c>
      <c r="CK67" s="270">
        <f>SUM(CM67:CN67)</f>
        <v>0</v>
      </c>
      <c r="CL67" s="229"/>
      <c r="CM67" s="229"/>
      <c r="CN67" s="229"/>
      <c r="CO67" s="271" t="s">
        <v>184</v>
      </c>
      <c r="CP67" s="303">
        <f>CQ67+ER67+FV67+GB67</f>
        <v>5652356019</v>
      </c>
      <c r="CQ67" s="303">
        <f>CR67+CW67</f>
        <v>4541356019</v>
      </c>
      <c r="CR67" s="303">
        <f>SUM(CS67:CV67)</f>
        <v>0</v>
      </c>
      <c r="CS67" s="272"/>
      <c r="CT67" s="272"/>
      <c r="CU67" s="272"/>
      <c r="CV67" s="272"/>
      <c r="CW67" s="303">
        <f>SUM(CX67:EQ67)</f>
        <v>4541356019</v>
      </c>
      <c r="CX67" s="272"/>
      <c r="CY67" s="272"/>
      <c r="CZ67" s="272"/>
      <c r="DA67" s="272"/>
      <c r="DB67" s="272"/>
      <c r="DC67" s="272"/>
      <c r="DD67" s="272"/>
      <c r="DE67" s="272"/>
      <c r="DF67" s="272"/>
      <c r="DG67" s="272"/>
      <c r="DH67" s="272"/>
      <c r="DI67" s="272"/>
      <c r="DJ67" s="272"/>
      <c r="DK67" s="272"/>
      <c r="DL67" s="272"/>
      <c r="DM67" s="272">
        <v>31450000</v>
      </c>
      <c r="DN67" s="272"/>
      <c r="DO67" s="272"/>
      <c r="DP67" s="272"/>
      <c r="DQ67" s="272"/>
      <c r="DR67" s="272"/>
      <c r="DS67" s="272"/>
      <c r="DT67" s="272"/>
      <c r="DU67" s="272"/>
      <c r="DV67" s="272"/>
      <c r="DW67" s="272"/>
      <c r="DX67" s="272"/>
      <c r="DY67" s="272"/>
      <c r="DZ67" s="272"/>
      <c r="EA67" s="272"/>
      <c r="EB67" s="272"/>
      <c r="EC67" s="272"/>
      <c r="ED67" s="272"/>
      <c r="EE67" s="272"/>
      <c r="EF67" s="272"/>
      <c r="EG67" s="272"/>
      <c r="EH67" s="272"/>
      <c r="EI67" s="272"/>
      <c r="EJ67" s="272"/>
      <c r="EK67" s="272"/>
      <c r="EL67" s="272"/>
      <c r="EM67" s="272"/>
      <c r="EN67" s="272">
        <v>4350533569</v>
      </c>
      <c r="EO67" s="272">
        <v>159372450</v>
      </c>
      <c r="EP67" s="272"/>
      <c r="EQ67" s="272"/>
      <c r="ER67" s="303">
        <f>SUM(ES67:ET67)</f>
        <v>340256510</v>
      </c>
      <c r="ES67" s="303">
        <f>SUM(EU67:EV67)+EW67+SUM(EY67:FA67)+FJ67+FR67</f>
        <v>0</v>
      </c>
      <c r="ET67" s="303">
        <f>EX67+SUM(FB67:FI67)+SUM(FK67:FQ67)+SUM(FS67:FU67)</f>
        <v>340256510</v>
      </c>
      <c r="EU67" s="272"/>
      <c r="EV67" s="272"/>
      <c r="EW67" s="272"/>
      <c r="EX67" s="272"/>
      <c r="EY67" s="272"/>
      <c r="EZ67" s="272"/>
      <c r="FA67" s="272"/>
      <c r="FB67" s="272"/>
      <c r="FC67" s="272"/>
      <c r="FD67" s="272"/>
      <c r="FE67" s="272"/>
      <c r="FF67" s="272"/>
      <c r="FG67" s="272">
        <v>340256510</v>
      </c>
      <c r="FH67" s="272"/>
      <c r="FI67" s="272"/>
      <c r="FJ67" s="272"/>
      <c r="FK67" s="272"/>
      <c r="FL67" s="272"/>
      <c r="FM67" s="272"/>
      <c r="FN67" s="272"/>
      <c r="FO67" s="272"/>
      <c r="FP67" s="272"/>
      <c r="FQ67" s="272"/>
      <c r="FR67" s="272"/>
      <c r="FS67" s="272"/>
      <c r="FT67" s="272"/>
      <c r="FU67" s="272"/>
      <c r="FV67" s="303">
        <f>SUM(FW67:FX67)</f>
        <v>0</v>
      </c>
      <c r="FW67" s="303">
        <f>SUM(FY67:FY67)</f>
        <v>0</v>
      </c>
      <c r="FX67" s="303">
        <f>SUM(FZ67:GA67)</f>
        <v>0</v>
      </c>
      <c r="FY67" s="272"/>
      <c r="FZ67" s="272"/>
      <c r="GA67" s="272"/>
      <c r="GB67" s="303">
        <v>770743490</v>
      </c>
      <c r="GC67" s="328">
        <f>CP67/C67</f>
        <v>1</v>
      </c>
      <c r="GD67" s="328"/>
      <c r="GE67" s="328">
        <f>CW67/J67</f>
        <v>1</v>
      </c>
      <c r="GF67" s="328">
        <f>ER67/BE67</f>
        <v>0.30626148514851487</v>
      </c>
      <c r="GG67" s="328"/>
    </row>
    <row r="68" spans="1:189" s="264" customFormat="1" ht="17.25" customHeight="1">
      <c r="A68" s="227">
        <v>19</v>
      </c>
      <c r="B68" s="228" t="s">
        <v>314</v>
      </c>
      <c r="C68" s="270">
        <f t="shared" ref="C68:AI68" si="116">C69+C70</f>
        <v>23551381900</v>
      </c>
      <c r="D68" s="270">
        <f t="shared" si="116"/>
        <v>2851077000</v>
      </c>
      <c r="E68" s="270">
        <f t="shared" si="116"/>
        <v>0</v>
      </c>
      <c r="F68" s="229">
        <f t="shared" si="116"/>
        <v>0</v>
      </c>
      <c r="G68" s="229">
        <f t="shared" si="116"/>
        <v>0</v>
      </c>
      <c r="H68" s="229">
        <f t="shared" si="116"/>
        <v>0</v>
      </c>
      <c r="I68" s="229">
        <f t="shared" si="116"/>
        <v>0</v>
      </c>
      <c r="J68" s="270">
        <f t="shared" si="116"/>
        <v>2851077000</v>
      </c>
      <c r="K68" s="229">
        <f t="shared" si="116"/>
        <v>0</v>
      </c>
      <c r="L68" s="229">
        <f t="shared" si="116"/>
        <v>0</v>
      </c>
      <c r="M68" s="229">
        <f t="shared" si="116"/>
        <v>0</v>
      </c>
      <c r="N68" s="229">
        <f t="shared" si="116"/>
        <v>0</v>
      </c>
      <c r="O68" s="229">
        <f t="shared" si="116"/>
        <v>0</v>
      </c>
      <c r="P68" s="229">
        <f t="shared" si="116"/>
        <v>0</v>
      </c>
      <c r="Q68" s="229">
        <f t="shared" si="116"/>
        <v>0</v>
      </c>
      <c r="R68" s="229">
        <f t="shared" si="116"/>
        <v>0</v>
      </c>
      <c r="S68" s="229">
        <f t="shared" si="116"/>
        <v>0</v>
      </c>
      <c r="T68" s="229">
        <f t="shared" si="116"/>
        <v>0</v>
      </c>
      <c r="U68" s="229">
        <f t="shared" si="116"/>
        <v>0</v>
      </c>
      <c r="V68" s="229">
        <f t="shared" si="116"/>
        <v>0</v>
      </c>
      <c r="W68" s="229">
        <f t="shared" si="116"/>
        <v>193800000</v>
      </c>
      <c r="X68" s="229">
        <f t="shared" si="116"/>
        <v>0</v>
      </c>
      <c r="Y68" s="229">
        <f t="shared" si="116"/>
        <v>47080000</v>
      </c>
      <c r="Z68" s="229">
        <f t="shared" si="116"/>
        <v>2610197000</v>
      </c>
      <c r="AA68" s="229">
        <f t="shared" si="116"/>
        <v>0</v>
      </c>
      <c r="AB68" s="229">
        <f t="shared" si="116"/>
        <v>0</v>
      </c>
      <c r="AC68" s="229">
        <f t="shared" si="116"/>
        <v>0</v>
      </c>
      <c r="AD68" s="229">
        <f t="shared" si="116"/>
        <v>0</v>
      </c>
      <c r="AE68" s="229">
        <f t="shared" si="116"/>
        <v>0</v>
      </c>
      <c r="AF68" s="229">
        <f t="shared" si="116"/>
        <v>0</v>
      </c>
      <c r="AG68" s="229">
        <f t="shared" si="116"/>
        <v>0</v>
      </c>
      <c r="AH68" s="229">
        <f t="shared" si="116"/>
        <v>0</v>
      </c>
      <c r="AI68" s="229">
        <f t="shared" si="116"/>
        <v>0</v>
      </c>
      <c r="AJ68" s="229">
        <f t="shared" ref="AJ68:AO68" si="117">AJ69+AJ70</f>
        <v>0</v>
      </c>
      <c r="AK68" s="229">
        <f t="shared" si="117"/>
        <v>0</v>
      </c>
      <c r="AL68" s="229">
        <f t="shared" si="117"/>
        <v>0</v>
      </c>
      <c r="AM68" s="229">
        <f t="shared" si="117"/>
        <v>0</v>
      </c>
      <c r="AN68" s="229">
        <f t="shared" si="117"/>
        <v>0</v>
      </c>
      <c r="AO68" s="229">
        <f t="shared" si="117"/>
        <v>0</v>
      </c>
      <c r="AP68" s="229">
        <f t="shared" ref="AP68:AU68" si="118">AP69+AP70</f>
        <v>0</v>
      </c>
      <c r="AQ68" s="229">
        <f t="shared" si="118"/>
        <v>0</v>
      </c>
      <c r="AR68" s="229">
        <f t="shared" si="118"/>
        <v>0</v>
      </c>
      <c r="AS68" s="229">
        <f t="shared" si="118"/>
        <v>0</v>
      </c>
      <c r="AT68" s="229">
        <f t="shared" si="118"/>
        <v>0</v>
      </c>
      <c r="AU68" s="229">
        <f t="shared" si="118"/>
        <v>0</v>
      </c>
      <c r="AV68" s="229">
        <f>AV69+AV70</f>
        <v>0</v>
      </c>
      <c r="AW68" s="229">
        <f>AW69+AW70</f>
        <v>0</v>
      </c>
      <c r="AX68" s="229">
        <f t="shared" ref="AX68:CN68" si="119">AX69+AX70</f>
        <v>0</v>
      </c>
      <c r="AY68" s="229">
        <f t="shared" si="119"/>
        <v>0</v>
      </c>
      <c r="AZ68" s="229">
        <f t="shared" si="119"/>
        <v>0</v>
      </c>
      <c r="BA68" s="229">
        <f t="shared" si="119"/>
        <v>0</v>
      </c>
      <c r="BB68" s="229">
        <f t="shared" si="119"/>
        <v>0</v>
      </c>
      <c r="BC68" s="229">
        <f t="shared" si="119"/>
        <v>0</v>
      </c>
      <c r="BD68" s="229">
        <f t="shared" si="119"/>
        <v>0</v>
      </c>
      <c r="BE68" s="270">
        <f t="shared" si="119"/>
        <v>20700304900</v>
      </c>
      <c r="BF68" s="270">
        <f t="shared" si="119"/>
        <v>0</v>
      </c>
      <c r="BG68" s="270">
        <f t="shared" si="119"/>
        <v>20700304900</v>
      </c>
      <c r="BH68" s="229">
        <f t="shared" si="119"/>
        <v>0</v>
      </c>
      <c r="BI68" s="229">
        <f t="shared" si="119"/>
        <v>0</v>
      </c>
      <c r="BJ68" s="229">
        <f t="shared" si="119"/>
        <v>0</v>
      </c>
      <c r="BK68" s="229">
        <f t="shared" si="119"/>
        <v>0</v>
      </c>
      <c r="BL68" s="229">
        <f>BL69+BL70</f>
        <v>0</v>
      </c>
      <c r="BM68" s="229">
        <f>BM69+BM70</f>
        <v>0</v>
      </c>
      <c r="BN68" s="229">
        <f t="shared" si="119"/>
        <v>0</v>
      </c>
      <c r="BO68" s="229">
        <f t="shared" si="119"/>
        <v>133000000</v>
      </c>
      <c r="BP68" s="229">
        <f t="shared" si="119"/>
        <v>0</v>
      </c>
      <c r="BQ68" s="229">
        <f t="shared" si="119"/>
        <v>0</v>
      </c>
      <c r="BR68" s="229">
        <f t="shared" si="119"/>
        <v>16054724000</v>
      </c>
      <c r="BS68" s="229">
        <f t="shared" si="119"/>
        <v>0</v>
      </c>
      <c r="BT68" s="229">
        <f t="shared" si="119"/>
        <v>0</v>
      </c>
      <c r="BU68" s="229">
        <f t="shared" si="119"/>
        <v>0</v>
      </c>
      <c r="BV68" s="229">
        <f t="shared" si="119"/>
        <v>0</v>
      </c>
      <c r="BW68" s="229">
        <f t="shared" si="119"/>
        <v>0</v>
      </c>
      <c r="BX68" s="229">
        <f t="shared" si="119"/>
        <v>0</v>
      </c>
      <c r="BY68" s="229">
        <f t="shared" si="119"/>
        <v>0</v>
      </c>
      <c r="BZ68" s="229">
        <f t="shared" si="119"/>
        <v>0</v>
      </c>
      <c r="CA68" s="229">
        <f t="shared" si="119"/>
        <v>4512580900</v>
      </c>
      <c r="CB68" s="229">
        <f t="shared" si="119"/>
        <v>0</v>
      </c>
      <c r="CC68" s="229">
        <f t="shared" si="119"/>
        <v>0</v>
      </c>
      <c r="CD68" s="229">
        <f t="shared" si="119"/>
        <v>0</v>
      </c>
      <c r="CE68" s="229">
        <f t="shared" si="119"/>
        <v>0</v>
      </c>
      <c r="CF68" s="229">
        <f t="shared" si="119"/>
        <v>0</v>
      </c>
      <c r="CG68" s="229">
        <f t="shared" si="119"/>
        <v>0</v>
      </c>
      <c r="CH68" s="229">
        <f t="shared" si="119"/>
        <v>0</v>
      </c>
      <c r="CI68" s="270">
        <f t="shared" si="119"/>
        <v>0</v>
      </c>
      <c r="CJ68" s="270">
        <f t="shared" si="119"/>
        <v>0</v>
      </c>
      <c r="CK68" s="270">
        <f t="shared" si="119"/>
        <v>0</v>
      </c>
      <c r="CL68" s="229">
        <f t="shared" si="119"/>
        <v>0</v>
      </c>
      <c r="CM68" s="229">
        <f t="shared" si="119"/>
        <v>0</v>
      </c>
      <c r="CN68" s="229">
        <f t="shared" si="119"/>
        <v>0</v>
      </c>
      <c r="CO68" s="271" t="s">
        <v>314</v>
      </c>
      <c r="CP68" s="303">
        <f t="shared" ref="CP68:ER68" si="120">CP69+CP70</f>
        <v>23551381900</v>
      </c>
      <c r="CQ68" s="303">
        <f t="shared" si="120"/>
        <v>2851077000</v>
      </c>
      <c r="CR68" s="303">
        <f t="shared" si="120"/>
        <v>0</v>
      </c>
      <c r="CS68" s="272">
        <f t="shared" si="120"/>
        <v>0</v>
      </c>
      <c r="CT68" s="272">
        <f t="shared" si="120"/>
        <v>0</v>
      </c>
      <c r="CU68" s="272">
        <f t="shared" si="120"/>
        <v>0</v>
      </c>
      <c r="CV68" s="272">
        <f t="shared" si="120"/>
        <v>0</v>
      </c>
      <c r="CW68" s="303">
        <f t="shared" si="120"/>
        <v>2851077000</v>
      </c>
      <c r="CX68" s="272">
        <f t="shared" si="120"/>
        <v>0</v>
      </c>
      <c r="CY68" s="272">
        <f t="shared" si="120"/>
        <v>0</v>
      </c>
      <c r="CZ68" s="272">
        <f t="shared" si="120"/>
        <v>0</v>
      </c>
      <c r="DA68" s="272">
        <f t="shared" si="120"/>
        <v>0</v>
      </c>
      <c r="DB68" s="272">
        <f t="shared" si="120"/>
        <v>0</v>
      </c>
      <c r="DC68" s="272">
        <f t="shared" si="120"/>
        <v>0</v>
      </c>
      <c r="DD68" s="272">
        <f t="shared" si="120"/>
        <v>0</v>
      </c>
      <c r="DE68" s="272">
        <f t="shared" si="120"/>
        <v>0</v>
      </c>
      <c r="DF68" s="272">
        <f t="shared" si="120"/>
        <v>0</v>
      </c>
      <c r="DG68" s="272">
        <f t="shared" si="120"/>
        <v>0</v>
      </c>
      <c r="DH68" s="272">
        <f t="shared" si="120"/>
        <v>0</v>
      </c>
      <c r="DI68" s="272">
        <f t="shared" si="120"/>
        <v>0</v>
      </c>
      <c r="DJ68" s="272">
        <f t="shared" si="120"/>
        <v>193800000</v>
      </c>
      <c r="DK68" s="272">
        <f t="shared" si="120"/>
        <v>0</v>
      </c>
      <c r="DL68" s="272">
        <f t="shared" si="120"/>
        <v>47080000</v>
      </c>
      <c r="DM68" s="272">
        <f>DM69+DM70</f>
        <v>2610197000</v>
      </c>
      <c r="DN68" s="272">
        <f t="shared" si="120"/>
        <v>0</v>
      </c>
      <c r="DO68" s="272">
        <f t="shared" si="120"/>
        <v>0</v>
      </c>
      <c r="DP68" s="272">
        <f t="shared" si="120"/>
        <v>0</v>
      </c>
      <c r="DQ68" s="272">
        <f t="shared" si="120"/>
        <v>0</v>
      </c>
      <c r="DR68" s="272">
        <f t="shared" si="120"/>
        <v>0</v>
      </c>
      <c r="DS68" s="272">
        <f t="shared" si="120"/>
        <v>0</v>
      </c>
      <c r="DT68" s="272">
        <f t="shared" si="120"/>
        <v>0</v>
      </c>
      <c r="DU68" s="272">
        <f t="shared" si="120"/>
        <v>0</v>
      </c>
      <c r="DV68" s="272">
        <f t="shared" si="120"/>
        <v>0</v>
      </c>
      <c r="DW68" s="272">
        <f t="shared" si="120"/>
        <v>0</v>
      </c>
      <c r="DX68" s="272">
        <f t="shared" si="120"/>
        <v>0</v>
      </c>
      <c r="DY68" s="272">
        <f t="shared" si="120"/>
        <v>0</v>
      </c>
      <c r="DZ68" s="272">
        <f t="shared" si="120"/>
        <v>0</v>
      </c>
      <c r="EA68" s="272">
        <f t="shared" si="120"/>
        <v>0</v>
      </c>
      <c r="EB68" s="272">
        <f t="shared" si="120"/>
        <v>0</v>
      </c>
      <c r="EC68" s="272">
        <f t="shared" si="120"/>
        <v>0</v>
      </c>
      <c r="ED68" s="272">
        <f t="shared" si="120"/>
        <v>0</v>
      </c>
      <c r="EE68" s="272">
        <f t="shared" si="120"/>
        <v>0</v>
      </c>
      <c r="EF68" s="272">
        <f t="shared" si="120"/>
        <v>0</v>
      </c>
      <c r="EG68" s="272">
        <f t="shared" si="120"/>
        <v>0</v>
      </c>
      <c r="EH68" s="272">
        <f t="shared" si="120"/>
        <v>0</v>
      </c>
      <c r="EI68" s="272">
        <f>EI69+EI70</f>
        <v>0</v>
      </c>
      <c r="EJ68" s="272">
        <f>EJ69+EJ70</f>
        <v>0</v>
      </c>
      <c r="EK68" s="272">
        <f t="shared" si="120"/>
        <v>0</v>
      </c>
      <c r="EL68" s="272">
        <f t="shared" si="120"/>
        <v>0</v>
      </c>
      <c r="EM68" s="272">
        <f t="shared" si="120"/>
        <v>0</v>
      </c>
      <c r="EN68" s="272">
        <f t="shared" si="120"/>
        <v>0</v>
      </c>
      <c r="EO68" s="272">
        <f t="shared" si="120"/>
        <v>0</v>
      </c>
      <c r="EP68" s="272">
        <f t="shared" si="120"/>
        <v>0</v>
      </c>
      <c r="EQ68" s="272">
        <f t="shared" si="120"/>
        <v>0</v>
      </c>
      <c r="ER68" s="303">
        <f t="shared" si="120"/>
        <v>2711548900</v>
      </c>
      <c r="ES68" s="303">
        <f t="shared" ref="ES68:GB68" si="121">ES69+ES70</f>
        <v>0</v>
      </c>
      <c r="ET68" s="303">
        <f t="shared" si="121"/>
        <v>2711548900</v>
      </c>
      <c r="EU68" s="272">
        <f t="shared" si="121"/>
        <v>0</v>
      </c>
      <c r="EV68" s="272">
        <f t="shared" si="121"/>
        <v>0</v>
      </c>
      <c r="EW68" s="272">
        <f t="shared" si="121"/>
        <v>0</v>
      </c>
      <c r="EX68" s="272">
        <f t="shared" si="121"/>
        <v>0</v>
      </c>
      <c r="EY68" s="272">
        <f>EY69+EY70</f>
        <v>0</v>
      </c>
      <c r="EZ68" s="272">
        <f>EZ69+EZ70</f>
        <v>0</v>
      </c>
      <c r="FA68" s="272">
        <f t="shared" si="121"/>
        <v>0</v>
      </c>
      <c r="FB68" s="272">
        <f t="shared" si="121"/>
        <v>0</v>
      </c>
      <c r="FC68" s="272">
        <f t="shared" si="121"/>
        <v>0</v>
      </c>
      <c r="FD68" s="272">
        <f t="shared" si="121"/>
        <v>0</v>
      </c>
      <c r="FE68" s="272">
        <f t="shared" si="121"/>
        <v>1323768000</v>
      </c>
      <c r="FF68" s="272">
        <f t="shared" si="121"/>
        <v>0</v>
      </c>
      <c r="FG68" s="272">
        <f t="shared" si="121"/>
        <v>0</v>
      </c>
      <c r="FH68" s="272">
        <f t="shared" si="121"/>
        <v>0</v>
      </c>
      <c r="FI68" s="272">
        <f t="shared" si="121"/>
        <v>0</v>
      </c>
      <c r="FJ68" s="272">
        <f t="shared" si="121"/>
        <v>0</v>
      </c>
      <c r="FK68" s="272">
        <f t="shared" si="121"/>
        <v>0</v>
      </c>
      <c r="FL68" s="272">
        <f t="shared" si="121"/>
        <v>0</v>
      </c>
      <c r="FM68" s="272">
        <f t="shared" si="121"/>
        <v>0</v>
      </c>
      <c r="FN68" s="272">
        <f t="shared" si="121"/>
        <v>1387780900</v>
      </c>
      <c r="FO68" s="272">
        <f t="shared" si="121"/>
        <v>0</v>
      </c>
      <c r="FP68" s="272">
        <f t="shared" si="121"/>
        <v>0</v>
      </c>
      <c r="FQ68" s="272">
        <f t="shared" si="121"/>
        <v>0</v>
      </c>
      <c r="FR68" s="272">
        <f t="shared" si="121"/>
        <v>0</v>
      </c>
      <c r="FS68" s="272">
        <f t="shared" si="121"/>
        <v>0</v>
      </c>
      <c r="FT68" s="272">
        <f t="shared" si="121"/>
        <v>0</v>
      </c>
      <c r="FU68" s="272">
        <f t="shared" si="121"/>
        <v>0</v>
      </c>
      <c r="FV68" s="303">
        <f t="shared" si="121"/>
        <v>0</v>
      </c>
      <c r="FW68" s="303">
        <f t="shared" si="121"/>
        <v>0</v>
      </c>
      <c r="FX68" s="303">
        <f t="shared" si="121"/>
        <v>0</v>
      </c>
      <c r="FY68" s="272">
        <f t="shared" si="121"/>
        <v>0</v>
      </c>
      <c r="FZ68" s="272">
        <f t="shared" si="121"/>
        <v>0</v>
      </c>
      <c r="GA68" s="272">
        <f t="shared" si="121"/>
        <v>0</v>
      </c>
      <c r="GB68" s="303">
        <f t="shared" si="121"/>
        <v>17988756000</v>
      </c>
      <c r="GC68" s="328">
        <f>CP68/C68</f>
        <v>1</v>
      </c>
      <c r="GD68" s="328"/>
      <c r="GE68" s="328">
        <f>CW68/J68</f>
        <v>1</v>
      </c>
      <c r="GF68" s="328">
        <f>ER68/BE68</f>
        <v>0.13099077105864271</v>
      </c>
      <c r="GG68" s="328"/>
    </row>
    <row r="69" spans="1:189" s="264" customFormat="1" ht="17.25" customHeight="1">
      <c r="A69" s="227"/>
      <c r="B69" s="228" t="s">
        <v>183</v>
      </c>
      <c r="C69" s="270">
        <f>D69+BE69+CI69</f>
        <v>0</v>
      </c>
      <c r="D69" s="270">
        <f>E69+J69</f>
        <v>0</v>
      </c>
      <c r="E69" s="270">
        <f>SUM(F69:I69)</f>
        <v>0</v>
      </c>
      <c r="F69" s="229"/>
      <c r="G69" s="229"/>
      <c r="H69" s="229"/>
      <c r="I69" s="229"/>
      <c r="J69" s="270">
        <f>SUM(K69:BD69)</f>
        <v>0</v>
      </c>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c r="AU69" s="229"/>
      <c r="AV69" s="229"/>
      <c r="AW69" s="229"/>
      <c r="AX69" s="229"/>
      <c r="AY69" s="229"/>
      <c r="AZ69" s="229"/>
      <c r="BA69" s="229"/>
      <c r="BB69" s="229"/>
      <c r="BC69" s="229"/>
      <c r="BD69" s="229"/>
      <c r="BE69" s="270">
        <f>SUM(BF69:BG69)</f>
        <v>0</v>
      </c>
      <c r="BF69" s="270">
        <f>SUM(BH69:BI69)+BJ69+BM69+BW69+CE69</f>
        <v>0</v>
      </c>
      <c r="BG69" s="270">
        <f>BK69+SUM(BO69:BV69)+SUM(BX69:CD69)+SUM(CF69:CH69)</f>
        <v>0</v>
      </c>
      <c r="BH69" s="229"/>
      <c r="BI69" s="229"/>
      <c r="BJ69" s="229"/>
      <c r="BK69" s="229"/>
      <c r="BL69" s="229"/>
      <c r="BM69" s="229"/>
      <c r="BN69" s="229"/>
      <c r="BO69" s="229"/>
      <c r="BP69" s="229"/>
      <c r="BQ69" s="229"/>
      <c r="BR69" s="229"/>
      <c r="BS69" s="229"/>
      <c r="BT69" s="229"/>
      <c r="BU69" s="229"/>
      <c r="BV69" s="229"/>
      <c r="BW69" s="229"/>
      <c r="BX69" s="229"/>
      <c r="BY69" s="229"/>
      <c r="BZ69" s="229"/>
      <c r="CA69" s="229"/>
      <c r="CB69" s="229"/>
      <c r="CC69" s="229"/>
      <c r="CD69" s="229"/>
      <c r="CE69" s="229"/>
      <c r="CF69" s="229"/>
      <c r="CG69" s="229"/>
      <c r="CH69" s="229"/>
      <c r="CI69" s="270">
        <f>SUM(CJ69:CK69)</f>
        <v>0</v>
      </c>
      <c r="CJ69" s="270">
        <f>SUM(CL69:CL69)</f>
        <v>0</v>
      </c>
      <c r="CK69" s="270">
        <f>SUM(CM69:CN69)</f>
        <v>0</v>
      </c>
      <c r="CL69" s="229"/>
      <c r="CM69" s="229"/>
      <c r="CN69" s="229"/>
      <c r="CO69" s="271" t="s">
        <v>183</v>
      </c>
      <c r="CP69" s="303">
        <f>CQ69+ER69+FV69+GB69</f>
        <v>0</v>
      </c>
      <c r="CQ69" s="303">
        <f>CR69+CW69</f>
        <v>0</v>
      </c>
      <c r="CR69" s="303">
        <f>SUM(CS69:CV69)</f>
        <v>0</v>
      </c>
      <c r="CS69" s="272"/>
      <c r="CT69" s="272"/>
      <c r="CU69" s="272"/>
      <c r="CV69" s="272"/>
      <c r="CW69" s="303">
        <f>SUM(CX69:EQ69)</f>
        <v>0</v>
      </c>
      <c r="CX69" s="272"/>
      <c r="CY69" s="272"/>
      <c r="CZ69" s="272"/>
      <c r="DA69" s="272"/>
      <c r="DB69" s="272"/>
      <c r="DC69" s="272"/>
      <c r="DD69" s="272"/>
      <c r="DE69" s="272"/>
      <c r="DF69" s="272"/>
      <c r="DG69" s="272"/>
      <c r="DH69" s="272"/>
      <c r="DI69" s="272"/>
      <c r="DJ69" s="272"/>
      <c r="DK69" s="272"/>
      <c r="DL69" s="272"/>
      <c r="DM69" s="272"/>
      <c r="DN69" s="272"/>
      <c r="DO69" s="272"/>
      <c r="DP69" s="272"/>
      <c r="DQ69" s="272"/>
      <c r="DR69" s="272"/>
      <c r="DS69" s="272"/>
      <c r="DT69" s="272"/>
      <c r="DU69" s="272"/>
      <c r="DV69" s="272"/>
      <c r="DW69" s="272"/>
      <c r="DX69" s="272"/>
      <c r="DY69" s="272"/>
      <c r="DZ69" s="272"/>
      <c r="EA69" s="272"/>
      <c r="EB69" s="272"/>
      <c r="EC69" s="272"/>
      <c r="ED69" s="272"/>
      <c r="EE69" s="272"/>
      <c r="EF69" s="272"/>
      <c r="EG69" s="272"/>
      <c r="EH69" s="272"/>
      <c r="EI69" s="272"/>
      <c r="EJ69" s="272"/>
      <c r="EK69" s="272"/>
      <c r="EL69" s="272"/>
      <c r="EM69" s="272"/>
      <c r="EN69" s="272"/>
      <c r="EO69" s="272"/>
      <c r="EP69" s="272"/>
      <c r="EQ69" s="272"/>
      <c r="ER69" s="303">
        <f>SUM(ES69:ET69)</f>
        <v>0</v>
      </c>
      <c r="ES69" s="303">
        <f>SUM(EU69:EV69)+EW69+EZ69+FJ69+FR69</f>
        <v>0</v>
      </c>
      <c r="ET69" s="303">
        <f>EX69+SUM(FB69:FI69)+SUM(FK69:FQ69)+SUM(FS69:FU69)</f>
        <v>0</v>
      </c>
      <c r="EU69" s="272"/>
      <c r="EV69" s="272"/>
      <c r="EW69" s="272"/>
      <c r="EX69" s="272"/>
      <c r="EY69" s="272"/>
      <c r="EZ69" s="272"/>
      <c r="FA69" s="272"/>
      <c r="FB69" s="272"/>
      <c r="FC69" s="272"/>
      <c r="FD69" s="272"/>
      <c r="FE69" s="272"/>
      <c r="FF69" s="272"/>
      <c r="FG69" s="272"/>
      <c r="FH69" s="272"/>
      <c r="FI69" s="272"/>
      <c r="FJ69" s="272"/>
      <c r="FK69" s="272"/>
      <c r="FL69" s="272"/>
      <c r="FM69" s="272"/>
      <c r="FN69" s="272"/>
      <c r="FO69" s="272"/>
      <c r="FP69" s="272"/>
      <c r="FQ69" s="272"/>
      <c r="FR69" s="272"/>
      <c r="FS69" s="272"/>
      <c r="FT69" s="272"/>
      <c r="FU69" s="272"/>
      <c r="FV69" s="303">
        <f>SUM(FW69:FX69)</f>
        <v>0</v>
      </c>
      <c r="FW69" s="303">
        <f>SUM(FY69:FY69)</f>
        <v>0</v>
      </c>
      <c r="FX69" s="303">
        <f>SUM(FZ69:GA69)</f>
        <v>0</v>
      </c>
      <c r="FY69" s="272"/>
      <c r="FZ69" s="272"/>
      <c r="GA69" s="272"/>
      <c r="GB69" s="303"/>
      <c r="GC69" s="328"/>
      <c r="GD69" s="328"/>
      <c r="GE69" s="328"/>
      <c r="GF69" s="328"/>
      <c r="GG69" s="328"/>
    </row>
    <row r="70" spans="1:189" s="264" customFormat="1" ht="17.25" customHeight="1">
      <c r="A70" s="227"/>
      <c r="B70" s="228" t="s">
        <v>184</v>
      </c>
      <c r="C70" s="270">
        <f>D70+BE70+CI70</f>
        <v>23551381900</v>
      </c>
      <c r="D70" s="270">
        <f>E70+J70</f>
        <v>2851077000</v>
      </c>
      <c r="E70" s="270">
        <f>SUM(F70:I70)</f>
        <v>0</v>
      </c>
      <c r="F70" s="229"/>
      <c r="G70" s="229"/>
      <c r="H70" s="229"/>
      <c r="I70" s="229"/>
      <c r="J70" s="270">
        <f>SUM(K70:BD70)</f>
        <v>2851077000</v>
      </c>
      <c r="K70" s="229"/>
      <c r="L70" s="229"/>
      <c r="M70" s="229"/>
      <c r="N70" s="229"/>
      <c r="O70" s="229"/>
      <c r="P70" s="229"/>
      <c r="Q70" s="229"/>
      <c r="R70" s="229"/>
      <c r="S70" s="229"/>
      <c r="T70" s="229"/>
      <c r="U70" s="229"/>
      <c r="V70" s="229"/>
      <c r="W70" s="229">
        <v>193800000</v>
      </c>
      <c r="X70" s="229"/>
      <c r="Y70" s="229">
        <v>47080000</v>
      </c>
      <c r="Z70" s="229">
        <v>2610197000</v>
      </c>
      <c r="AA70" s="229"/>
      <c r="AB70" s="229"/>
      <c r="AC70" s="229"/>
      <c r="AD70" s="229"/>
      <c r="AE70" s="229"/>
      <c r="AF70" s="229"/>
      <c r="AG70" s="229"/>
      <c r="AH70" s="229"/>
      <c r="AI70" s="229"/>
      <c r="AJ70" s="229"/>
      <c r="AK70" s="229"/>
      <c r="AL70" s="229"/>
      <c r="AM70" s="229"/>
      <c r="AN70" s="229"/>
      <c r="AO70" s="229"/>
      <c r="AP70" s="229"/>
      <c r="AQ70" s="229"/>
      <c r="AR70" s="229"/>
      <c r="AS70" s="229"/>
      <c r="AT70" s="229"/>
      <c r="AU70" s="229"/>
      <c r="AV70" s="229"/>
      <c r="AW70" s="229"/>
      <c r="AX70" s="229"/>
      <c r="AY70" s="229"/>
      <c r="AZ70" s="229"/>
      <c r="BA70" s="229"/>
      <c r="BB70" s="229"/>
      <c r="BC70" s="229"/>
      <c r="BD70" s="229"/>
      <c r="BE70" s="270">
        <f>SUM(BF70:BG70)</f>
        <v>20700304900</v>
      </c>
      <c r="BF70" s="270">
        <f>SUM(BH70:BI70)+BJ70+BM70+BW70+CE70</f>
        <v>0</v>
      </c>
      <c r="BG70" s="270">
        <f>BK70+SUM(BO70:BV70)+SUM(BX70:CD70)+SUM(CF70:CH70)</f>
        <v>20700304900</v>
      </c>
      <c r="BH70" s="229"/>
      <c r="BI70" s="229"/>
      <c r="BJ70" s="229"/>
      <c r="BK70" s="229"/>
      <c r="BL70" s="229"/>
      <c r="BM70" s="229"/>
      <c r="BN70" s="229"/>
      <c r="BO70" s="229">
        <v>133000000</v>
      </c>
      <c r="BP70" s="229"/>
      <c r="BQ70" s="229"/>
      <c r="BR70" s="229">
        <v>16054724000</v>
      </c>
      <c r="BS70" s="229"/>
      <c r="BT70" s="229"/>
      <c r="BU70" s="229"/>
      <c r="BV70" s="229"/>
      <c r="BW70" s="229"/>
      <c r="BX70" s="229"/>
      <c r="BY70" s="229"/>
      <c r="BZ70" s="229"/>
      <c r="CA70" s="229">
        <v>4512580900</v>
      </c>
      <c r="CB70" s="229"/>
      <c r="CC70" s="229"/>
      <c r="CD70" s="229"/>
      <c r="CE70" s="229"/>
      <c r="CF70" s="229"/>
      <c r="CG70" s="229"/>
      <c r="CH70" s="229"/>
      <c r="CI70" s="270">
        <f>SUM(CJ70:CK70)</f>
        <v>0</v>
      </c>
      <c r="CJ70" s="270">
        <f>SUM(CL70:CL70)</f>
        <v>0</v>
      </c>
      <c r="CK70" s="270">
        <f>SUM(CM70:CN70)</f>
        <v>0</v>
      </c>
      <c r="CL70" s="229"/>
      <c r="CM70" s="229"/>
      <c r="CN70" s="229"/>
      <c r="CO70" s="271" t="s">
        <v>184</v>
      </c>
      <c r="CP70" s="303">
        <f>CQ70+ER70+FV70+GB70</f>
        <v>23551381900</v>
      </c>
      <c r="CQ70" s="303">
        <f>CR70+CW70</f>
        <v>2851077000</v>
      </c>
      <c r="CR70" s="303">
        <f>SUM(CS70:CV70)</f>
        <v>0</v>
      </c>
      <c r="CS70" s="272"/>
      <c r="CT70" s="272"/>
      <c r="CU70" s="272"/>
      <c r="CV70" s="272"/>
      <c r="CW70" s="303">
        <f>SUM(CX70:EQ70)</f>
        <v>2851077000</v>
      </c>
      <c r="CX70" s="272"/>
      <c r="CY70" s="272"/>
      <c r="CZ70" s="272"/>
      <c r="DA70" s="272"/>
      <c r="DB70" s="272"/>
      <c r="DC70" s="272"/>
      <c r="DD70" s="272"/>
      <c r="DE70" s="272"/>
      <c r="DF70" s="272"/>
      <c r="DG70" s="272"/>
      <c r="DH70" s="272"/>
      <c r="DI70" s="272"/>
      <c r="DJ70" s="272">
        <v>193800000</v>
      </c>
      <c r="DK70" s="272"/>
      <c r="DL70" s="272">
        <v>47080000</v>
      </c>
      <c r="DM70" s="272">
        <v>2610197000</v>
      </c>
      <c r="DN70" s="272"/>
      <c r="DO70" s="272"/>
      <c r="DP70" s="272"/>
      <c r="DQ70" s="272"/>
      <c r="DR70" s="272"/>
      <c r="DS70" s="272"/>
      <c r="DT70" s="272"/>
      <c r="DU70" s="272"/>
      <c r="DV70" s="272"/>
      <c r="DW70" s="272"/>
      <c r="DX70" s="272"/>
      <c r="DY70" s="272"/>
      <c r="DZ70" s="272"/>
      <c r="EA70" s="272"/>
      <c r="EB70" s="272"/>
      <c r="EC70" s="272"/>
      <c r="ED70" s="272"/>
      <c r="EE70" s="272"/>
      <c r="EF70" s="272"/>
      <c r="EG70" s="272"/>
      <c r="EH70" s="272"/>
      <c r="EI70" s="272"/>
      <c r="EJ70" s="272"/>
      <c r="EK70" s="272"/>
      <c r="EL70" s="272"/>
      <c r="EM70" s="272"/>
      <c r="EN70" s="272"/>
      <c r="EO70" s="272"/>
      <c r="EP70" s="272"/>
      <c r="EQ70" s="272"/>
      <c r="ER70" s="303">
        <f>SUM(ES70:ET70)</f>
        <v>2711548900</v>
      </c>
      <c r="ES70" s="303">
        <f>SUM(EU70:EV70)+EW70+EZ70+FJ70+FR70</f>
        <v>0</v>
      </c>
      <c r="ET70" s="303">
        <f>EX70+SUM(FB70:FI70)+SUM(FK70:FQ70)+SUM(FS70:FU70)</f>
        <v>2711548900</v>
      </c>
      <c r="EU70" s="272"/>
      <c r="EV70" s="272"/>
      <c r="EW70" s="272"/>
      <c r="EX70" s="272"/>
      <c r="EY70" s="272"/>
      <c r="EZ70" s="272"/>
      <c r="FA70" s="272"/>
      <c r="FB70" s="272"/>
      <c r="FC70" s="272"/>
      <c r="FD70" s="272"/>
      <c r="FE70" s="272">
        <v>1323768000</v>
      </c>
      <c r="FF70" s="272"/>
      <c r="FG70" s="272"/>
      <c r="FH70" s="272"/>
      <c r="FI70" s="272"/>
      <c r="FJ70" s="272"/>
      <c r="FK70" s="272"/>
      <c r="FL70" s="272"/>
      <c r="FM70" s="272"/>
      <c r="FN70" s="272">
        <v>1387780900</v>
      </c>
      <c r="FO70" s="272"/>
      <c r="FP70" s="272"/>
      <c r="FQ70" s="272"/>
      <c r="FR70" s="272"/>
      <c r="FS70" s="272"/>
      <c r="FT70" s="272"/>
      <c r="FU70" s="272"/>
      <c r="FV70" s="303">
        <f>SUM(FW70:FX70)</f>
        <v>0</v>
      </c>
      <c r="FW70" s="303">
        <f>SUM(FY70:FY70)</f>
        <v>0</v>
      </c>
      <c r="FX70" s="303">
        <f>SUM(FZ70:GA70)</f>
        <v>0</v>
      </c>
      <c r="FY70" s="272"/>
      <c r="FZ70" s="272"/>
      <c r="GA70" s="272"/>
      <c r="GB70" s="303">
        <v>17988756000</v>
      </c>
      <c r="GC70" s="328">
        <f>CP70/C70</f>
        <v>1</v>
      </c>
      <c r="GD70" s="328"/>
      <c r="GE70" s="328">
        <f>CW70/J70</f>
        <v>1</v>
      </c>
      <c r="GF70" s="328">
        <f>ER70/BE70</f>
        <v>0.13099077105864271</v>
      </c>
      <c r="GG70" s="328"/>
    </row>
    <row r="71" spans="1:189" s="264" customFormat="1" ht="17.25" customHeight="1">
      <c r="A71" s="227">
        <v>20</v>
      </c>
      <c r="B71" s="228" t="s">
        <v>335</v>
      </c>
      <c r="C71" s="270">
        <f t="shared" ref="C71:AI71" si="122">C72+C73</f>
        <v>1065214000</v>
      </c>
      <c r="D71" s="270">
        <f t="shared" si="122"/>
        <v>1065214000</v>
      </c>
      <c r="E71" s="270">
        <f t="shared" si="122"/>
        <v>0</v>
      </c>
      <c r="F71" s="229">
        <f t="shared" si="122"/>
        <v>0</v>
      </c>
      <c r="G71" s="229">
        <f t="shared" si="122"/>
        <v>0</v>
      </c>
      <c r="H71" s="229">
        <f t="shared" si="122"/>
        <v>0</v>
      </c>
      <c r="I71" s="229">
        <f t="shared" si="122"/>
        <v>0</v>
      </c>
      <c r="J71" s="270">
        <f t="shared" si="122"/>
        <v>1065214000</v>
      </c>
      <c r="K71" s="229">
        <f t="shared" si="122"/>
        <v>0</v>
      </c>
      <c r="L71" s="229">
        <f t="shared" si="122"/>
        <v>0</v>
      </c>
      <c r="M71" s="229">
        <f t="shared" si="122"/>
        <v>0</v>
      </c>
      <c r="N71" s="229">
        <f t="shared" si="122"/>
        <v>0</v>
      </c>
      <c r="O71" s="229">
        <f t="shared" si="122"/>
        <v>0</v>
      </c>
      <c r="P71" s="229">
        <f t="shared" si="122"/>
        <v>0</v>
      </c>
      <c r="Q71" s="229">
        <f t="shared" si="122"/>
        <v>0</v>
      </c>
      <c r="R71" s="229">
        <f t="shared" si="122"/>
        <v>0</v>
      </c>
      <c r="S71" s="229">
        <f t="shared" si="122"/>
        <v>0</v>
      </c>
      <c r="T71" s="229">
        <f t="shared" si="122"/>
        <v>0</v>
      </c>
      <c r="U71" s="229">
        <f t="shared" si="122"/>
        <v>0</v>
      </c>
      <c r="V71" s="229">
        <f t="shared" si="122"/>
        <v>0</v>
      </c>
      <c r="W71" s="229">
        <f t="shared" si="122"/>
        <v>0</v>
      </c>
      <c r="X71" s="229">
        <f t="shared" si="122"/>
        <v>0</v>
      </c>
      <c r="Y71" s="229">
        <f t="shared" si="122"/>
        <v>0</v>
      </c>
      <c r="Z71" s="229">
        <f t="shared" si="122"/>
        <v>0</v>
      </c>
      <c r="AA71" s="229">
        <f t="shared" si="122"/>
        <v>0</v>
      </c>
      <c r="AB71" s="229">
        <f t="shared" si="122"/>
        <v>0</v>
      </c>
      <c r="AC71" s="229">
        <f t="shared" si="122"/>
        <v>0</v>
      </c>
      <c r="AD71" s="229">
        <f t="shared" si="122"/>
        <v>0</v>
      </c>
      <c r="AE71" s="229">
        <f t="shared" si="122"/>
        <v>0</v>
      </c>
      <c r="AF71" s="229">
        <f t="shared" si="122"/>
        <v>0</v>
      </c>
      <c r="AG71" s="229">
        <f t="shared" si="122"/>
        <v>0</v>
      </c>
      <c r="AH71" s="229">
        <f t="shared" si="122"/>
        <v>0</v>
      </c>
      <c r="AI71" s="229">
        <f t="shared" si="122"/>
        <v>0</v>
      </c>
      <c r="AJ71" s="229">
        <f t="shared" ref="AJ71:AO71" si="123">AJ72+AJ73</f>
        <v>0</v>
      </c>
      <c r="AK71" s="229">
        <f t="shared" si="123"/>
        <v>0</v>
      </c>
      <c r="AL71" s="229">
        <f t="shared" si="123"/>
        <v>0</v>
      </c>
      <c r="AM71" s="229">
        <f t="shared" si="123"/>
        <v>0</v>
      </c>
      <c r="AN71" s="229">
        <f t="shared" si="123"/>
        <v>0</v>
      </c>
      <c r="AO71" s="229">
        <f t="shared" si="123"/>
        <v>0</v>
      </c>
      <c r="AP71" s="229">
        <f t="shared" ref="AP71:AU71" si="124">AP72+AP73</f>
        <v>0</v>
      </c>
      <c r="AQ71" s="229">
        <f t="shared" si="124"/>
        <v>0</v>
      </c>
      <c r="AR71" s="229">
        <f t="shared" si="124"/>
        <v>0</v>
      </c>
      <c r="AS71" s="229">
        <f t="shared" si="124"/>
        <v>0</v>
      </c>
      <c r="AT71" s="229">
        <f t="shared" si="124"/>
        <v>1065214000</v>
      </c>
      <c r="AU71" s="229">
        <f t="shared" si="124"/>
        <v>0</v>
      </c>
      <c r="AV71" s="229">
        <f>AV72+AV73</f>
        <v>0</v>
      </c>
      <c r="AW71" s="229">
        <f>AW72+AW73</f>
        <v>0</v>
      </c>
      <c r="AX71" s="229">
        <f t="shared" ref="AX71:CN71" si="125">AX72+AX73</f>
        <v>0</v>
      </c>
      <c r="AY71" s="229">
        <f t="shared" si="125"/>
        <v>0</v>
      </c>
      <c r="AZ71" s="229">
        <f t="shared" si="125"/>
        <v>0</v>
      </c>
      <c r="BA71" s="229">
        <f t="shared" si="125"/>
        <v>0</v>
      </c>
      <c r="BB71" s="229">
        <f t="shared" si="125"/>
        <v>0</v>
      </c>
      <c r="BC71" s="229">
        <f t="shared" si="125"/>
        <v>0</v>
      </c>
      <c r="BD71" s="229">
        <f t="shared" si="125"/>
        <v>0</v>
      </c>
      <c r="BE71" s="270">
        <f t="shared" si="125"/>
        <v>0</v>
      </c>
      <c r="BF71" s="270">
        <f t="shared" si="125"/>
        <v>0</v>
      </c>
      <c r="BG71" s="270">
        <f t="shared" si="125"/>
        <v>0</v>
      </c>
      <c r="BH71" s="229">
        <f t="shared" si="125"/>
        <v>0</v>
      </c>
      <c r="BI71" s="229">
        <f t="shared" si="125"/>
        <v>0</v>
      </c>
      <c r="BJ71" s="229">
        <f t="shared" si="125"/>
        <v>0</v>
      </c>
      <c r="BK71" s="229">
        <f t="shared" si="125"/>
        <v>0</v>
      </c>
      <c r="BL71" s="229">
        <f>BL72+BL73</f>
        <v>0</v>
      </c>
      <c r="BM71" s="229">
        <f>BM72+BM73</f>
        <v>0</v>
      </c>
      <c r="BN71" s="229">
        <f t="shared" si="125"/>
        <v>0</v>
      </c>
      <c r="BO71" s="229">
        <f t="shared" si="125"/>
        <v>0</v>
      </c>
      <c r="BP71" s="229">
        <f t="shared" si="125"/>
        <v>0</v>
      </c>
      <c r="BQ71" s="229">
        <f t="shared" si="125"/>
        <v>0</v>
      </c>
      <c r="BR71" s="229">
        <f t="shared" si="125"/>
        <v>0</v>
      </c>
      <c r="BS71" s="229">
        <f t="shared" si="125"/>
        <v>0</v>
      </c>
      <c r="BT71" s="229">
        <f t="shared" si="125"/>
        <v>0</v>
      </c>
      <c r="BU71" s="229">
        <f t="shared" si="125"/>
        <v>0</v>
      </c>
      <c r="BV71" s="229">
        <f t="shared" si="125"/>
        <v>0</v>
      </c>
      <c r="BW71" s="229">
        <f t="shared" si="125"/>
        <v>0</v>
      </c>
      <c r="BX71" s="229">
        <f t="shared" si="125"/>
        <v>0</v>
      </c>
      <c r="BY71" s="229">
        <f t="shared" si="125"/>
        <v>0</v>
      </c>
      <c r="BZ71" s="229">
        <f t="shared" si="125"/>
        <v>0</v>
      </c>
      <c r="CA71" s="229">
        <f t="shared" si="125"/>
        <v>0</v>
      </c>
      <c r="CB71" s="229">
        <f t="shared" si="125"/>
        <v>0</v>
      </c>
      <c r="CC71" s="229">
        <f t="shared" si="125"/>
        <v>0</v>
      </c>
      <c r="CD71" s="229">
        <f t="shared" si="125"/>
        <v>0</v>
      </c>
      <c r="CE71" s="229">
        <f t="shared" si="125"/>
        <v>0</v>
      </c>
      <c r="CF71" s="229">
        <f t="shared" si="125"/>
        <v>0</v>
      </c>
      <c r="CG71" s="229">
        <f t="shared" si="125"/>
        <v>0</v>
      </c>
      <c r="CH71" s="229">
        <f t="shared" si="125"/>
        <v>0</v>
      </c>
      <c r="CI71" s="270">
        <f t="shared" si="125"/>
        <v>0</v>
      </c>
      <c r="CJ71" s="270">
        <f t="shared" si="125"/>
        <v>0</v>
      </c>
      <c r="CK71" s="270">
        <f t="shared" si="125"/>
        <v>0</v>
      </c>
      <c r="CL71" s="229">
        <f t="shared" si="125"/>
        <v>0</v>
      </c>
      <c r="CM71" s="229">
        <f t="shared" si="125"/>
        <v>0</v>
      </c>
      <c r="CN71" s="229">
        <f t="shared" si="125"/>
        <v>0</v>
      </c>
      <c r="CO71" s="271" t="s">
        <v>335</v>
      </c>
      <c r="CP71" s="303">
        <f t="shared" ref="CP71:ER71" si="126">CP72+CP73</f>
        <v>1065214000</v>
      </c>
      <c r="CQ71" s="303">
        <f t="shared" si="126"/>
        <v>1065214000</v>
      </c>
      <c r="CR71" s="303">
        <f t="shared" si="126"/>
        <v>0</v>
      </c>
      <c r="CS71" s="272">
        <f t="shared" si="126"/>
        <v>0</v>
      </c>
      <c r="CT71" s="272">
        <f t="shared" si="126"/>
        <v>0</v>
      </c>
      <c r="CU71" s="272">
        <f t="shared" si="126"/>
        <v>0</v>
      </c>
      <c r="CV71" s="272">
        <f t="shared" si="126"/>
        <v>0</v>
      </c>
      <c r="CW71" s="303">
        <f t="shared" si="126"/>
        <v>1065214000</v>
      </c>
      <c r="CX71" s="272">
        <f t="shared" si="126"/>
        <v>0</v>
      </c>
      <c r="CY71" s="272">
        <f t="shared" si="126"/>
        <v>0</v>
      </c>
      <c r="CZ71" s="272">
        <f t="shared" si="126"/>
        <v>0</v>
      </c>
      <c r="DA71" s="272">
        <f t="shared" si="126"/>
        <v>0</v>
      </c>
      <c r="DB71" s="272">
        <f t="shared" si="126"/>
        <v>0</v>
      </c>
      <c r="DC71" s="272">
        <f t="shared" si="126"/>
        <v>0</v>
      </c>
      <c r="DD71" s="272">
        <f t="shared" si="126"/>
        <v>0</v>
      </c>
      <c r="DE71" s="272">
        <f t="shared" si="126"/>
        <v>0</v>
      </c>
      <c r="DF71" s="272">
        <f t="shared" si="126"/>
        <v>0</v>
      </c>
      <c r="DG71" s="272">
        <f t="shared" si="126"/>
        <v>0</v>
      </c>
      <c r="DH71" s="272">
        <f t="shared" si="126"/>
        <v>0</v>
      </c>
      <c r="DI71" s="272">
        <f t="shared" si="126"/>
        <v>0</v>
      </c>
      <c r="DJ71" s="272">
        <f t="shared" si="126"/>
        <v>0</v>
      </c>
      <c r="DK71" s="272">
        <f t="shared" si="126"/>
        <v>0</v>
      </c>
      <c r="DL71" s="272">
        <f t="shared" si="126"/>
        <v>0</v>
      </c>
      <c r="DM71" s="272">
        <f>DM72+DM73</f>
        <v>0</v>
      </c>
      <c r="DN71" s="272">
        <f t="shared" si="126"/>
        <v>0</v>
      </c>
      <c r="DO71" s="272">
        <f t="shared" si="126"/>
        <v>0</v>
      </c>
      <c r="DP71" s="272">
        <f t="shared" si="126"/>
        <v>0</v>
      </c>
      <c r="DQ71" s="272">
        <f t="shared" si="126"/>
        <v>0</v>
      </c>
      <c r="DR71" s="272">
        <f t="shared" si="126"/>
        <v>0</v>
      </c>
      <c r="DS71" s="272">
        <f t="shared" si="126"/>
        <v>0</v>
      </c>
      <c r="DT71" s="272">
        <f t="shared" si="126"/>
        <v>0</v>
      </c>
      <c r="DU71" s="272">
        <f t="shared" si="126"/>
        <v>0</v>
      </c>
      <c r="DV71" s="272">
        <f t="shared" si="126"/>
        <v>0</v>
      </c>
      <c r="DW71" s="272">
        <f t="shared" si="126"/>
        <v>0</v>
      </c>
      <c r="DX71" s="272">
        <f t="shared" si="126"/>
        <v>0</v>
      </c>
      <c r="DY71" s="272">
        <f t="shared" si="126"/>
        <v>0</v>
      </c>
      <c r="DZ71" s="272">
        <f t="shared" si="126"/>
        <v>0</v>
      </c>
      <c r="EA71" s="272">
        <f t="shared" si="126"/>
        <v>0</v>
      </c>
      <c r="EB71" s="272">
        <f t="shared" si="126"/>
        <v>0</v>
      </c>
      <c r="EC71" s="272">
        <f t="shared" si="126"/>
        <v>0</v>
      </c>
      <c r="ED71" s="272">
        <f t="shared" si="126"/>
        <v>0</v>
      </c>
      <c r="EE71" s="272">
        <f t="shared" si="126"/>
        <v>0</v>
      </c>
      <c r="EF71" s="272">
        <f t="shared" si="126"/>
        <v>0</v>
      </c>
      <c r="EG71" s="272">
        <f t="shared" si="126"/>
        <v>1065214000</v>
      </c>
      <c r="EH71" s="272">
        <f t="shared" si="126"/>
        <v>0</v>
      </c>
      <c r="EI71" s="272">
        <f>EI72+EI73</f>
        <v>0</v>
      </c>
      <c r="EJ71" s="272">
        <f>EJ72+EJ73</f>
        <v>0</v>
      </c>
      <c r="EK71" s="272">
        <f t="shared" si="126"/>
        <v>0</v>
      </c>
      <c r="EL71" s="272">
        <f t="shared" si="126"/>
        <v>0</v>
      </c>
      <c r="EM71" s="272">
        <f t="shared" si="126"/>
        <v>0</v>
      </c>
      <c r="EN71" s="272">
        <f t="shared" si="126"/>
        <v>0</v>
      </c>
      <c r="EO71" s="272">
        <f t="shared" si="126"/>
        <v>0</v>
      </c>
      <c r="EP71" s="272">
        <f t="shared" si="126"/>
        <v>0</v>
      </c>
      <c r="EQ71" s="272">
        <f t="shared" si="126"/>
        <v>0</v>
      </c>
      <c r="ER71" s="303">
        <f t="shared" si="126"/>
        <v>0</v>
      </c>
      <c r="ES71" s="303">
        <f t="shared" ref="ES71:GB71" si="127">ES72+ES73</f>
        <v>0</v>
      </c>
      <c r="ET71" s="303">
        <f t="shared" si="127"/>
        <v>0</v>
      </c>
      <c r="EU71" s="272">
        <f t="shared" si="127"/>
        <v>0</v>
      </c>
      <c r="EV71" s="272">
        <f t="shared" si="127"/>
        <v>0</v>
      </c>
      <c r="EW71" s="272">
        <f t="shared" si="127"/>
        <v>0</v>
      </c>
      <c r="EX71" s="272">
        <f t="shared" si="127"/>
        <v>0</v>
      </c>
      <c r="EY71" s="272">
        <f>EY72+EY73</f>
        <v>0</v>
      </c>
      <c r="EZ71" s="272">
        <f>EZ72+EZ73</f>
        <v>0</v>
      </c>
      <c r="FA71" s="272">
        <f t="shared" si="127"/>
        <v>0</v>
      </c>
      <c r="FB71" s="272">
        <f t="shared" si="127"/>
        <v>0</v>
      </c>
      <c r="FC71" s="272">
        <f t="shared" si="127"/>
        <v>0</v>
      </c>
      <c r="FD71" s="272">
        <f t="shared" si="127"/>
        <v>0</v>
      </c>
      <c r="FE71" s="272">
        <f t="shared" si="127"/>
        <v>0</v>
      </c>
      <c r="FF71" s="272">
        <f t="shared" si="127"/>
        <v>0</v>
      </c>
      <c r="FG71" s="272">
        <f t="shared" si="127"/>
        <v>0</v>
      </c>
      <c r="FH71" s="272">
        <f t="shared" si="127"/>
        <v>0</v>
      </c>
      <c r="FI71" s="272">
        <f t="shared" si="127"/>
        <v>0</v>
      </c>
      <c r="FJ71" s="272">
        <f t="shared" si="127"/>
        <v>0</v>
      </c>
      <c r="FK71" s="272">
        <f t="shared" si="127"/>
        <v>0</v>
      </c>
      <c r="FL71" s="272">
        <f t="shared" si="127"/>
        <v>0</v>
      </c>
      <c r="FM71" s="272">
        <f t="shared" si="127"/>
        <v>0</v>
      </c>
      <c r="FN71" s="272">
        <f t="shared" si="127"/>
        <v>0</v>
      </c>
      <c r="FO71" s="272">
        <f t="shared" si="127"/>
        <v>0</v>
      </c>
      <c r="FP71" s="272">
        <f t="shared" si="127"/>
        <v>0</v>
      </c>
      <c r="FQ71" s="272">
        <f t="shared" si="127"/>
        <v>0</v>
      </c>
      <c r="FR71" s="272">
        <f t="shared" si="127"/>
        <v>0</v>
      </c>
      <c r="FS71" s="272">
        <f t="shared" si="127"/>
        <v>0</v>
      </c>
      <c r="FT71" s="272">
        <f t="shared" si="127"/>
        <v>0</v>
      </c>
      <c r="FU71" s="272">
        <f t="shared" si="127"/>
        <v>0</v>
      </c>
      <c r="FV71" s="303">
        <f t="shared" si="127"/>
        <v>0</v>
      </c>
      <c r="FW71" s="303">
        <f t="shared" si="127"/>
        <v>0</v>
      </c>
      <c r="FX71" s="303">
        <f t="shared" si="127"/>
        <v>0</v>
      </c>
      <c r="FY71" s="272">
        <f t="shared" si="127"/>
        <v>0</v>
      </c>
      <c r="FZ71" s="272">
        <f t="shared" si="127"/>
        <v>0</v>
      </c>
      <c r="GA71" s="272">
        <f t="shared" si="127"/>
        <v>0</v>
      </c>
      <c r="GB71" s="303">
        <f t="shared" si="127"/>
        <v>0</v>
      </c>
      <c r="GC71" s="328">
        <f>CP71/C71</f>
        <v>1</v>
      </c>
      <c r="GD71" s="328"/>
      <c r="GE71" s="328">
        <f>CW71/J71</f>
        <v>1</v>
      </c>
      <c r="GF71" s="328"/>
      <c r="GG71" s="328"/>
    </row>
    <row r="72" spans="1:189" s="264" customFormat="1" ht="17.25" customHeight="1">
      <c r="A72" s="227"/>
      <c r="B72" s="228" t="s">
        <v>183</v>
      </c>
      <c r="C72" s="270">
        <f>D72+BE72+CI72</f>
        <v>0</v>
      </c>
      <c r="D72" s="270">
        <f>E72+J72</f>
        <v>0</v>
      </c>
      <c r="E72" s="270">
        <f>SUM(F72:I72)</f>
        <v>0</v>
      </c>
      <c r="F72" s="229"/>
      <c r="G72" s="229"/>
      <c r="H72" s="229"/>
      <c r="I72" s="229"/>
      <c r="J72" s="270">
        <f>SUM(K72:BD72)</f>
        <v>0</v>
      </c>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29"/>
      <c r="AQ72" s="229"/>
      <c r="AR72" s="229"/>
      <c r="AS72" s="229"/>
      <c r="AT72" s="229"/>
      <c r="AU72" s="229"/>
      <c r="AV72" s="229"/>
      <c r="AW72" s="229"/>
      <c r="AX72" s="229"/>
      <c r="AY72" s="229"/>
      <c r="AZ72" s="229"/>
      <c r="BA72" s="229"/>
      <c r="BB72" s="229"/>
      <c r="BC72" s="229"/>
      <c r="BD72" s="229"/>
      <c r="BE72" s="270">
        <f>SUM(BF72:BG72)</f>
        <v>0</v>
      </c>
      <c r="BF72" s="270">
        <f>SUM(BH72:BI72)+BJ72+BM72+BW72+CE72</f>
        <v>0</v>
      </c>
      <c r="BG72" s="270">
        <f>BK72+SUM(BO72:BV72)+SUM(BX72:CD72)+SUM(CF72:CH72)</f>
        <v>0</v>
      </c>
      <c r="BH72" s="229"/>
      <c r="BI72" s="229"/>
      <c r="BJ72" s="229"/>
      <c r="BK72" s="229"/>
      <c r="BL72" s="229"/>
      <c r="BM72" s="229"/>
      <c r="BN72" s="229"/>
      <c r="BO72" s="229"/>
      <c r="BP72" s="229"/>
      <c r="BQ72" s="229"/>
      <c r="BR72" s="229"/>
      <c r="BS72" s="229"/>
      <c r="BT72" s="229"/>
      <c r="BU72" s="229"/>
      <c r="BV72" s="229"/>
      <c r="BW72" s="229"/>
      <c r="BX72" s="229"/>
      <c r="BY72" s="229"/>
      <c r="BZ72" s="229"/>
      <c r="CA72" s="229"/>
      <c r="CB72" s="229"/>
      <c r="CC72" s="229"/>
      <c r="CD72" s="229"/>
      <c r="CE72" s="229"/>
      <c r="CF72" s="229"/>
      <c r="CG72" s="229"/>
      <c r="CH72" s="229"/>
      <c r="CI72" s="270">
        <f>SUM(CJ72:CK72)</f>
        <v>0</v>
      </c>
      <c r="CJ72" s="270">
        <f>SUM(CL72:CL72)</f>
        <v>0</v>
      </c>
      <c r="CK72" s="270">
        <f>SUM(CM72:CN72)</f>
        <v>0</v>
      </c>
      <c r="CL72" s="229"/>
      <c r="CM72" s="229"/>
      <c r="CN72" s="229"/>
      <c r="CO72" s="271" t="s">
        <v>183</v>
      </c>
      <c r="CP72" s="303">
        <f>CQ72+ER72+FV72+GB72</f>
        <v>0</v>
      </c>
      <c r="CQ72" s="303">
        <f>CR72+CW72</f>
        <v>0</v>
      </c>
      <c r="CR72" s="303">
        <f>SUM(CS72:CV72)</f>
        <v>0</v>
      </c>
      <c r="CS72" s="272"/>
      <c r="CT72" s="272"/>
      <c r="CU72" s="272"/>
      <c r="CV72" s="272"/>
      <c r="CW72" s="303">
        <f>SUM(CX72:EQ72)</f>
        <v>0</v>
      </c>
      <c r="CX72" s="272"/>
      <c r="CY72" s="272"/>
      <c r="CZ72" s="272"/>
      <c r="DA72" s="272"/>
      <c r="DB72" s="272"/>
      <c r="DC72" s="272"/>
      <c r="DD72" s="272"/>
      <c r="DE72" s="272"/>
      <c r="DF72" s="272"/>
      <c r="DG72" s="272"/>
      <c r="DH72" s="272"/>
      <c r="DI72" s="272"/>
      <c r="DJ72" s="272"/>
      <c r="DK72" s="272"/>
      <c r="DL72" s="272"/>
      <c r="DM72" s="272"/>
      <c r="DN72" s="272"/>
      <c r="DO72" s="272"/>
      <c r="DP72" s="272"/>
      <c r="DQ72" s="272"/>
      <c r="DR72" s="272"/>
      <c r="DS72" s="272"/>
      <c r="DT72" s="272"/>
      <c r="DU72" s="272"/>
      <c r="DV72" s="272"/>
      <c r="DW72" s="272"/>
      <c r="DX72" s="272"/>
      <c r="DY72" s="272"/>
      <c r="DZ72" s="272"/>
      <c r="EA72" s="272"/>
      <c r="EB72" s="272"/>
      <c r="EC72" s="272"/>
      <c r="ED72" s="272"/>
      <c r="EE72" s="272"/>
      <c r="EF72" s="272"/>
      <c r="EG72" s="272"/>
      <c r="EH72" s="272"/>
      <c r="EI72" s="272"/>
      <c r="EJ72" s="272"/>
      <c r="EK72" s="272"/>
      <c r="EL72" s="272"/>
      <c r="EM72" s="272"/>
      <c r="EN72" s="272"/>
      <c r="EO72" s="272"/>
      <c r="EP72" s="272"/>
      <c r="EQ72" s="272"/>
      <c r="ER72" s="303">
        <f>SUM(ES72:ET72)</f>
        <v>0</v>
      </c>
      <c r="ES72" s="303">
        <f>SUM(EU72:EV72)+EW72+EZ72+FJ72+FR72</f>
        <v>0</v>
      </c>
      <c r="ET72" s="303">
        <f>EX72+SUM(FB72:FI72)+SUM(FK72:FQ72)+SUM(FS72:FU72)</f>
        <v>0</v>
      </c>
      <c r="EU72" s="272"/>
      <c r="EV72" s="272"/>
      <c r="EW72" s="272"/>
      <c r="EX72" s="272"/>
      <c r="EY72" s="272"/>
      <c r="EZ72" s="272"/>
      <c r="FA72" s="272"/>
      <c r="FB72" s="272"/>
      <c r="FC72" s="272"/>
      <c r="FD72" s="272"/>
      <c r="FE72" s="272"/>
      <c r="FF72" s="272"/>
      <c r="FG72" s="272"/>
      <c r="FH72" s="272"/>
      <c r="FI72" s="272"/>
      <c r="FJ72" s="272"/>
      <c r="FK72" s="272"/>
      <c r="FL72" s="272"/>
      <c r="FM72" s="272"/>
      <c r="FN72" s="272"/>
      <c r="FO72" s="272"/>
      <c r="FP72" s="272"/>
      <c r="FQ72" s="272"/>
      <c r="FR72" s="272"/>
      <c r="FS72" s="272"/>
      <c r="FT72" s="272"/>
      <c r="FU72" s="272"/>
      <c r="FV72" s="303">
        <f>SUM(FW72:FX72)</f>
        <v>0</v>
      </c>
      <c r="FW72" s="303">
        <f>SUM(FY72:FY72)</f>
        <v>0</v>
      </c>
      <c r="FX72" s="303">
        <f>SUM(FZ72:GA72)</f>
        <v>0</v>
      </c>
      <c r="FY72" s="272"/>
      <c r="FZ72" s="272"/>
      <c r="GA72" s="272"/>
      <c r="GB72" s="303"/>
      <c r="GC72" s="328"/>
      <c r="GD72" s="328"/>
      <c r="GE72" s="328"/>
      <c r="GF72" s="328"/>
      <c r="GG72" s="328"/>
    </row>
    <row r="73" spans="1:189" s="264" customFormat="1" ht="17.25" customHeight="1">
      <c r="A73" s="227"/>
      <c r="B73" s="228" t="s">
        <v>184</v>
      </c>
      <c r="C73" s="270">
        <f>D73+BE73+CI73</f>
        <v>1065214000</v>
      </c>
      <c r="D73" s="270">
        <f>E73+J73</f>
        <v>1065214000</v>
      </c>
      <c r="E73" s="270">
        <f>SUM(F73:I73)</f>
        <v>0</v>
      </c>
      <c r="F73" s="229"/>
      <c r="G73" s="229"/>
      <c r="H73" s="229"/>
      <c r="I73" s="229"/>
      <c r="J73" s="270">
        <f>SUM(K73:BD73)</f>
        <v>1065214000</v>
      </c>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v>1065214000</v>
      </c>
      <c r="AU73" s="229"/>
      <c r="AV73" s="229"/>
      <c r="AW73" s="229"/>
      <c r="AX73" s="229"/>
      <c r="AY73" s="229"/>
      <c r="AZ73" s="229"/>
      <c r="BA73" s="229"/>
      <c r="BB73" s="229"/>
      <c r="BC73" s="229"/>
      <c r="BD73" s="229"/>
      <c r="BE73" s="270">
        <f>SUM(BF73:BG73)</f>
        <v>0</v>
      </c>
      <c r="BF73" s="270">
        <f>SUM(BH73:BI73)+BJ73+BM73+BW73+CE73</f>
        <v>0</v>
      </c>
      <c r="BG73" s="270">
        <f>BK73+SUM(BO73:BV73)+SUM(BX73:CD73)+SUM(CF73:CH73)</f>
        <v>0</v>
      </c>
      <c r="BH73" s="229"/>
      <c r="BI73" s="229"/>
      <c r="BJ73" s="229"/>
      <c r="BK73" s="229"/>
      <c r="BL73" s="229"/>
      <c r="BM73" s="229"/>
      <c r="BN73" s="229"/>
      <c r="BO73" s="229"/>
      <c r="BP73" s="229"/>
      <c r="BQ73" s="229"/>
      <c r="BR73" s="229"/>
      <c r="BS73" s="229"/>
      <c r="BT73" s="229"/>
      <c r="BU73" s="229"/>
      <c r="BV73" s="229"/>
      <c r="BW73" s="229"/>
      <c r="BX73" s="229"/>
      <c r="BY73" s="229"/>
      <c r="BZ73" s="229"/>
      <c r="CA73" s="229"/>
      <c r="CB73" s="229"/>
      <c r="CC73" s="229"/>
      <c r="CD73" s="229"/>
      <c r="CE73" s="229"/>
      <c r="CF73" s="229"/>
      <c r="CG73" s="229"/>
      <c r="CH73" s="229"/>
      <c r="CI73" s="270">
        <f>SUM(CJ73:CK73)</f>
        <v>0</v>
      </c>
      <c r="CJ73" s="270">
        <f>SUM(CL73:CL73)</f>
        <v>0</v>
      </c>
      <c r="CK73" s="270">
        <f>SUM(CM73:CN73)</f>
        <v>0</v>
      </c>
      <c r="CL73" s="229"/>
      <c r="CM73" s="229"/>
      <c r="CN73" s="229"/>
      <c r="CO73" s="271" t="s">
        <v>184</v>
      </c>
      <c r="CP73" s="303">
        <f>CQ73+ER73+FV73+GB73</f>
        <v>1065214000</v>
      </c>
      <c r="CQ73" s="303">
        <f>CR73+CW73</f>
        <v>1065214000</v>
      </c>
      <c r="CR73" s="303">
        <f>SUM(CS73:CV73)</f>
        <v>0</v>
      </c>
      <c r="CS73" s="272"/>
      <c r="CT73" s="272"/>
      <c r="CU73" s="272"/>
      <c r="CV73" s="272"/>
      <c r="CW73" s="303">
        <f>SUM(CX73:EQ73)</f>
        <v>1065214000</v>
      </c>
      <c r="CX73" s="272"/>
      <c r="CY73" s="272"/>
      <c r="CZ73" s="272"/>
      <c r="DA73" s="272"/>
      <c r="DB73" s="272"/>
      <c r="DC73" s="272"/>
      <c r="DD73" s="272"/>
      <c r="DE73" s="272"/>
      <c r="DF73" s="272"/>
      <c r="DG73" s="272"/>
      <c r="DH73" s="272"/>
      <c r="DI73" s="272"/>
      <c r="DJ73" s="272"/>
      <c r="DK73" s="272"/>
      <c r="DL73" s="272"/>
      <c r="DM73" s="272"/>
      <c r="DN73" s="272"/>
      <c r="DO73" s="272"/>
      <c r="DP73" s="272"/>
      <c r="DQ73" s="272"/>
      <c r="DR73" s="272"/>
      <c r="DS73" s="272"/>
      <c r="DT73" s="272"/>
      <c r="DU73" s="272"/>
      <c r="DV73" s="272"/>
      <c r="DW73" s="272"/>
      <c r="DX73" s="272"/>
      <c r="DY73" s="272"/>
      <c r="DZ73" s="272"/>
      <c r="EA73" s="272"/>
      <c r="EB73" s="272"/>
      <c r="EC73" s="272"/>
      <c r="ED73" s="272"/>
      <c r="EE73" s="272"/>
      <c r="EF73" s="272"/>
      <c r="EG73" s="272">
        <v>1065214000</v>
      </c>
      <c r="EH73" s="272"/>
      <c r="EI73" s="272"/>
      <c r="EJ73" s="272"/>
      <c r="EK73" s="272"/>
      <c r="EL73" s="272"/>
      <c r="EM73" s="272"/>
      <c r="EN73" s="272"/>
      <c r="EO73" s="272"/>
      <c r="EP73" s="272"/>
      <c r="EQ73" s="272"/>
      <c r="ER73" s="303">
        <f>SUM(ES73:ET73)</f>
        <v>0</v>
      </c>
      <c r="ES73" s="303">
        <f>SUM(EU73:EV73)+EW73+EZ73+FJ73+FR73</f>
        <v>0</v>
      </c>
      <c r="ET73" s="303">
        <f>EX73+SUM(FB73:FI73)+SUM(FK73:FQ73)+SUM(FS73:FU73)</f>
        <v>0</v>
      </c>
      <c r="EU73" s="272"/>
      <c r="EV73" s="272"/>
      <c r="EW73" s="272"/>
      <c r="EX73" s="272"/>
      <c r="EY73" s="272"/>
      <c r="EZ73" s="272"/>
      <c r="FA73" s="272"/>
      <c r="FB73" s="272"/>
      <c r="FC73" s="272"/>
      <c r="FD73" s="272"/>
      <c r="FE73" s="272"/>
      <c r="FF73" s="272"/>
      <c r="FG73" s="272"/>
      <c r="FH73" s="272"/>
      <c r="FI73" s="272"/>
      <c r="FJ73" s="272"/>
      <c r="FK73" s="272"/>
      <c r="FL73" s="272"/>
      <c r="FM73" s="272"/>
      <c r="FN73" s="272"/>
      <c r="FO73" s="272"/>
      <c r="FP73" s="272"/>
      <c r="FQ73" s="272"/>
      <c r="FR73" s="272"/>
      <c r="FS73" s="272"/>
      <c r="FT73" s="272"/>
      <c r="FU73" s="272"/>
      <c r="FV73" s="303">
        <f>SUM(FW73:FX73)</f>
        <v>0</v>
      </c>
      <c r="FW73" s="303">
        <f>SUM(FY73:FY73)</f>
        <v>0</v>
      </c>
      <c r="FX73" s="303">
        <f>SUM(FZ73:GA73)</f>
        <v>0</v>
      </c>
      <c r="FY73" s="272"/>
      <c r="FZ73" s="272"/>
      <c r="GA73" s="272"/>
      <c r="GB73" s="303"/>
      <c r="GC73" s="328">
        <f>CP73/C73</f>
        <v>1</v>
      </c>
      <c r="GD73" s="328"/>
      <c r="GE73" s="328">
        <f>CW73/J73</f>
        <v>1</v>
      </c>
      <c r="GF73" s="328"/>
      <c r="GG73" s="328"/>
    </row>
    <row r="74" spans="1:189" s="92" customFormat="1" ht="17.25" customHeight="1">
      <c r="A74" s="227">
        <v>21</v>
      </c>
      <c r="B74" s="228" t="s">
        <v>392</v>
      </c>
      <c r="C74" s="270">
        <f t="shared" ref="C74:AI74" si="128">C75+C76</f>
        <v>99785109432</v>
      </c>
      <c r="D74" s="270">
        <f t="shared" si="128"/>
        <v>8404109432</v>
      </c>
      <c r="E74" s="270">
        <f t="shared" si="128"/>
        <v>0</v>
      </c>
      <c r="F74" s="229">
        <f t="shared" si="128"/>
        <v>0</v>
      </c>
      <c r="G74" s="229">
        <f t="shared" si="128"/>
        <v>0</v>
      </c>
      <c r="H74" s="229">
        <f t="shared" si="128"/>
        <v>0</v>
      </c>
      <c r="I74" s="229">
        <f t="shared" si="128"/>
        <v>0</v>
      </c>
      <c r="J74" s="270">
        <f t="shared" si="128"/>
        <v>8404109432</v>
      </c>
      <c r="K74" s="229">
        <f t="shared" si="128"/>
        <v>0</v>
      </c>
      <c r="L74" s="229">
        <f t="shared" si="128"/>
        <v>0</v>
      </c>
      <c r="M74" s="229">
        <f t="shared" si="128"/>
        <v>0</v>
      </c>
      <c r="N74" s="229">
        <f t="shared" si="128"/>
        <v>0</v>
      </c>
      <c r="O74" s="229">
        <f t="shared" si="128"/>
        <v>0</v>
      </c>
      <c r="P74" s="229">
        <f t="shared" si="128"/>
        <v>0</v>
      </c>
      <c r="Q74" s="229">
        <f t="shared" si="128"/>
        <v>0</v>
      </c>
      <c r="R74" s="229">
        <f t="shared" si="128"/>
        <v>0</v>
      </c>
      <c r="S74" s="229">
        <f t="shared" si="128"/>
        <v>0</v>
      </c>
      <c r="T74" s="229">
        <f t="shared" si="128"/>
        <v>0</v>
      </c>
      <c r="U74" s="229">
        <f t="shared" si="128"/>
        <v>0</v>
      </c>
      <c r="V74" s="229">
        <f t="shared" si="128"/>
        <v>0</v>
      </c>
      <c r="W74" s="229">
        <f t="shared" si="128"/>
        <v>0</v>
      </c>
      <c r="X74" s="229">
        <f t="shared" si="128"/>
        <v>0</v>
      </c>
      <c r="Y74" s="229">
        <f t="shared" si="128"/>
        <v>0</v>
      </c>
      <c r="Z74" s="229">
        <f t="shared" si="128"/>
        <v>0</v>
      </c>
      <c r="AA74" s="229">
        <f t="shared" si="128"/>
        <v>0</v>
      </c>
      <c r="AB74" s="229">
        <f t="shared" si="128"/>
        <v>0</v>
      </c>
      <c r="AC74" s="229">
        <f t="shared" si="128"/>
        <v>0</v>
      </c>
      <c r="AD74" s="229">
        <f t="shared" si="128"/>
        <v>0</v>
      </c>
      <c r="AE74" s="229">
        <f t="shared" si="128"/>
        <v>0</v>
      </c>
      <c r="AF74" s="229">
        <f t="shared" si="128"/>
        <v>0</v>
      </c>
      <c r="AG74" s="229">
        <f t="shared" si="128"/>
        <v>0</v>
      </c>
      <c r="AH74" s="229">
        <f t="shared" si="128"/>
        <v>0</v>
      </c>
      <c r="AI74" s="229">
        <f t="shared" si="128"/>
        <v>0</v>
      </c>
      <c r="AJ74" s="229">
        <f t="shared" ref="AJ74:AO74" si="129">AJ75+AJ76</f>
        <v>3758526000</v>
      </c>
      <c r="AK74" s="229">
        <f t="shared" si="129"/>
        <v>0</v>
      </c>
      <c r="AL74" s="229">
        <f t="shared" si="129"/>
        <v>1388629280</v>
      </c>
      <c r="AM74" s="229">
        <f t="shared" si="129"/>
        <v>0</v>
      </c>
      <c r="AN74" s="229">
        <f t="shared" si="129"/>
        <v>0</v>
      </c>
      <c r="AO74" s="229">
        <f t="shared" si="129"/>
        <v>0</v>
      </c>
      <c r="AP74" s="229">
        <f t="shared" ref="AP74:AU74" si="130">AP75+AP76</f>
        <v>0</v>
      </c>
      <c r="AQ74" s="229">
        <f t="shared" si="130"/>
        <v>0</v>
      </c>
      <c r="AR74" s="229">
        <f t="shared" si="130"/>
        <v>0</v>
      </c>
      <c r="AS74" s="229">
        <f t="shared" si="130"/>
        <v>0</v>
      </c>
      <c r="AT74" s="229">
        <f t="shared" si="130"/>
        <v>2237954152</v>
      </c>
      <c r="AU74" s="229">
        <f t="shared" si="130"/>
        <v>0</v>
      </c>
      <c r="AV74" s="229">
        <f>AV75+AV76</f>
        <v>1019000000</v>
      </c>
      <c r="AW74" s="229">
        <f>AW75+AW76</f>
        <v>0</v>
      </c>
      <c r="AX74" s="229">
        <f t="shared" ref="AX74:CN74" si="131">AX75+AX76</f>
        <v>0</v>
      </c>
      <c r="AY74" s="229">
        <f t="shared" si="131"/>
        <v>0</v>
      </c>
      <c r="AZ74" s="229">
        <f t="shared" si="131"/>
        <v>0</v>
      </c>
      <c r="BA74" s="229">
        <f t="shared" si="131"/>
        <v>0</v>
      </c>
      <c r="BB74" s="229">
        <f t="shared" si="131"/>
        <v>0</v>
      </c>
      <c r="BC74" s="229">
        <f t="shared" si="131"/>
        <v>0</v>
      </c>
      <c r="BD74" s="229">
        <f t="shared" si="131"/>
        <v>0</v>
      </c>
      <c r="BE74" s="270">
        <f t="shared" si="131"/>
        <v>91381000000</v>
      </c>
      <c r="BF74" s="270">
        <f t="shared" si="131"/>
        <v>0</v>
      </c>
      <c r="BG74" s="270">
        <f t="shared" si="131"/>
        <v>91381000000</v>
      </c>
      <c r="BH74" s="229">
        <f t="shared" si="131"/>
        <v>0</v>
      </c>
      <c r="BI74" s="229">
        <f t="shared" si="131"/>
        <v>0</v>
      </c>
      <c r="BJ74" s="229">
        <f t="shared" si="131"/>
        <v>0</v>
      </c>
      <c r="BK74" s="229">
        <f t="shared" si="131"/>
        <v>0</v>
      </c>
      <c r="BL74" s="229">
        <f>BL75+BL76</f>
        <v>0</v>
      </c>
      <c r="BM74" s="229">
        <f>BM75+BM76</f>
        <v>0</v>
      </c>
      <c r="BN74" s="229">
        <f t="shared" si="131"/>
        <v>0</v>
      </c>
      <c r="BO74" s="229">
        <f t="shared" si="131"/>
        <v>0</v>
      </c>
      <c r="BP74" s="229">
        <f t="shared" si="131"/>
        <v>69162000000</v>
      </c>
      <c r="BQ74" s="229">
        <f t="shared" si="131"/>
        <v>0</v>
      </c>
      <c r="BR74" s="229">
        <f t="shared" si="131"/>
        <v>0</v>
      </c>
      <c r="BS74" s="229">
        <f t="shared" si="131"/>
        <v>0</v>
      </c>
      <c r="BT74" s="229">
        <f t="shared" si="131"/>
        <v>0</v>
      </c>
      <c r="BU74" s="229">
        <f t="shared" si="131"/>
        <v>0</v>
      </c>
      <c r="BV74" s="229">
        <f t="shared" si="131"/>
        <v>0</v>
      </c>
      <c r="BW74" s="229">
        <f t="shared" si="131"/>
        <v>0</v>
      </c>
      <c r="BX74" s="229">
        <f t="shared" si="131"/>
        <v>0</v>
      </c>
      <c r="BY74" s="229">
        <f t="shared" si="131"/>
        <v>15539000000</v>
      </c>
      <c r="BZ74" s="229">
        <f t="shared" si="131"/>
        <v>6680000000</v>
      </c>
      <c r="CA74" s="229">
        <f t="shared" si="131"/>
        <v>0</v>
      </c>
      <c r="CB74" s="229">
        <f t="shared" si="131"/>
        <v>0</v>
      </c>
      <c r="CC74" s="229">
        <f t="shared" si="131"/>
        <v>0</v>
      </c>
      <c r="CD74" s="229">
        <f t="shared" si="131"/>
        <v>0</v>
      </c>
      <c r="CE74" s="229">
        <f t="shared" si="131"/>
        <v>0</v>
      </c>
      <c r="CF74" s="229">
        <f t="shared" si="131"/>
        <v>0</v>
      </c>
      <c r="CG74" s="229">
        <f t="shared" si="131"/>
        <v>0</v>
      </c>
      <c r="CH74" s="229">
        <f t="shared" si="131"/>
        <v>0</v>
      </c>
      <c r="CI74" s="270">
        <f t="shared" si="131"/>
        <v>0</v>
      </c>
      <c r="CJ74" s="270">
        <f t="shared" si="131"/>
        <v>0</v>
      </c>
      <c r="CK74" s="270">
        <f t="shared" si="131"/>
        <v>0</v>
      </c>
      <c r="CL74" s="229">
        <f t="shared" si="131"/>
        <v>0</v>
      </c>
      <c r="CM74" s="229">
        <f t="shared" si="131"/>
        <v>0</v>
      </c>
      <c r="CN74" s="229">
        <f t="shared" si="131"/>
        <v>0</v>
      </c>
      <c r="CO74" s="271" t="s">
        <v>392</v>
      </c>
      <c r="CP74" s="303">
        <f t="shared" ref="CP74:ER74" si="132">CP75+CP76</f>
        <v>99785109432</v>
      </c>
      <c r="CQ74" s="303">
        <f t="shared" si="132"/>
        <v>7385109432</v>
      </c>
      <c r="CR74" s="303">
        <f t="shared" si="132"/>
        <v>0</v>
      </c>
      <c r="CS74" s="272">
        <f t="shared" si="132"/>
        <v>0</v>
      </c>
      <c r="CT74" s="272">
        <f t="shared" si="132"/>
        <v>0</v>
      </c>
      <c r="CU74" s="272">
        <f t="shared" si="132"/>
        <v>0</v>
      </c>
      <c r="CV74" s="272">
        <f t="shared" si="132"/>
        <v>0</v>
      </c>
      <c r="CW74" s="303">
        <f t="shared" si="132"/>
        <v>7385109432</v>
      </c>
      <c r="CX74" s="272">
        <f t="shared" si="132"/>
        <v>0</v>
      </c>
      <c r="CY74" s="272">
        <f t="shared" si="132"/>
        <v>0</v>
      </c>
      <c r="CZ74" s="272">
        <f t="shared" si="132"/>
        <v>0</v>
      </c>
      <c r="DA74" s="272">
        <f t="shared" si="132"/>
        <v>0</v>
      </c>
      <c r="DB74" s="272">
        <f t="shared" si="132"/>
        <v>0</v>
      </c>
      <c r="DC74" s="272">
        <f t="shared" si="132"/>
        <v>0</v>
      </c>
      <c r="DD74" s="272">
        <f t="shared" si="132"/>
        <v>0</v>
      </c>
      <c r="DE74" s="272">
        <f t="shared" si="132"/>
        <v>0</v>
      </c>
      <c r="DF74" s="272">
        <f t="shared" si="132"/>
        <v>0</v>
      </c>
      <c r="DG74" s="272">
        <f t="shared" si="132"/>
        <v>0</v>
      </c>
      <c r="DH74" s="272">
        <f t="shared" si="132"/>
        <v>0</v>
      </c>
      <c r="DI74" s="272">
        <f t="shared" si="132"/>
        <v>0</v>
      </c>
      <c r="DJ74" s="272">
        <f t="shared" si="132"/>
        <v>0</v>
      </c>
      <c r="DK74" s="272">
        <f t="shared" si="132"/>
        <v>0</v>
      </c>
      <c r="DL74" s="272">
        <f t="shared" si="132"/>
        <v>0</v>
      </c>
      <c r="DM74" s="272">
        <f>DM75+DM76</f>
        <v>0</v>
      </c>
      <c r="DN74" s="272">
        <f t="shared" si="132"/>
        <v>0</v>
      </c>
      <c r="DO74" s="272">
        <f t="shared" si="132"/>
        <v>0</v>
      </c>
      <c r="DP74" s="272">
        <f t="shared" si="132"/>
        <v>0</v>
      </c>
      <c r="DQ74" s="272">
        <f t="shared" si="132"/>
        <v>0</v>
      </c>
      <c r="DR74" s="272">
        <f t="shared" si="132"/>
        <v>0</v>
      </c>
      <c r="DS74" s="272">
        <f t="shared" si="132"/>
        <v>0</v>
      </c>
      <c r="DT74" s="272">
        <f t="shared" si="132"/>
        <v>0</v>
      </c>
      <c r="DU74" s="272">
        <f t="shared" si="132"/>
        <v>0</v>
      </c>
      <c r="DV74" s="272">
        <f t="shared" si="132"/>
        <v>0</v>
      </c>
      <c r="DW74" s="272">
        <f t="shared" si="132"/>
        <v>3758526000</v>
      </c>
      <c r="DX74" s="272">
        <f t="shared" si="132"/>
        <v>0</v>
      </c>
      <c r="DY74" s="272">
        <f t="shared" si="132"/>
        <v>1388629280</v>
      </c>
      <c r="DZ74" s="272">
        <f t="shared" si="132"/>
        <v>0</v>
      </c>
      <c r="EA74" s="272">
        <f t="shared" si="132"/>
        <v>0</v>
      </c>
      <c r="EB74" s="272">
        <f t="shared" si="132"/>
        <v>0</v>
      </c>
      <c r="EC74" s="272">
        <f t="shared" si="132"/>
        <v>0</v>
      </c>
      <c r="ED74" s="272">
        <f t="shared" si="132"/>
        <v>0</v>
      </c>
      <c r="EE74" s="272">
        <f t="shared" si="132"/>
        <v>0</v>
      </c>
      <c r="EF74" s="272">
        <f t="shared" si="132"/>
        <v>0</v>
      </c>
      <c r="EG74" s="272">
        <f t="shared" si="132"/>
        <v>2237954152</v>
      </c>
      <c r="EH74" s="272">
        <f t="shared" si="132"/>
        <v>0</v>
      </c>
      <c r="EI74" s="272">
        <f>EI75+EI76</f>
        <v>0</v>
      </c>
      <c r="EJ74" s="272">
        <f>EJ75+EJ76</f>
        <v>0</v>
      </c>
      <c r="EK74" s="272">
        <f t="shared" si="132"/>
        <v>0</v>
      </c>
      <c r="EL74" s="272">
        <f t="shared" si="132"/>
        <v>0</v>
      </c>
      <c r="EM74" s="272">
        <f t="shared" si="132"/>
        <v>0</v>
      </c>
      <c r="EN74" s="272">
        <f t="shared" si="132"/>
        <v>0</v>
      </c>
      <c r="EO74" s="272">
        <f t="shared" si="132"/>
        <v>0</v>
      </c>
      <c r="EP74" s="272">
        <f t="shared" si="132"/>
        <v>0</v>
      </c>
      <c r="EQ74" s="272">
        <f t="shared" si="132"/>
        <v>0</v>
      </c>
      <c r="ER74" s="303">
        <f t="shared" si="132"/>
        <v>34884499547</v>
      </c>
      <c r="ES74" s="303">
        <f t="shared" ref="ES74:GB74" si="133">ES75+ES76</f>
        <v>0</v>
      </c>
      <c r="ET74" s="303">
        <f t="shared" si="133"/>
        <v>34884499547</v>
      </c>
      <c r="EU74" s="272">
        <f t="shared" si="133"/>
        <v>0</v>
      </c>
      <c r="EV74" s="272">
        <f t="shared" si="133"/>
        <v>0</v>
      </c>
      <c r="EW74" s="272">
        <f t="shared" si="133"/>
        <v>0</v>
      </c>
      <c r="EX74" s="272">
        <f t="shared" si="133"/>
        <v>0</v>
      </c>
      <c r="EY74" s="272">
        <f>EY75+EY76</f>
        <v>0</v>
      </c>
      <c r="EZ74" s="272">
        <f>EZ75+EZ76</f>
        <v>0</v>
      </c>
      <c r="FA74" s="272">
        <f t="shared" si="133"/>
        <v>0</v>
      </c>
      <c r="FB74" s="272">
        <f t="shared" si="133"/>
        <v>0</v>
      </c>
      <c r="FC74" s="272">
        <f t="shared" si="133"/>
        <v>34884499547</v>
      </c>
      <c r="FD74" s="272">
        <f t="shared" si="133"/>
        <v>0</v>
      </c>
      <c r="FE74" s="272">
        <f t="shared" si="133"/>
        <v>0</v>
      </c>
      <c r="FF74" s="272">
        <f t="shared" si="133"/>
        <v>0</v>
      </c>
      <c r="FG74" s="272">
        <f t="shared" si="133"/>
        <v>0</v>
      </c>
      <c r="FH74" s="272">
        <f t="shared" si="133"/>
        <v>0</v>
      </c>
      <c r="FI74" s="272">
        <f t="shared" si="133"/>
        <v>0</v>
      </c>
      <c r="FJ74" s="272">
        <f t="shared" si="133"/>
        <v>0</v>
      </c>
      <c r="FK74" s="272">
        <f t="shared" si="133"/>
        <v>0</v>
      </c>
      <c r="FL74" s="272">
        <f t="shared" si="133"/>
        <v>0</v>
      </c>
      <c r="FM74" s="272">
        <f t="shared" si="133"/>
        <v>0</v>
      </c>
      <c r="FN74" s="272">
        <f t="shared" si="133"/>
        <v>0</v>
      </c>
      <c r="FO74" s="272">
        <f t="shared" si="133"/>
        <v>0</v>
      </c>
      <c r="FP74" s="272">
        <f t="shared" si="133"/>
        <v>0</v>
      </c>
      <c r="FQ74" s="272">
        <f t="shared" si="133"/>
        <v>0</v>
      </c>
      <c r="FR74" s="272">
        <f t="shared" si="133"/>
        <v>0</v>
      </c>
      <c r="FS74" s="272">
        <f t="shared" si="133"/>
        <v>0</v>
      </c>
      <c r="FT74" s="272">
        <f t="shared" si="133"/>
        <v>0</v>
      </c>
      <c r="FU74" s="272">
        <f t="shared" si="133"/>
        <v>0</v>
      </c>
      <c r="FV74" s="303">
        <f t="shared" si="133"/>
        <v>0</v>
      </c>
      <c r="FW74" s="303">
        <f t="shared" si="133"/>
        <v>0</v>
      </c>
      <c r="FX74" s="303">
        <f t="shared" si="133"/>
        <v>0</v>
      </c>
      <c r="FY74" s="272">
        <f t="shared" si="133"/>
        <v>0</v>
      </c>
      <c r="FZ74" s="272">
        <f t="shared" si="133"/>
        <v>0</v>
      </c>
      <c r="GA74" s="272">
        <f t="shared" si="133"/>
        <v>0</v>
      </c>
      <c r="GB74" s="303">
        <f t="shared" si="133"/>
        <v>57515500453</v>
      </c>
      <c r="GC74" s="328">
        <f>CP74/C74</f>
        <v>1</v>
      </c>
      <c r="GD74" s="328"/>
      <c r="GE74" s="328">
        <f>CW74/J74</f>
        <v>0.87874979398530995</v>
      </c>
      <c r="GF74" s="328">
        <f>ER74/BE74</f>
        <v>0.3817478419693372</v>
      </c>
      <c r="GG74" s="328"/>
    </row>
    <row r="75" spans="1:189" s="92" customFormat="1" ht="17.25" customHeight="1">
      <c r="A75" s="227"/>
      <c r="B75" s="228" t="s">
        <v>183</v>
      </c>
      <c r="C75" s="270">
        <f>D75+BE75+CI75</f>
        <v>0</v>
      </c>
      <c r="D75" s="270">
        <f>E75+J75</f>
        <v>0</v>
      </c>
      <c r="E75" s="270">
        <f>SUM(F75:I75)</f>
        <v>0</v>
      </c>
      <c r="F75" s="229"/>
      <c r="G75" s="229"/>
      <c r="H75" s="229"/>
      <c r="I75" s="229"/>
      <c r="J75" s="270">
        <f>SUM(K75:BD75)</f>
        <v>0</v>
      </c>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c r="BC75" s="229"/>
      <c r="BD75" s="229"/>
      <c r="BE75" s="270">
        <f>SUM(BF75:BG75)</f>
        <v>0</v>
      </c>
      <c r="BF75" s="270">
        <f>SUM(BH75:BI75)+BJ75+SUM(BL75:BN75)+BW75+CE75</f>
        <v>0</v>
      </c>
      <c r="BG75" s="270">
        <f>BK75+SUM(BO75:BV75)+SUM(BX75:CD75)+SUM(CF75:CH75)</f>
        <v>0</v>
      </c>
      <c r="BH75" s="229"/>
      <c r="BI75" s="229"/>
      <c r="BJ75" s="229"/>
      <c r="BK75" s="229"/>
      <c r="BL75" s="229"/>
      <c r="BM75" s="229"/>
      <c r="BN75" s="229"/>
      <c r="BO75" s="229"/>
      <c r="BP75" s="229"/>
      <c r="BQ75" s="229"/>
      <c r="BR75" s="229"/>
      <c r="BS75" s="229"/>
      <c r="BT75" s="229"/>
      <c r="BU75" s="229"/>
      <c r="BV75" s="229"/>
      <c r="BW75" s="229"/>
      <c r="BX75" s="229"/>
      <c r="BY75" s="229"/>
      <c r="BZ75" s="229"/>
      <c r="CA75" s="229"/>
      <c r="CB75" s="229"/>
      <c r="CC75" s="229"/>
      <c r="CD75" s="229"/>
      <c r="CE75" s="229"/>
      <c r="CF75" s="229"/>
      <c r="CG75" s="229"/>
      <c r="CH75" s="229"/>
      <c r="CI75" s="270">
        <f>SUM(CJ75:CK75)</f>
        <v>0</v>
      </c>
      <c r="CJ75" s="270">
        <f>SUM(CL75:CL75)</f>
        <v>0</v>
      </c>
      <c r="CK75" s="270">
        <f>SUM(CM75:CN75)</f>
        <v>0</v>
      </c>
      <c r="CL75" s="229"/>
      <c r="CM75" s="229"/>
      <c r="CN75" s="229"/>
      <c r="CO75" s="271" t="s">
        <v>183</v>
      </c>
      <c r="CP75" s="303">
        <f>CQ75+ER75+FV75+GB75</f>
        <v>0</v>
      </c>
      <c r="CQ75" s="303">
        <f>CR75+CW75</f>
        <v>0</v>
      </c>
      <c r="CR75" s="303">
        <f>SUM(CS75:CV75)</f>
        <v>0</v>
      </c>
      <c r="CS75" s="272"/>
      <c r="CT75" s="272"/>
      <c r="CU75" s="272"/>
      <c r="CV75" s="272"/>
      <c r="CW75" s="303">
        <f>SUM(CX75:EQ75)</f>
        <v>0</v>
      </c>
      <c r="CX75" s="272"/>
      <c r="CY75" s="272"/>
      <c r="CZ75" s="272"/>
      <c r="DA75" s="272"/>
      <c r="DB75" s="272"/>
      <c r="DC75" s="272"/>
      <c r="DD75" s="272"/>
      <c r="DE75" s="272"/>
      <c r="DF75" s="272"/>
      <c r="DG75" s="272"/>
      <c r="DH75" s="272"/>
      <c r="DI75" s="272"/>
      <c r="DJ75" s="272"/>
      <c r="DK75" s="272"/>
      <c r="DL75" s="272"/>
      <c r="DM75" s="272"/>
      <c r="DN75" s="272"/>
      <c r="DO75" s="272"/>
      <c r="DP75" s="272"/>
      <c r="DQ75" s="272"/>
      <c r="DR75" s="272"/>
      <c r="DS75" s="272"/>
      <c r="DT75" s="272"/>
      <c r="DU75" s="272"/>
      <c r="DV75" s="272"/>
      <c r="DW75" s="272"/>
      <c r="DX75" s="272"/>
      <c r="DY75" s="272"/>
      <c r="DZ75" s="272"/>
      <c r="EA75" s="272"/>
      <c r="EB75" s="272"/>
      <c r="EC75" s="272"/>
      <c r="ED75" s="272"/>
      <c r="EE75" s="272"/>
      <c r="EF75" s="272"/>
      <c r="EG75" s="272"/>
      <c r="EH75" s="272"/>
      <c r="EI75" s="272"/>
      <c r="EJ75" s="272"/>
      <c r="EK75" s="272"/>
      <c r="EL75" s="272"/>
      <c r="EM75" s="272"/>
      <c r="EN75" s="272"/>
      <c r="EO75" s="272"/>
      <c r="EP75" s="272"/>
      <c r="EQ75" s="272"/>
      <c r="ER75" s="303">
        <f>SUM(ES75:ET75)</f>
        <v>0</v>
      </c>
      <c r="ES75" s="303">
        <f>SUM(EU75:EV75)+EW75+SUM(EY75:FA75)+FJ75+FR75</f>
        <v>0</v>
      </c>
      <c r="ET75" s="303">
        <f>EX75+SUM(FB75:FI75)+SUM(FK75:FQ75)+SUM(FS75:FU75)</f>
        <v>0</v>
      </c>
      <c r="EU75" s="272"/>
      <c r="EV75" s="272"/>
      <c r="EW75" s="272"/>
      <c r="EX75" s="272"/>
      <c r="EY75" s="272"/>
      <c r="EZ75" s="272"/>
      <c r="FA75" s="272"/>
      <c r="FB75" s="272"/>
      <c r="FC75" s="272"/>
      <c r="FD75" s="272"/>
      <c r="FE75" s="272"/>
      <c r="FF75" s="272"/>
      <c r="FG75" s="272"/>
      <c r="FH75" s="272"/>
      <c r="FI75" s="272"/>
      <c r="FJ75" s="272"/>
      <c r="FK75" s="272"/>
      <c r="FL75" s="272"/>
      <c r="FM75" s="272"/>
      <c r="FN75" s="272"/>
      <c r="FO75" s="272"/>
      <c r="FP75" s="272"/>
      <c r="FQ75" s="272"/>
      <c r="FR75" s="272"/>
      <c r="FS75" s="272"/>
      <c r="FT75" s="272"/>
      <c r="FU75" s="272"/>
      <c r="FV75" s="303">
        <f>SUM(FW75:FX75)</f>
        <v>0</v>
      </c>
      <c r="FW75" s="303">
        <f>SUM(FY75:FY75)</f>
        <v>0</v>
      </c>
      <c r="FX75" s="303">
        <f>SUM(FZ75:GA75)</f>
        <v>0</v>
      </c>
      <c r="FY75" s="272"/>
      <c r="FZ75" s="272"/>
      <c r="GA75" s="272"/>
      <c r="GB75" s="303"/>
      <c r="GC75" s="328"/>
      <c r="GD75" s="328"/>
      <c r="GE75" s="328"/>
      <c r="GF75" s="328"/>
      <c r="GG75" s="328"/>
    </row>
    <row r="76" spans="1:189" s="92" customFormat="1" ht="17.25" customHeight="1">
      <c r="A76" s="227"/>
      <c r="B76" s="228" t="s">
        <v>184</v>
      </c>
      <c r="C76" s="270">
        <f>D76+BE76+CI76</f>
        <v>99785109432</v>
      </c>
      <c r="D76" s="270">
        <f>E76+J76</f>
        <v>8404109432</v>
      </c>
      <c r="E76" s="270">
        <f>SUM(F76:I76)</f>
        <v>0</v>
      </c>
      <c r="F76" s="229"/>
      <c r="G76" s="229"/>
      <c r="H76" s="229"/>
      <c r="I76" s="229"/>
      <c r="J76" s="270">
        <f>SUM(K76:BD76)</f>
        <v>8404109432</v>
      </c>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v>3758526000</v>
      </c>
      <c r="AK76" s="229"/>
      <c r="AL76" s="229">
        <v>1388629280</v>
      </c>
      <c r="AM76" s="229"/>
      <c r="AN76" s="229"/>
      <c r="AO76" s="229"/>
      <c r="AP76" s="229"/>
      <c r="AQ76" s="229"/>
      <c r="AR76" s="229"/>
      <c r="AS76" s="229"/>
      <c r="AT76" s="229">
        <v>2237954152</v>
      </c>
      <c r="AU76" s="229"/>
      <c r="AV76" s="229">
        <v>1019000000</v>
      </c>
      <c r="AW76" s="229"/>
      <c r="AX76" s="229"/>
      <c r="AY76" s="229"/>
      <c r="AZ76" s="229"/>
      <c r="BA76" s="229"/>
      <c r="BB76" s="229"/>
      <c r="BC76" s="229"/>
      <c r="BD76" s="229"/>
      <c r="BE76" s="270">
        <f>SUM(BF76:BG76)</f>
        <v>91381000000</v>
      </c>
      <c r="BF76" s="270">
        <f>SUM(BH76:BI76)+BJ76+SUM(BL76:BN76)+BW76+CE76</f>
        <v>0</v>
      </c>
      <c r="BG76" s="270">
        <f>BK76+SUM(BO76:BV76)+SUM(BX76:CD76)+SUM(CF76:CH76)</f>
        <v>91381000000</v>
      </c>
      <c r="BH76" s="229"/>
      <c r="BI76" s="229"/>
      <c r="BJ76" s="229"/>
      <c r="BK76" s="229"/>
      <c r="BL76" s="229"/>
      <c r="BM76" s="229"/>
      <c r="BN76" s="229"/>
      <c r="BO76" s="229"/>
      <c r="BP76" s="229">
        <v>69162000000</v>
      </c>
      <c r="BQ76" s="229"/>
      <c r="BR76" s="229"/>
      <c r="BS76" s="229"/>
      <c r="BT76" s="229"/>
      <c r="BU76" s="229"/>
      <c r="BV76" s="229"/>
      <c r="BW76" s="229"/>
      <c r="BX76" s="229"/>
      <c r="BY76" s="229">
        <v>15539000000</v>
      </c>
      <c r="BZ76" s="229">
        <v>6680000000</v>
      </c>
      <c r="CA76" s="229"/>
      <c r="CB76" s="229"/>
      <c r="CC76" s="229"/>
      <c r="CD76" s="229"/>
      <c r="CE76" s="229"/>
      <c r="CF76" s="229"/>
      <c r="CG76" s="229"/>
      <c r="CH76" s="229"/>
      <c r="CI76" s="270">
        <f>SUM(CJ76:CK76)</f>
        <v>0</v>
      </c>
      <c r="CJ76" s="270">
        <f>SUM(CL76:CL76)</f>
        <v>0</v>
      </c>
      <c r="CK76" s="270">
        <f>SUM(CM76:CN76)</f>
        <v>0</v>
      </c>
      <c r="CL76" s="229"/>
      <c r="CM76" s="229"/>
      <c r="CN76" s="229"/>
      <c r="CO76" s="271" t="s">
        <v>184</v>
      </c>
      <c r="CP76" s="303">
        <f>CQ76+ER76+FV76+GB76</f>
        <v>99785109432</v>
      </c>
      <c r="CQ76" s="303">
        <f>CR76+CW76</f>
        <v>7385109432</v>
      </c>
      <c r="CR76" s="303">
        <f>SUM(CS76:CV76)</f>
        <v>0</v>
      </c>
      <c r="CS76" s="272"/>
      <c r="CT76" s="272"/>
      <c r="CU76" s="272"/>
      <c r="CV76" s="272"/>
      <c r="CW76" s="303">
        <f>SUM(CX76:EQ76)</f>
        <v>7385109432</v>
      </c>
      <c r="CX76" s="272"/>
      <c r="CY76" s="272"/>
      <c r="CZ76" s="272"/>
      <c r="DA76" s="272"/>
      <c r="DB76" s="272"/>
      <c r="DC76" s="272"/>
      <c r="DD76" s="272"/>
      <c r="DE76" s="272"/>
      <c r="DF76" s="272"/>
      <c r="DG76" s="272"/>
      <c r="DH76" s="272"/>
      <c r="DI76" s="272"/>
      <c r="DJ76" s="272"/>
      <c r="DK76" s="272"/>
      <c r="DL76" s="272"/>
      <c r="DM76" s="272"/>
      <c r="DN76" s="272"/>
      <c r="DO76" s="272"/>
      <c r="DP76" s="272"/>
      <c r="DQ76" s="272"/>
      <c r="DR76" s="272"/>
      <c r="DS76" s="272"/>
      <c r="DT76" s="272"/>
      <c r="DU76" s="272"/>
      <c r="DV76" s="272"/>
      <c r="DW76" s="272">
        <v>3758526000</v>
      </c>
      <c r="DX76" s="272"/>
      <c r="DY76" s="272">
        <v>1388629280</v>
      </c>
      <c r="DZ76" s="272"/>
      <c r="EA76" s="272"/>
      <c r="EB76" s="272"/>
      <c r="EC76" s="272"/>
      <c r="ED76" s="272"/>
      <c r="EE76" s="272"/>
      <c r="EF76" s="272"/>
      <c r="EG76" s="272">
        <v>2237954152</v>
      </c>
      <c r="EH76" s="272"/>
      <c r="EI76" s="272"/>
      <c r="EJ76" s="272"/>
      <c r="EK76" s="272"/>
      <c r="EL76" s="272"/>
      <c r="EM76" s="272"/>
      <c r="EN76" s="272"/>
      <c r="EO76" s="272"/>
      <c r="EP76" s="272"/>
      <c r="EQ76" s="272"/>
      <c r="ER76" s="303">
        <f>SUM(ES76:ET76)</f>
        <v>34884499547</v>
      </c>
      <c r="ES76" s="303">
        <f>SUM(EU76:EV76)+EW76+SUM(EY76:FA76)+FJ76+FR76</f>
        <v>0</v>
      </c>
      <c r="ET76" s="303">
        <f>EX76+SUM(FB76:FI76)+SUM(FK76:FQ76)+SUM(FS76:FU76)</f>
        <v>34884499547</v>
      </c>
      <c r="EU76" s="272"/>
      <c r="EV76" s="272"/>
      <c r="EW76" s="272"/>
      <c r="EX76" s="272"/>
      <c r="EY76" s="272"/>
      <c r="EZ76" s="272"/>
      <c r="FA76" s="272"/>
      <c r="FB76" s="272"/>
      <c r="FC76" s="272">
        <v>34884499547</v>
      </c>
      <c r="FD76" s="272"/>
      <c r="FE76" s="272"/>
      <c r="FF76" s="272"/>
      <c r="FG76" s="272"/>
      <c r="FH76" s="272"/>
      <c r="FI76" s="272"/>
      <c r="FJ76" s="272"/>
      <c r="FK76" s="272"/>
      <c r="FL76" s="272"/>
      <c r="FM76" s="272"/>
      <c r="FN76" s="272"/>
      <c r="FO76" s="272"/>
      <c r="FP76" s="272"/>
      <c r="FQ76" s="272"/>
      <c r="FR76" s="272"/>
      <c r="FS76" s="272"/>
      <c r="FT76" s="272"/>
      <c r="FU76" s="272"/>
      <c r="FV76" s="303">
        <f>SUM(FW76:FX76)</f>
        <v>0</v>
      </c>
      <c r="FW76" s="303">
        <f>SUM(FY76:FY76)</f>
        <v>0</v>
      </c>
      <c r="FX76" s="303">
        <f>SUM(FZ76:GA76)</f>
        <v>0</v>
      </c>
      <c r="FY76" s="272"/>
      <c r="FZ76" s="272"/>
      <c r="GA76" s="272"/>
      <c r="GB76" s="303">
        <v>57515500453</v>
      </c>
      <c r="GC76" s="328">
        <f>CP76/C76</f>
        <v>1</v>
      </c>
      <c r="GD76" s="328"/>
      <c r="GE76" s="328">
        <f>CW76/J76</f>
        <v>0.87874979398530995</v>
      </c>
      <c r="GF76" s="328">
        <f>ER76/BE76</f>
        <v>0.3817478419693372</v>
      </c>
      <c r="GG76" s="328"/>
    </row>
    <row r="77" spans="1:189" s="264" customFormat="1" ht="17.25" customHeight="1">
      <c r="A77" s="227">
        <v>22</v>
      </c>
      <c r="B77" s="228" t="s">
        <v>401</v>
      </c>
      <c r="C77" s="270">
        <f t="shared" ref="C77:AI77" si="134">C78+C79</f>
        <v>193345038000</v>
      </c>
      <c r="D77" s="270">
        <f t="shared" si="134"/>
        <v>79853264000</v>
      </c>
      <c r="E77" s="270">
        <f t="shared" si="134"/>
        <v>47142401000</v>
      </c>
      <c r="F77" s="229">
        <f t="shared" si="134"/>
        <v>32166221000</v>
      </c>
      <c r="G77" s="229">
        <f t="shared" si="134"/>
        <v>14220195000</v>
      </c>
      <c r="H77" s="229">
        <f t="shared" si="134"/>
        <v>755985000</v>
      </c>
      <c r="I77" s="229">
        <f t="shared" si="134"/>
        <v>0</v>
      </c>
      <c r="J77" s="270">
        <f t="shared" si="134"/>
        <v>32710863000</v>
      </c>
      <c r="K77" s="229">
        <f t="shared" si="134"/>
        <v>0</v>
      </c>
      <c r="L77" s="229">
        <f t="shared" si="134"/>
        <v>0</v>
      </c>
      <c r="M77" s="229">
        <f t="shared" si="134"/>
        <v>0</v>
      </c>
      <c r="N77" s="229">
        <f t="shared" si="134"/>
        <v>0</v>
      </c>
      <c r="O77" s="229">
        <f t="shared" si="134"/>
        <v>0</v>
      </c>
      <c r="P77" s="229">
        <f t="shared" si="134"/>
        <v>0</v>
      </c>
      <c r="Q77" s="229">
        <f t="shared" si="134"/>
        <v>0</v>
      </c>
      <c r="R77" s="229">
        <f t="shared" si="134"/>
        <v>0</v>
      </c>
      <c r="S77" s="229">
        <f t="shared" si="134"/>
        <v>0</v>
      </c>
      <c r="T77" s="229">
        <f t="shared" si="134"/>
        <v>0</v>
      </c>
      <c r="U77" s="229">
        <f t="shared" si="134"/>
        <v>0</v>
      </c>
      <c r="V77" s="229">
        <f t="shared" si="134"/>
        <v>0</v>
      </c>
      <c r="W77" s="229">
        <f t="shared" si="134"/>
        <v>0</v>
      </c>
      <c r="X77" s="229">
        <f t="shared" si="134"/>
        <v>0</v>
      </c>
      <c r="Y77" s="229">
        <f t="shared" si="134"/>
        <v>0</v>
      </c>
      <c r="Z77" s="229">
        <f t="shared" si="134"/>
        <v>0</v>
      </c>
      <c r="AA77" s="229">
        <f t="shared" si="134"/>
        <v>0</v>
      </c>
      <c r="AB77" s="229">
        <f t="shared" si="134"/>
        <v>0</v>
      </c>
      <c r="AC77" s="229">
        <f t="shared" si="134"/>
        <v>0</v>
      </c>
      <c r="AD77" s="229">
        <f t="shared" si="134"/>
        <v>0</v>
      </c>
      <c r="AE77" s="229">
        <f t="shared" si="134"/>
        <v>0</v>
      </c>
      <c r="AF77" s="229">
        <f t="shared" si="134"/>
        <v>0</v>
      </c>
      <c r="AG77" s="229">
        <f t="shared" si="134"/>
        <v>0</v>
      </c>
      <c r="AH77" s="229">
        <f t="shared" si="134"/>
        <v>0</v>
      </c>
      <c r="AI77" s="229">
        <f t="shared" si="134"/>
        <v>0</v>
      </c>
      <c r="AJ77" s="229">
        <f t="shared" ref="AJ77:AO77" si="135">AJ78+AJ79</f>
        <v>0</v>
      </c>
      <c r="AK77" s="229">
        <f t="shared" si="135"/>
        <v>2537000000</v>
      </c>
      <c r="AL77" s="229">
        <f t="shared" si="135"/>
        <v>0</v>
      </c>
      <c r="AM77" s="229">
        <f t="shared" si="135"/>
        <v>0</v>
      </c>
      <c r="AN77" s="229">
        <f t="shared" si="135"/>
        <v>5488076000</v>
      </c>
      <c r="AO77" s="229">
        <f t="shared" si="135"/>
        <v>16139830000</v>
      </c>
      <c r="AP77" s="229">
        <f t="shared" ref="AP77:AU77" si="136">AP78+AP79</f>
        <v>0</v>
      </c>
      <c r="AQ77" s="229">
        <f t="shared" si="136"/>
        <v>0</v>
      </c>
      <c r="AR77" s="229">
        <f t="shared" si="136"/>
        <v>0</v>
      </c>
      <c r="AS77" s="229">
        <f t="shared" si="136"/>
        <v>0</v>
      </c>
      <c r="AT77" s="229">
        <f t="shared" si="136"/>
        <v>0</v>
      </c>
      <c r="AU77" s="229">
        <f t="shared" si="136"/>
        <v>1141088000</v>
      </c>
      <c r="AV77" s="229">
        <f>AV78+AV79</f>
        <v>5600000000</v>
      </c>
      <c r="AW77" s="229">
        <f>AW78+AW79</f>
        <v>0</v>
      </c>
      <c r="AX77" s="229">
        <f t="shared" ref="AX77:CN77" si="137">AX78+AX79</f>
        <v>0</v>
      </c>
      <c r="AY77" s="229">
        <f t="shared" si="137"/>
        <v>0</v>
      </c>
      <c r="AZ77" s="229">
        <f t="shared" si="137"/>
        <v>0</v>
      </c>
      <c r="BA77" s="229">
        <f t="shared" si="137"/>
        <v>1804869000</v>
      </c>
      <c r="BB77" s="229">
        <f t="shared" si="137"/>
        <v>0</v>
      </c>
      <c r="BC77" s="229">
        <f t="shared" si="137"/>
        <v>0</v>
      </c>
      <c r="BD77" s="229">
        <f t="shared" si="137"/>
        <v>0</v>
      </c>
      <c r="BE77" s="270">
        <f t="shared" si="137"/>
        <v>113491774000</v>
      </c>
      <c r="BF77" s="270">
        <f t="shared" si="137"/>
        <v>107081774000</v>
      </c>
      <c r="BG77" s="270">
        <f t="shared" si="137"/>
        <v>6410000000</v>
      </c>
      <c r="BH77" s="229">
        <f t="shared" si="137"/>
        <v>139952000</v>
      </c>
      <c r="BI77" s="229">
        <f t="shared" si="137"/>
        <v>0</v>
      </c>
      <c r="BJ77" s="229">
        <f t="shared" si="137"/>
        <v>0</v>
      </c>
      <c r="BK77" s="229">
        <f t="shared" si="137"/>
        <v>0</v>
      </c>
      <c r="BL77" s="229">
        <f>BL78+BL79</f>
        <v>3500000000</v>
      </c>
      <c r="BM77" s="229">
        <f>BM78+BM79</f>
        <v>53000000000</v>
      </c>
      <c r="BN77" s="229">
        <f t="shared" si="137"/>
        <v>40500000000</v>
      </c>
      <c r="BO77" s="229">
        <f t="shared" si="137"/>
        <v>0</v>
      </c>
      <c r="BP77" s="229">
        <f t="shared" si="137"/>
        <v>0</v>
      </c>
      <c r="BQ77" s="229">
        <f t="shared" si="137"/>
        <v>0</v>
      </c>
      <c r="BR77" s="229">
        <f t="shared" si="137"/>
        <v>0</v>
      </c>
      <c r="BS77" s="229">
        <f t="shared" si="137"/>
        <v>0</v>
      </c>
      <c r="BT77" s="229">
        <f t="shared" si="137"/>
        <v>0</v>
      </c>
      <c r="BU77" s="229">
        <f t="shared" si="137"/>
        <v>0</v>
      </c>
      <c r="BV77" s="229">
        <f t="shared" si="137"/>
        <v>0</v>
      </c>
      <c r="BW77" s="229">
        <f t="shared" si="137"/>
        <v>0</v>
      </c>
      <c r="BX77" s="229">
        <f t="shared" si="137"/>
        <v>6410000000</v>
      </c>
      <c r="BY77" s="229">
        <f t="shared" si="137"/>
        <v>0</v>
      </c>
      <c r="BZ77" s="229">
        <f t="shared" si="137"/>
        <v>0</v>
      </c>
      <c r="CA77" s="229">
        <f t="shared" si="137"/>
        <v>0</v>
      </c>
      <c r="CB77" s="229">
        <f t="shared" si="137"/>
        <v>0</v>
      </c>
      <c r="CC77" s="229">
        <f t="shared" si="137"/>
        <v>0</v>
      </c>
      <c r="CD77" s="229">
        <f t="shared" si="137"/>
        <v>0</v>
      </c>
      <c r="CE77" s="229">
        <f t="shared" si="137"/>
        <v>9941822000</v>
      </c>
      <c r="CF77" s="229">
        <f t="shared" si="137"/>
        <v>0</v>
      </c>
      <c r="CG77" s="229">
        <f t="shared" si="137"/>
        <v>0</v>
      </c>
      <c r="CH77" s="229">
        <f t="shared" si="137"/>
        <v>0</v>
      </c>
      <c r="CI77" s="270">
        <f t="shared" si="137"/>
        <v>0</v>
      </c>
      <c r="CJ77" s="270">
        <f t="shared" si="137"/>
        <v>0</v>
      </c>
      <c r="CK77" s="270">
        <f t="shared" si="137"/>
        <v>0</v>
      </c>
      <c r="CL77" s="229">
        <f t="shared" si="137"/>
        <v>0</v>
      </c>
      <c r="CM77" s="229">
        <f t="shared" si="137"/>
        <v>0</v>
      </c>
      <c r="CN77" s="229">
        <f t="shared" si="137"/>
        <v>0</v>
      </c>
      <c r="CO77" s="271" t="s">
        <v>401</v>
      </c>
      <c r="CP77" s="303">
        <f t="shared" ref="CP77:ER77" si="138">CP78+CP79</f>
        <v>193345038000</v>
      </c>
      <c r="CQ77" s="303">
        <f t="shared" si="138"/>
        <v>75079356000</v>
      </c>
      <c r="CR77" s="303">
        <f t="shared" si="138"/>
        <v>43694101000</v>
      </c>
      <c r="CS77" s="272">
        <f t="shared" si="138"/>
        <v>30634139000</v>
      </c>
      <c r="CT77" s="272">
        <f t="shared" si="138"/>
        <v>12303977000</v>
      </c>
      <c r="CU77" s="272">
        <f t="shared" si="138"/>
        <v>755985000</v>
      </c>
      <c r="CV77" s="272">
        <f t="shared" si="138"/>
        <v>0</v>
      </c>
      <c r="CW77" s="303">
        <f t="shared" si="138"/>
        <v>31385255000</v>
      </c>
      <c r="CX77" s="272">
        <f t="shared" si="138"/>
        <v>0</v>
      </c>
      <c r="CY77" s="272">
        <f t="shared" si="138"/>
        <v>0</v>
      </c>
      <c r="CZ77" s="272">
        <f t="shared" si="138"/>
        <v>0</v>
      </c>
      <c r="DA77" s="272">
        <f t="shared" si="138"/>
        <v>0</v>
      </c>
      <c r="DB77" s="272">
        <f t="shared" si="138"/>
        <v>0</v>
      </c>
      <c r="DC77" s="272">
        <f t="shared" si="138"/>
        <v>0</v>
      </c>
      <c r="DD77" s="272">
        <f t="shared" si="138"/>
        <v>0</v>
      </c>
      <c r="DE77" s="272">
        <f t="shared" si="138"/>
        <v>0</v>
      </c>
      <c r="DF77" s="272">
        <f t="shared" si="138"/>
        <v>0</v>
      </c>
      <c r="DG77" s="272">
        <f t="shared" si="138"/>
        <v>0</v>
      </c>
      <c r="DH77" s="272">
        <f t="shared" si="138"/>
        <v>0</v>
      </c>
      <c r="DI77" s="272">
        <f t="shared" si="138"/>
        <v>0</v>
      </c>
      <c r="DJ77" s="272">
        <f t="shared" si="138"/>
        <v>0</v>
      </c>
      <c r="DK77" s="272">
        <f t="shared" si="138"/>
        <v>0</v>
      </c>
      <c r="DL77" s="272">
        <f t="shared" si="138"/>
        <v>0</v>
      </c>
      <c r="DM77" s="272">
        <f>DM78+DM79</f>
        <v>0</v>
      </c>
      <c r="DN77" s="272">
        <f t="shared" si="138"/>
        <v>0</v>
      </c>
      <c r="DO77" s="272">
        <f t="shared" si="138"/>
        <v>0</v>
      </c>
      <c r="DP77" s="272">
        <f t="shared" si="138"/>
        <v>0</v>
      </c>
      <c r="DQ77" s="272">
        <f t="shared" si="138"/>
        <v>0</v>
      </c>
      <c r="DR77" s="272">
        <f t="shared" si="138"/>
        <v>0</v>
      </c>
      <c r="DS77" s="272">
        <f t="shared" si="138"/>
        <v>0</v>
      </c>
      <c r="DT77" s="272">
        <f t="shared" si="138"/>
        <v>0</v>
      </c>
      <c r="DU77" s="272">
        <f t="shared" si="138"/>
        <v>0</v>
      </c>
      <c r="DV77" s="272">
        <f t="shared" si="138"/>
        <v>0</v>
      </c>
      <c r="DW77" s="272">
        <f t="shared" si="138"/>
        <v>0</v>
      </c>
      <c r="DX77" s="272">
        <f t="shared" si="138"/>
        <v>2537000000</v>
      </c>
      <c r="DY77" s="272">
        <f t="shared" si="138"/>
        <v>0</v>
      </c>
      <c r="DZ77" s="272">
        <f t="shared" si="138"/>
        <v>0</v>
      </c>
      <c r="EA77" s="272">
        <f t="shared" si="138"/>
        <v>5488076000</v>
      </c>
      <c r="EB77" s="272">
        <f t="shared" si="138"/>
        <v>14814222000</v>
      </c>
      <c r="EC77" s="272">
        <f t="shared" si="138"/>
        <v>0</v>
      </c>
      <c r="ED77" s="272">
        <f t="shared" si="138"/>
        <v>0</v>
      </c>
      <c r="EE77" s="272">
        <f t="shared" si="138"/>
        <v>0</v>
      </c>
      <c r="EF77" s="272">
        <f t="shared" si="138"/>
        <v>0</v>
      </c>
      <c r="EG77" s="272">
        <f t="shared" si="138"/>
        <v>0</v>
      </c>
      <c r="EH77" s="272">
        <f t="shared" si="138"/>
        <v>1141088000</v>
      </c>
      <c r="EI77" s="272">
        <f>EI78+EI79</f>
        <v>5600000000</v>
      </c>
      <c r="EJ77" s="272">
        <f>EJ78+EJ79</f>
        <v>0</v>
      </c>
      <c r="EK77" s="272">
        <f t="shared" si="138"/>
        <v>0</v>
      </c>
      <c r="EL77" s="272">
        <f t="shared" si="138"/>
        <v>0</v>
      </c>
      <c r="EM77" s="272">
        <f t="shared" si="138"/>
        <v>0</v>
      </c>
      <c r="EN77" s="272">
        <f t="shared" si="138"/>
        <v>1804869000</v>
      </c>
      <c r="EO77" s="272">
        <f t="shared" si="138"/>
        <v>0</v>
      </c>
      <c r="EP77" s="272">
        <f t="shared" si="138"/>
        <v>0</v>
      </c>
      <c r="EQ77" s="272">
        <f t="shared" si="138"/>
        <v>0</v>
      </c>
      <c r="ER77" s="303">
        <f t="shared" si="138"/>
        <v>88830412000</v>
      </c>
      <c r="ES77" s="303">
        <f t="shared" ref="ES77:GB77" si="139">ES78+ES79</f>
        <v>82420412000</v>
      </c>
      <c r="ET77" s="303">
        <f t="shared" si="139"/>
        <v>6410000000</v>
      </c>
      <c r="EU77" s="272">
        <f t="shared" si="139"/>
        <v>0</v>
      </c>
      <c r="EV77" s="272">
        <f t="shared" si="139"/>
        <v>0</v>
      </c>
      <c r="EW77" s="272">
        <f t="shared" si="139"/>
        <v>0</v>
      </c>
      <c r="EX77" s="272">
        <f t="shared" si="139"/>
        <v>0</v>
      </c>
      <c r="EY77" s="272">
        <f>EY78+EY79</f>
        <v>2687805000</v>
      </c>
      <c r="EZ77" s="272">
        <f>EZ78+EZ79</f>
        <v>39996025000</v>
      </c>
      <c r="FA77" s="272">
        <f t="shared" si="139"/>
        <v>31769484000</v>
      </c>
      <c r="FB77" s="272">
        <f t="shared" si="139"/>
        <v>0</v>
      </c>
      <c r="FC77" s="272">
        <f t="shared" si="139"/>
        <v>0</v>
      </c>
      <c r="FD77" s="272">
        <f t="shared" si="139"/>
        <v>0</v>
      </c>
      <c r="FE77" s="272">
        <f t="shared" si="139"/>
        <v>0</v>
      </c>
      <c r="FF77" s="272">
        <f t="shared" si="139"/>
        <v>0</v>
      </c>
      <c r="FG77" s="272">
        <f t="shared" si="139"/>
        <v>0</v>
      </c>
      <c r="FH77" s="272">
        <f t="shared" si="139"/>
        <v>0</v>
      </c>
      <c r="FI77" s="272">
        <f t="shared" si="139"/>
        <v>0</v>
      </c>
      <c r="FJ77" s="272">
        <f t="shared" si="139"/>
        <v>0</v>
      </c>
      <c r="FK77" s="272">
        <f t="shared" si="139"/>
        <v>6410000000</v>
      </c>
      <c r="FL77" s="272">
        <f t="shared" si="139"/>
        <v>0</v>
      </c>
      <c r="FM77" s="272">
        <f t="shared" si="139"/>
        <v>0</v>
      </c>
      <c r="FN77" s="272">
        <f t="shared" si="139"/>
        <v>0</v>
      </c>
      <c r="FO77" s="272">
        <f t="shared" si="139"/>
        <v>0</v>
      </c>
      <c r="FP77" s="272">
        <f t="shared" si="139"/>
        <v>0</v>
      </c>
      <c r="FQ77" s="272">
        <f t="shared" si="139"/>
        <v>0</v>
      </c>
      <c r="FR77" s="272">
        <f t="shared" si="139"/>
        <v>7967098000</v>
      </c>
      <c r="FS77" s="272">
        <f t="shared" si="139"/>
        <v>0</v>
      </c>
      <c r="FT77" s="272">
        <f t="shared" si="139"/>
        <v>0</v>
      </c>
      <c r="FU77" s="272">
        <f t="shared" si="139"/>
        <v>0</v>
      </c>
      <c r="FV77" s="303">
        <f t="shared" si="139"/>
        <v>0</v>
      </c>
      <c r="FW77" s="303">
        <f t="shared" si="139"/>
        <v>0</v>
      </c>
      <c r="FX77" s="303">
        <f t="shared" si="139"/>
        <v>0</v>
      </c>
      <c r="FY77" s="272">
        <f t="shared" si="139"/>
        <v>0</v>
      </c>
      <c r="FZ77" s="272">
        <f t="shared" si="139"/>
        <v>0</v>
      </c>
      <c r="GA77" s="272">
        <f t="shared" si="139"/>
        <v>0</v>
      </c>
      <c r="GB77" s="303">
        <f t="shared" si="139"/>
        <v>29435270000</v>
      </c>
      <c r="GC77" s="328">
        <f>CP77/C77</f>
        <v>1</v>
      </c>
      <c r="GD77" s="328">
        <f>CR77/E77</f>
        <v>0.92685353467677645</v>
      </c>
      <c r="GE77" s="328">
        <f>CW77/J77</f>
        <v>0.95947499153415794</v>
      </c>
      <c r="GF77" s="328">
        <f>ER77/BE77</f>
        <v>0.78270352880377037</v>
      </c>
      <c r="GG77" s="328"/>
    </row>
    <row r="78" spans="1:189" s="264" customFormat="1" ht="17.25" customHeight="1">
      <c r="A78" s="227"/>
      <c r="B78" s="228" t="s">
        <v>183</v>
      </c>
      <c r="C78" s="270">
        <f>D78+BE78+CI78</f>
        <v>154224175000</v>
      </c>
      <c r="D78" s="270">
        <f>E78+J78</f>
        <v>47142401000</v>
      </c>
      <c r="E78" s="270">
        <f>SUM(F78:I78)</f>
        <v>47142401000</v>
      </c>
      <c r="F78" s="229">
        <v>32166221000</v>
      </c>
      <c r="G78" s="229">
        <v>14220195000</v>
      </c>
      <c r="H78" s="229">
        <v>755985000</v>
      </c>
      <c r="I78" s="229"/>
      <c r="J78" s="270">
        <f>SUM(K78:BD78)</f>
        <v>0</v>
      </c>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29"/>
      <c r="BA78" s="229"/>
      <c r="BB78" s="229"/>
      <c r="BC78" s="229"/>
      <c r="BD78" s="229"/>
      <c r="BE78" s="270">
        <f>SUM(BF78:BG78)</f>
        <v>107081774000</v>
      </c>
      <c r="BF78" s="270">
        <f>SUM(BH78:BI78)+BJ78+SUM(BL78:BN78)+BW78+CE78</f>
        <v>107081774000</v>
      </c>
      <c r="BG78" s="270">
        <f>BK78+SUM(BO78:BV78)+SUM(BX78:CD78)+SUM(CF78:CH78)</f>
        <v>0</v>
      </c>
      <c r="BH78" s="229">
        <v>139952000</v>
      </c>
      <c r="BI78" s="229"/>
      <c r="BJ78" s="229"/>
      <c r="BK78" s="229"/>
      <c r="BL78" s="229">
        <v>3500000000</v>
      </c>
      <c r="BM78" s="229">
        <v>53000000000</v>
      </c>
      <c r="BN78" s="229">
        <v>40500000000</v>
      </c>
      <c r="BO78" s="229"/>
      <c r="BP78" s="229"/>
      <c r="BQ78" s="229"/>
      <c r="BR78" s="229"/>
      <c r="BS78" s="229"/>
      <c r="BT78" s="229"/>
      <c r="BU78" s="229"/>
      <c r="BV78" s="229"/>
      <c r="BW78" s="229"/>
      <c r="BX78" s="229"/>
      <c r="BY78" s="229"/>
      <c r="BZ78" s="229"/>
      <c r="CA78" s="229"/>
      <c r="CB78" s="229"/>
      <c r="CC78" s="229"/>
      <c r="CD78" s="229"/>
      <c r="CE78" s="229">
        <v>9941822000</v>
      </c>
      <c r="CF78" s="229"/>
      <c r="CG78" s="229"/>
      <c r="CH78" s="229"/>
      <c r="CI78" s="270">
        <f>SUM(CJ78:CK78)</f>
        <v>0</v>
      </c>
      <c r="CJ78" s="270">
        <f>SUM(CL78:CL78)</f>
        <v>0</v>
      </c>
      <c r="CK78" s="270">
        <f>SUM(CM78:CN78)</f>
        <v>0</v>
      </c>
      <c r="CL78" s="229"/>
      <c r="CM78" s="229"/>
      <c r="CN78" s="229"/>
      <c r="CO78" s="271" t="s">
        <v>183</v>
      </c>
      <c r="CP78" s="303">
        <f>CQ78+ER78+FV78+GB78</f>
        <v>154224175000</v>
      </c>
      <c r="CQ78" s="303">
        <f>CR78+CW78</f>
        <v>43694101000</v>
      </c>
      <c r="CR78" s="303">
        <f>SUM(CS78:CV78)</f>
        <v>43694101000</v>
      </c>
      <c r="CS78" s="272">
        <v>30634139000</v>
      </c>
      <c r="CT78" s="272">
        <v>12303977000</v>
      </c>
      <c r="CU78" s="272">
        <v>755985000</v>
      </c>
      <c r="CV78" s="272"/>
      <c r="CW78" s="303">
        <f>SUM(CX78:EQ78)</f>
        <v>0</v>
      </c>
      <c r="CX78" s="272"/>
      <c r="CY78" s="272"/>
      <c r="CZ78" s="272"/>
      <c r="DA78" s="272"/>
      <c r="DB78" s="272"/>
      <c r="DC78" s="272"/>
      <c r="DD78" s="272"/>
      <c r="DE78" s="272"/>
      <c r="DF78" s="272"/>
      <c r="DG78" s="272"/>
      <c r="DH78" s="272"/>
      <c r="DI78" s="272"/>
      <c r="DJ78" s="272"/>
      <c r="DK78" s="272"/>
      <c r="DL78" s="272"/>
      <c r="DM78" s="272"/>
      <c r="DN78" s="272"/>
      <c r="DO78" s="272"/>
      <c r="DP78" s="272"/>
      <c r="DQ78" s="272"/>
      <c r="DR78" s="272"/>
      <c r="DS78" s="272"/>
      <c r="DT78" s="272"/>
      <c r="DU78" s="272"/>
      <c r="DV78" s="272"/>
      <c r="DW78" s="272"/>
      <c r="DX78" s="272"/>
      <c r="DY78" s="272"/>
      <c r="DZ78" s="272"/>
      <c r="EA78" s="272"/>
      <c r="EB78" s="272"/>
      <c r="EC78" s="272"/>
      <c r="ED78" s="272"/>
      <c r="EE78" s="272"/>
      <c r="EF78" s="272"/>
      <c r="EG78" s="272"/>
      <c r="EH78" s="272"/>
      <c r="EI78" s="272"/>
      <c r="EJ78" s="272"/>
      <c r="EK78" s="272"/>
      <c r="EL78" s="272"/>
      <c r="EM78" s="272"/>
      <c r="EN78" s="272"/>
      <c r="EO78" s="272"/>
      <c r="EP78" s="272"/>
      <c r="EQ78" s="272"/>
      <c r="ER78" s="303">
        <f>SUM(ES78:ET78)</f>
        <v>82420412000</v>
      </c>
      <c r="ES78" s="303">
        <f>SUM(EU78:EV78)+EW78+SUM(EY78:FA78)+FJ78+FR78</f>
        <v>82420412000</v>
      </c>
      <c r="ET78" s="303">
        <f>EX78+SUM(FB78:FI78)+SUM(FK78:FQ78)+SUM(FS78:FU78)</f>
        <v>0</v>
      </c>
      <c r="EU78" s="272"/>
      <c r="EV78" s="272"/>
      <c r="EW78" s="272"/>
      <c r="EX78" s="272"/>
      <c r="EY78" s="272">
        <v>2687805000</v>
      </c>
      <c r="EZ78" s="272">
        <v>39996025000</v>
      </c>
      <c r="FA78" s="272">
        <v>31769484000</v>
      </c>
      <c r="FB78" s="272"/>
      <c r="FC78" s="272"/>
      <c r="FD78" s="272"/>
      <c r="FE78" s="272"/>
      <c r="FF78" s="272"/>
      <c r="FG78" s="272"/>
      <c r="FH78" s="272"/>
      <c r="FI78" s="272"/>
      <c r="FJ78" s="272"/>
      <c r="FK78" s="272"/>
      <c r="FL78" s="272"/>
      <c r="FM78" s="272"/>
      <c r="FN78" s="272"/>
      <c r="FO78" s="272"/>
      <c r="FP78" s="272"/>
      <c r="FQ78" s="272"/>
      <c r="FR78" s="272">
        <v>7967098000</v>
      </c>
      <c r="FS78" s="272"/>
      <c r="FT78" s="272"/>
      <c r="FU78" s="272"/>
      <c r="FV78" s="303">
        <f>SUM(FW78:FX78)</f>
        <v>0</v>
      </c>
      <c r="FW78" s="303">
        <f>SUM(FY78:FY78)</f>
        <v>0</v>
      </c>
      <c r="FX78" s="303">
        <f>SUM(FZ78:GA78)</f>
        <v>0</v>
      </c>
      <c r="FY78" s="272"/>
      <c r="FZ78" s="272"/>
      <c r="GA78" s="272"/>
      <c r="GB78" s="303">
        <v>28109662000</v>
      </c>
      <c r="GC78" s="328">
        <f>CP78/C78</f>
        <v>1</v>
      </c>
      <c r="GD78" s="328">
        <f>CR78/E78</f>
        <v>0.92685353467677645</v>
      </c>
      <c r="GE78" s="328"/>
      <c r="GF78" s="328">
        <f>ER78/BE78</f>
        <v>0.76969598953412932</v>
      </c>
      <c r="GG78" s="328"/>
    </row>
    <row r="79" spans="1:189" s="264" customFormat="1" ht="17.25" customHeight="1">
      <c r="A79" s="227"/>
      <c r="B79" s="228" t="s">
        <v>184</v>
      </c>
      <c r="C79" s="270">
        <f>D79+BE79+CI79</f>
        <v>39120863000</v>
      </c>
      <c r="D79" s="270">
        <f>E79+J79</f>
        <v>32710863000</v>
      </c>
      <c r="E79" s="270">
        <f>SUM(F79:I79)</f>
        <v>0</v>
      </c>
      <c r="F79" s="229"/>
      <c r="G79" s="229"/>
      <c r="H79" s="229"/>
      <c r="I79" s="229"/>
      <c r="J79" s="270">
        <f>SUM(K79:BD79)</f>
        <v>32710863000</v>
      </c>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v>2537000000</v>
      </c>
      <c r="AL79" s="229"/>
      <c r="AM79" s="229"/>
      <c r="AN79" s="229">
        <v>5488076000</v>
      </c>
      <c r="AO79" s="229">
        <f>21739830000-5600000000</f>
        <v>16139830000</v>
      </c>
      <c r="AP79" s="229"/>
      <c r="AQ79" s="229"/>
      <c r="AR79" s="229"/>
      <c r="AS79" s="229"/>
      <c r="AT79" s="229"/>
      <c r="AU79" s="229">
        <f>1162715000-21627000</f>
        <v>1141088000</v>
      </c>
      <c r="AV79" s="229">
        <v>5600000000</v>
      </c>
      <c r="AW79" s="229"/>
      <c r="AX79" s="229"/>
      <c r="AY79" s="229"/>
      <c r="AZ79" s="229"/>
      <c r="BA79" s="229">
        <f>1783242000+21627000</f>
        <v>1804869000</v>
      </c>
      <c r="BB79" s="229"/>
      <c r="BC79" s="229"/>
      <c r="BD79" s="229"/>
      <c r="BE79" s="270">
        <f>SUM(BF79:BG79)</f>
        <v>6410000000</v>
      </c>
      <c r="BF79" s="270">
        <f>SUM(BH79:BI79)+BJ79+SUM(BL79:BN79)+BW79+CE79</f>
        <v>0</v>
      </c>
      <c r="BG79" s="270">
        <f>BK79+SUM(BO79:BV79)+SUM(BX79:CD79)+SUM(CF79:CH79)</f>
        <v>6410000000</v>
      </c>
      <c r="BH79" s="229"/>
      <c r="BI79" s="229"/>
      <c r="BJ79" s="229"/>
      <c r="BK79" s="229"/>
      <c r="BL79" s="229"/>
      <c r="BM79" s="229"/>
      <c r="BN79" s="229"/>
      <c r="BO79" s="229"/>
      <c r="BP79" s="229"/>
      <c r="BQ79" s="229"/>
      <c r="BR79" s="229"/>
      <c r="BS79" s="229"/>
      <c r="BT79" s="229"/>
      <c r="BU79" s="229"/>
      <c r="BV79" s="229"/>
      <c r="BW79" s="229"/>
      <c r="BX79" s="229">
        <v>6410000000</v>
      </c>
      <c r="BY79" s="229"/>
      <c r="BZ79" s="229"/>
      <c r="CA79" s="229"/>
      <c r="CB79" s="229"/>
      <c r="CC79" s="229"/>
      <c r="CD79" s="229"/>
      <c r="CE79" s="229"/>
      <c r="CF79" s="229"/>
      <c r="CG79" s="229"/>
      <c r="CH79" s="229"/>
      <c r="CI79" s="270">
        <f>SUM(CJ79:CK79)</f>
        <v>0</v>
      </c>
      <c r="CJ79" s="270">
        <f>SUM(CL79:CL79)</f>
        <v>0</v>
      </c>
      <c r="CK79" s="270">
        <f>SUM(CM79:CN79)</f>
        <v>0</v>
      </c>
      <c r="CL79" s="229"/>
      <c r="CM79" s="229"/>
      <c r="CN79" s="229"/>
      <c r="CO79" s="271" t="s">
        <v>184</v>
      </c>
      <c r="CP79" s="303">
        <f>CQ79+ER79+FV79+GB79</f>
        <v>39120863000</v>
      </c>
      <c r="CQ79" s="303">
        <f>CR79+CW79</f>
        <v>31385255000</v>
      </c>
      <c r="CR79" s="303">
        <f>SUM(CS79:CV79)</f>
        <v>0</v>
      </c>
      <c r="CS79" s="272"/>
      <c r="CT79" s="272"/>
      <c r="CU79" s="272"/>
      <c r="CV79" s="272"/>
      <c r="CW79" s="303">
        <f>SUM(CX79:EQ79)</f>
        <v>31385255000</v>
      </c>
      <c r="CX79" s="272"/>
      <c r="CY79" s="272"/>
      <c r="CZ79" s="272"/>
      <c r="DA79" s="272"/>
      <c r="DB79" s="272"/>
      <c r="DC79" s="272"/>
      <c r="DD79" s="272"/>
      <c r="DE79" s="272"/>
      <c r="DF79" s="272"/>
      <c r="DG79" s="272"/>
      <c r="DH79" s="272"/>
      <c r="DI79" s="272"/>
      <c r="DJ79" s="272"/>
      <c r="DK79" s="272"/>
      <c r="DL79" s="272"/>
      <c r="DM79" s="272"/>
      <c r="DN79" s="272"/>
      <c r="DO79" s="272"/>
      <c r="DP79" s="272"/>
      <c r="DQ79" s="272"/>
      <c r="DR79" s="272"/>
      <c r="DS79" s="272"/>
      <c r="DT79" s="272"/>
      <c r="DU79" s="272"/>
      <c r="DV79" s="272"/>
      <c r="DW79" s="272"/>
      <c r="DX79" s="272">
        <v>2537000000</v>
      </c>
      <c r="DY79" s="272"/>
      <c r="DZ79" s="272"/>
      <c r="EA79" s="272">
        <v>5488076000</v>
      </c>
      <c r="EB79" s="272">
        <f>20414222000-5600000000</f>
        <v>14814222000</v>
      </c>
      <c r="EC79" s="272"/>
      <c r="ED79" s="272"/>
      <c r="EE79" s="272"/>
      <c r="EF79" s="272"/>
      <c r="EG79" s="272"/>
      <c r="EH79" s="272">
        <f>1162715000-21627000</f>
        <v>1141088000</v>
      </c>
      <c r="EI79" s="272">
        <v>5600000000</v>
      </c>
      <c r="EJ79" s="272"/>
      <c r="EK79" s="272"/>
      <c r="EL79" s="272"/>
      <c r="EM79" s="272"/>
      <c r="EN79" s="272">
        <f>1783242000+21627000</f>
        <v>1804869000</v>
      </c>
      <c r="EO79" s="272"/>
      <c r="EP79" s="272"/>
      <c r="EQ79" s="272"/>
      <c r="ER79" s="303">
        <f>SUM(ES79:ET79)</f>
        <v>6410000000</v>
      </c>
      <c r="ES79" s="303">
        <f>SUM(EU79:EV79)+EW79+SUM(EY79:FA79)+FJ79+FR79</f>
        <v>0</v>
      </c>
      <c r="ET79" s="303">
        <f>EX79+SUM(FB79:FI79)+SUM(FK79:FQ79)+SUM(FS79:FU79)</f>
        <v>6410000000</v>
      </c>
      <c r="EU79" s="272"/>
      <c r="EV79" s="272"/>
      <c r="EW79" s="272"/>
      <c r="EX79" s="272"/>
      <c r="EY79" s="272"/>
      <c r="EZ79" s="272"/>
      <c r="FA79" s="272"/>
      <c r="FB79" s="272"/>
      <c r="FC79" s="272"/>
      <c r="FD79" s="272"/>
      <c r="FE79" s="272"/>
      <c r="FF79" s="272"/>
      <c r="FG79" s="272"/>
      <c r="FH79" s="272"/>
      <c r="FI79" s="272"/>
      <c r="FJ79" s="272"/>
      <c r="FK79" s="272">
        <v>6410000000</v>
      </c>
      <c r="FL79" s="272"/>
      <c r="FM79" s="272"/>
      <c r="FN79" s="272"/>
      <c r="FO79" s="272"/>
      <c r="FP79" s="272"/>
      <c r="FQ79" s="272"/>
      <c r="FR79" s="272"/>
      <c r="FS79" s="272"/>
      <c r="FT79" s="272"/>
      <c r="FU79" s="272"/>
      <c r="FV79" s="303">
        <f>SUM(FW79:FX79)</f>
        <v>0</v>
      </c>
      <c r="FW79" s="303">
        <f>SUM(FY79:FY79)</f>
        <v>0</v>
      </c>
      <c r="FX79" s="303">
        <f>SUM(FZ79:GA79)</f>
        <v>0</v>
      </c>
      <c r="FY79" s="272"/>
      <c r="FZ79" s="272"/>
      <c r="GA79" s="272"/>
      <c r="GB79" s="303">
        <v>1325608000</v>
      </c>
      <c r="GC79" s="328">
        <f>CP79/C79</f>
        <v>1</v>
      </c>
      <c r="GD79" s="328"/>
      <c r="GE79" s="328">
        <f>CW79/J79</f>
        <v>0.95947499153415794</v>
      </c>
      <c r="GF79" s="328">
        <f>ER79/BE79</f>
        <v>1</v>
      </c>
      <c r="GG79" s="328"/>
    </row>
    <row r="80" spans="1:189" s="264" customFormat="1" ht="17.25" customHeight="1">
      <c r="A80" s="227">
        <v>23</v>
      </c>
      <c r="B80" s="228" t="s">
        <v>197</v>
      </c>
      <c r="C80" s="270">
        <f t="shared" ref="C80:AI80" si="140">C81+C82</f>
        <v>3249020000</v>
      </c>
      <c r="D80" s="270">
        <f t="shared" si="140"/>
        <v>3249020000</v>
      </c>
      <c r="E80" s="270">
        <f t="shared" si="140"/>
        <v>0</v>
      </c>
      <c r="F80" s="229">
        <f t="shared" si="140"/>
        <v>0</v>
      </c>
      <c r="G80" s="229">
        <f t="shared" si="140"/>
        <v>0</v>
      </c>
      <c r="H80" s="229">
        <f t="shared" si="140"/>
        <v>0</v>
      </c>
      <c r="I80" s="229">
        <f t="shared" si="140"/>
        <v>0</v>
      </c>
      <c r="J80" s="270">
        <f t="shared" si="140"/>
        <v>3249020000</v>
      </c>
      <c r="K80" s="229">
        <f t="shared" si="140"/>
        <v>0</v>
      </c>
      <c r="L80" s="229">
        <f t="shared" si="140"/>
        <v>3249020000</v>
      </c>
      <c r="M80" s="229">
        <f t="shared" si="140"/>
        <v>0</v>
      </c>
      <c r="N80" s="229">
        <f t="shared" si="140"/>
        <v>0</v>
      </c>
      <c r="O80" s="229">
        <f t="shared" si="140"/>
        <v>0</v>
      </c>
      <c r="P80" s="229">
        <f t="shared" si="140"/>
        <v>0</v>
      </c>
      <c r="Q80" s="229">
        <f t="shared" si="140"/>
        <v>0</v>
      </c>
      <c r="R80" s="229">
        <f t="shared" si="140"/>
        <v>0</v>
      </c>
      <c r="S80" s="229">
        <f t="shared" si="140"/>
        <v>0</v>
      </c>
      <c r="T80" s="229">
        <f t="shared" si="140"/>
        <v>0</v>
      </c>
      <c r="U80" s="229">
        <f t="shared" si="140"/>
        <v>0</v>
      </c>
      <c r="V80" s="229">
        <f t="shared" si="140"/>
        <v>0</v>
      </c>
      <c r="W80" s="229">
        <f t="shared" si="140"/>
        <v>0</v>
      </c>
      <c r="X80" s="229">
        <f t="shared" si="140"/>
        <v>0</v>
      </c>
      <c r="Y80" s="229">
        <f t="shared" si="140"/>
        <v>0</v>
      </c>
      <c r="Z80" s="229">
        <f t="shared" si="140"/>
        <v>0</v>
      </c>
      <c r="AA80" s="229">
        <f t="shared" si="140"/>
        <v>0</v>
      </c>
      <c r="AB80" s="229">
        <f t="shared" si="140"/>
        <v>0</v>
      </c>
      <c r="AC80" s="229">
        <f t="shared" si="140"/>
        <v>0</v>
      </c>
      <c r="AD80" s="229">
        <f t="shared" si="140"/>
        <v>0</v>
      </c>
      <c r="AE80" s="229">
        <f t="shared" si="140"/>
        <v>0</v>
      </c>
      <c r="AF80" s="229">
        <f t="shared" si="140"/>
        <v>0</v>
      </c>
      <c r="AG80" s="229">
        <f t="shared" si="140"/>
        <v>0</v>
      </c>
      <c r="AH80" s="229">
        <f t="shared" si="140"/>
        <v>0</v>
      </c>
      <c r="AI80" s="229">
        <f t="shared" si="140"/>
        <v>0</v>
      </c>
      <c r="AJ80" s="229">
        <f t="shared" ref="AJ80:AO80" si="141">AJ81+AJ82</f>
        <v>0</v>
      </c>
      <c r="AK80" s="229">
        <f t="shared" si="141"/>
        <v>0</v>
      </c>
      <c r="AL80" s="229">
        <f t="shared" si="141"/>
        <v>0</v>
      </c>
      <c r="AM80" s="229">
        <f t="shared" si="141"/>
        <v>0</v>
      </c>
      <c r="AN80" s="229">
        <f t="shared" si="141"/>
        <v>0</v>
      </c>
      <c r="AO80" s="229">
        <f t="shared" si="141"/>
        <v>0</v>
      </c>
      <c r="AP80" s="229">
        <f t="shared" ref="AP80:AU80" si="142">AP81+AP82</f>
        <v>0</v>
      </c>
      <c r="AQ80" s="229">
        <f t="shared" si="142"/>
        <v>0</v>
      </c>
      <c r="AR80" s="229">
        <f t="shared" si="142"/>
        <v>0</v>
      </c>
      <c r="AS80" s="229">
        <f t="shared" si="142"/>
        <v>0</v>
      </c>
      <c r="AT80" s="229">
        <f t="shared" si="142"/>
        <v>0</v>
      </c>
      <c r="AU80" s="229">
        <f t="shared" si="142"/>
        <v>0</v>
      </c>
      <c r="AV80" s="229">
        <f>AV81+AV82</f>
        <v>0</v>
      </c>
      <c r="AW80" s="229">
        <f>AW81+AW82</f>
        <v>0</v>
      </c>
      <c r="AX80" s="229">
        <f t="shared" ref="AX80:CN80" si="143">AX81+AX82</f>
        <v>0</v>
      </c>
      <c r="AY80" s="229">
        <f t="shared" si="143"/>
        <v>0</v>
      </c>
      <c r="AZ80" s="229">
        <f t="shared" si="143"/>
        <v>0</v>
      </c>
      <c r="BA80" s="229">
        <f t="shared" si="143"/>
        <v>0</v>
      </c>
      <c r="BB80" s="229">
        <f t="shared" si="143"/>
        <v>0</v>
      </c>
      <c r="BC80" s="229">
        <f t="shared" si="143"/>
        <v>0</v>
      </c>
      <c r="BD80" s="229">
        <f t="shared" si="143"/>
        <v>0</v>
      </c>
      <c r="BE80" s="270">
        <f t="shared" si="143"/>
        <v>0</v>
      </c>
      <c r="BF80" s="270">
        <f t="shared" si="143"/>
        <v>0</v>
      </c>
      <c r="BG80" s="270">
        <f t="shared" si="143"/>
        <v>0</v>
      </c>
      <c r="BH80" s="229">
        <f t="shared" si="143"/>
        <v>0</v>
      </c>
      <c r="BI80" s="229">
        <f t="shared" si="143"/>
        <v>0</v>
      </c>
      <c r="BJ80" s="229">
        <f t="shared" si="143"/>
        <v>0</v>
      </c>
      <c r="BK80" s="229">
        <f t="shared" si="143"/>
        <v>0</v>
      </c>
      <c r="BL80" s="229">
        <f>BL81+BL82</f>
        <v>0</v>
      </c>
      <c r="BM80" s="229">
        <f>BM81+BM82</f>
        <v>0</v>
      </c>
      <c r="BN80" s="229">
        <f t="shared" si="143"/>
        <v>0</v>
      </c>
      <c r="BO80" s="229">
        <f t="shared" si="143"/>
        <v>0</v>
      </c>
      <c r="BP80" s="229">
        <f t="shared" si="143"/>
        <v>0</v>
      </c>
      <c r="BQ80" s="229">
        <f t="shared" si="143"/>
        <v>0</v>
      </c>
      <c r="BR80" s="229">
        <f t="shared" si="143"/>
        <v>0</v>
      </c>
      <c r="BS80" s="229">
        <f t="shared" si="143"/>
        <v>0</v>
      </c>
      <c r="BT80" s="229">
        <f t="shared" si="143"/>
        <v>0</v>
      </c>
      <c r="BU80" s="229">
        <f t="shared" si="143"/>
        <v>0</v>
      </c>
      <c r="BV80" s="229">
        <f t="shared" si="143"/>
        <v>0</v>
      </c>
      <c r="BW80" s="229">
        <f t="shared" si="143"/>
        <v>0</v>
      </c>
      <c r="BX80" s="229">
        <f t="shared" si="143"/>
        <v>0</v>
      </c>
      <c r="BY80" s="229">
        <f t="shared" si="143"/>
        <v>0</v>
      </c>
      <c r="BZ80" s="229">
        <f t="shared" si="143"/>
        <v>0</v>
      </c>
      <c r="CA80" s="229">
        <f t="shared" si="143"/>
        <v>0</v>
      </c>
      <c r="CB80" s="229">
        <f t="shared" si="143"/>
        <v>0</v>
      </c>
      <c r="CC80" s="229">
        <f t="shared" si="143"/>
        <v>0</v>
      </c>
      <c r="CD80" s="229">
        <f t="shared" si="143"/>
        <v>0</v>
      </c>
      <c r="CE80" s="229">
        <f t="shared" si="143"/>
        <v>0</v>
      </c>
      <c r="CF80" s="229">
        <f t="shared" si="143"/>
        <v>0</v>
      </c>
      <c r="CG80" s="229">
        <f t="shared" si="143"/>
        <v>0</v>
      </c>
      <c r="CH80" s="229">
        <f t="shared" si="143"/>
        <v>0</v>
      </c>
      <c r="CI80" s="270">
        <f t="shared" si="143"/>
        <v>0</v>
      </c>
      <c r="CJ80" s="270">
        <f t="shared" si="143"/>
        <v>0</v>
      </c>
      <c r="CK80" s="270">
        <f t="shared" si="143"/>
        <v>0</v>
      </c>
      <c r="CL80" s="229">
        <f t="shared" si="143"/>
        <v>0</v>
      </c>
      <c r="CM80" s="229">
        <f t="shared" si="143"/>
        <v>0</v>
      </c>
      <c r="CN80" s="229">
        <f t="shared" si="143"/>
        <v>0</v>
      </c>
      <c r="CO80" s="271" t="s">
        <v>197</v>
      </c>
      <c r="CP80" s="303">
        <f t="shared" ref="CP80:ER80" si="144">CP81+CP82</f>
        <v>3249020000</v>
      </c>
      <c r="CQ80" s="303">
        <f t="shared" si="144"/>
        <v>3249020000</v>
      </c>
      <c r="CR80" s="303">
        <f t="shared" si="144"/>
        <v>0</v>
      </c>
      <c r="CS80" s="272">
        <f t="shared" si="144"/>
        <v>0</v>
      </c>
      <c r="CT80" s="272">
        <f t="shared" si="144"/>
        <v>0</v>
      </c>
      <c r="CU80" s="272">
        <f t="shared" si="144"/>
        <v>0</v>
      </c>
      <c r="CV80" s="272">
        <f t="shared" si="144"/>
        <v>0</v>
      </c>
      <c r="CW80" s="303">
        <f t="shared" si="144"/>
        <v>3249020000</v>
      </c>
      <c r="CX80" s="272">
        <f t="shared" si="144"/>
        <v>0</v>
      </c>
      <c r="CY80" s="272">
        <f t="shared" si="144"/>
        <v>3249020000</v>
      </c>
      <c r="CZ80" s="272">
        <f t="shared" si="144"/>
        <v>0</v>
      </c>
      <c r="DA80" s="272">
        <f t="shared" si="144"/>
        <v>0</v>
      </c>
      <c r="DB80" s="272">
        <f t="shared" si="144"/>
        <v>0</v>
      </c>
      <c r="DC80" s="272">
        <f t="shared" si="144"/>
        <v>0</v>
      </c>
      <c r="DD80" s="272">
        <f t="shared" si="144"/>
        <v>0</v>
      </c>
      <c r="DE80" s="272">
        <f t="shared" si="144"/>
        <v>0</v>
      </c>
      <c r="DF80" s="272">
        <f t="shared" si="144"/>
        <v>0</v>
      </c>
      <c r="DG80" s="272">
        <f t="shared" si="144"/>
        <v>0</v>
      </c>
      <c r="DH80" s="272">
        <f t="shared" si="144"/>
        <v>0</v>
      </c>
      <c r="DI80" s="272">
        <f t="shared" si="144"/>
        <v>0</v>
      </c>
      <c r="DJ80" s="272">
        <f t="shared" si="144"/>
        <v>0</v>
      </c>
      <c r="DK80" s="272">
        <f t="shared" si="144"/>
        <v>0</v>
      </c>
      <c r="DL80" s="272">
        <f t="shared" si="144"/>
        <v>0</v>
      </c>
      <c r="DM80" s="272">
        <f>DM81+DM82</f>
        <v>0</v>
      </c>
      <c r="DN80" s="272">
        <f t="shared" si="144"/>
        <v>0</v>
      </c>
      <c r="DO80" s="272">
        <f t="shared" si="144"/>
        <v>0</v>
      </c>
      <c r="DP80" s="272">
        <f t="shared" si="144"/>
        <v>0</v>
      </c>
      <c r="DQ80" s="272">
        <f t="shared" si="144"/>
        <v>0</v>
      </c>
      <c r="DR80" s="272">
        <f t="shared" si="144"/>
        <v>0</v>
      </c>
      <c r="DS80" s="272">
        <f t="shared" si="144"/>
        <v>0</v>
      </c>
      <c r="DT80" s="272">
        <f t="shared" si="144"/>
        <v>0</v>
      </c>
      <c r="DU80" s="272">
        <f t="shared" si="144"/>
        <v>0</v>
      </c>
      <c r="DV80" s="272">
        <f t="shared" si="144"/>
        <v>0</v>
      </c>
      <c r="DW80" s="272">
        <f t="shared" si="144"/>
        <v>0</v>
      </c>
      <c r="DX80" s="272">
        <f t="shared" si="144"/>
        <v>0</v>
      </c>
      <c r="DY80" s="272">
        <f t="shared" si="144"/>
        <v>0</v>
      </c>
      <c r="DZ80" s="272">
        <f t="shared" si="144"/>
        <v>0</v>
      </c>
      <c r="EA80" s="272">
        <f t="shared" si="144"/>
        <v>0</v>
      </c>
      <c r="EB80" s="272">
        <f t="shared" si="144"/>
        <v>0</v>
      </c>
      <c r="EC80" s="272">
        <f t="shared" si="144"/>
        <v>0</v>
      </c>
      <c r="ED80" s="272">
        <f t="shared" si="144"/>
        <v>0</v>
      </c>
      <c r="EE80" s="272">
        <f t="shared" si="144"/>
        <v>0</v>
      </c>
      <c r="EF80" s="272">
        <f t="shared" si="144"/>
        <v>0</v>
      </c>
      <c r="EG80" s="272">
        <f t="shared" si="144"/>
        <v>0</v>
      </c>
      <c r="EH80" s="272">
        <f t="shared" si="144"/>
        <v>0</v>
      </c>
      <c r="EI80" s="272">
        <f>EI81+EI82</f>
        <v>0</v>
      </c>
      <c r="EJ80" s="272">
        <f>EJ81+EJ82</f>
        <v>0</v>
      </c>
      <c r="EK80" s="272">
        <f t="shared" si="144"/>
        <v>0</v>
      </c>
      <c r="EL80" s="272">
        <f t="shared" si="144"/>
        <v>0</v>
      </c>
      <c r="EM80" s="272">
        <f t="shared" si="144"/>
        <v>0</v>
      </c>
      <c r="EN80" s="272">
        <f t="shared" si="144"/>
        <v>0</v>
      </c>
      <c r="EO80" s="272">
        <f t="shared" si="144"/>
        <v>0</v>
      </c>
      <c r="EP80" s="272">
        <f t="shared" si="144"/>
        <v>0</v>
      </c>
      <c r="EQ80" s="272">
        <f t="shared" si="144"/>
        <v>0</v>
      </c>
      <c r="ER80" s="303">
        <f t="shared" si="144"/>
        <v>0</v>
      </c>
      <c r="ES80" s="303">
        <f t="shared" ref="ES80:GB80" si="145">ES81+ES82</f>
        <v>0</v>
      </c>
      <c r="ET80" s="303">
        <f t="shared" si="145"/>
        <v>0</v>
      </c>
      <c r="EU80" s="272">
        <f t="shared" si="145"/>
        <v>0</v>
      </c>
      <c r="EV80" s="272">
        <f t="shared" si="145"/>
        <v>0</v>
      </c>
      <c r="EW80" s="272">
        <f t="shared" si="145"/>
        <v>0</v>
      </c>
      <c r="EX80" s="272">
        <f t="shared" si="145"/>
        <v>0</v>
      </c>
      <c r="EY80" s="272">
        <f>EY81+EY82</f>
        <v>0</v>
      </c>
      <c r="EZ80" s="272">
        <f>EZ81+EZ82</f>
        <v>0</v>
      </c>
      <c r="FA80" s="272">
        <f t="shared" si="145"/>
        <v>0</v>
      </c>
      <c r="FB80" s="272">
        <f t="shared" si="145"/>
        <v>0</v>
      </c>
      <c r="FC80" s="272">
        <f t="shared" si="145"/>
        <v>0</v>
      </c>
      <c r="FD80" s="272">
        <f t="shared" si="145"/>
        <v>0</v>
      </c>
      <c r="FE80" s="272">
        <f t="shared" si="145"/>
        <v>0</v>
      </c>
      <c r="FF80" s="272">
        <f t="shared" si="145"/>
        <v>0</v>
      </c>
      <c r="FG80" s="272">
        <f t="shared" si="145"/>
        <v>0</v>
      </c>
      <c r="FH80" s="272">
        <f t="shared" si="145"/>
        <v>0</v>
      </c>
      <c r="FI80" s="272">
        <f t="shared" si="145"/>
        <v>0</v>
      </c>
      <c r="FJ80" s="272">
        <f t="shared" si="145"/>
        <v>0</v>
      </c>
      <c r="FK80" s="272">
        <f t="shared" si="145"/>
        <v>0</v>
      </c>
      <c r="FL80" s="272">
        <f t="shared" si="145"/>
        <v>0</v>
      </c>
      <c r="FM80" s="272">
        <f t="shared" si="145"/>
        <v>0</v>
      </c>
      <c r="FN80" s="272">
        <f t="shared" si="145"/>
        <v>0</v>
      </c>
      <c r="FO80" s="272">
        <f t="shared" si="145"/>
        <v>0</v>
      </c>
      <c r="FP80" s="272">
        <f t="shared" si="145"/>
        <v>0</v>
      </c>
      <c r="FQ80" s="272">
        <f t="shared" si="145"/>
        <v>0</v>
      </c>
      <c r="FR80" s="272">
        <f t="shared" si="145"/>
        <v>0</v>
      </c>
      <c r="FS80" s="272">
        <f t="shared" si="145"/>
        <v>0</v>
      </c>
      <c r="FT80" s="272">
        <f t="shared" si="145"/>
        <v>0</v>
      </c>
      <c r="FU80" s="272">
        <f t="shared" si="145"/>
        <v>0</v>
      </c>
      <c r="FV80" s="303">
        <f t="shared" si="145"/>
        <v>0</v>
      </c>
      <c r="FW80" s="303">
        <f t="shared" si="145"/>
        <v>0</v>
      </c>
      <c r="FX80" s="303">
        <f t="shared" si="145"/>
        <v>0</v>
      </c>
      <c r="FY80" s="272">
        <f t="shared" si="145"/>
        <v>0</v>
      </c>
      <c r="FZ80" s="272">
        <f t="shared" si="145"/>
        <v>0</v>
      </c>
      <c r="GA80" s="272">
        <f t="shared" si="145"/>
        <v>0</v>
      </c>
      <c r="GB80" s="303">
        <f t="shared" si="145"/>
        <v>0</v>
      </c>
      <c r="GC80" s="328">
        <f>CP80/C80</f>
        <v>1</v>
      </c>
      <c r="GD80" s="328"/>
      <c r="GE80" s="328">
        <f>CW80/J80</f>
        <v>1</v>
      </c>
      <c r="GF80" s="328"/>
      <c r="GG80" s="328"/>
    </row>
    <row r="81" spans="1:189" s="264" customFormat="1" ht="17.25" customHeight="1">
      <c r="A81" s="227"/>
      <c r="B81" s="228" t="s">
        <v>183</v>
      </c>
      <c r="C81" s="270">
        <f>D81+BE81+CI81</f>
        <v>0</v>
      </c>
      <c r="D81" s="270">
        <f>E81+J81</f>
        <v>0</v>
      </c>
      <c r="E81" s="270">
        <f>SUM(F81:I81)</f>
        <v>0</v>
      </c>
      <c r="F81" s="229"/>
      <c r="G81" s="229"/>
      <c r="H81" s="229"/>
      <c r="I81" s="229"/>
      <c r="J81" s="270">
        <f>SUM(K81:BD81)</f>
        <v>0</v>
      </c>
      <c r="K81" s="229"/>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229"/>
      <c r="AP81" s="229"/>
      <c r="AQ81" s="229"/>
      <c r="AR81" s="229"/>
      <c r="AS81" s="229"/>
      <c r="AT81" s="229"/>
      <c r="AU81" s="229"/>
      <c r="AV81" s="229"/>
      <c r="AW81" s="229"/>
      <c r="AX81" s="229"/>
      <c r="AY81" s="229"/>
      <c r="AZ81" s="229"/>
      <c r="BA81" s="229"/>
      <c r="BB81" s="229"/>
      <c r="BC81" s="229"/>
      <c r="BD81" s="229"/>
      <c r="BE81" s="270">
        <f>SUM(BF81:BG81)</f>
        <v>0</v>
      </c>
      <c r="BF81" s="270">
        <f>SUM(BH81:BI81)+BJ81+SUM(BL81:BN81)+BW81+CE81</f>
        <v>0</v>
      </c>
      <c r="BG81" s="270">
        <f>BK81+SUM(BO81:BV81)+SUM(BX81:CD81)+SUM(CF81:CH81)</f>
        <v>0</v>
      </c>
      <c r="BH81" s="229"/>
      <c r="BI81" s="229"/>
      <c r="BJ81" s="229"/>
      <c r="BK81" s="229"/>
      <c r="BL81" s="229"/>
      <c r="BM81" s="229"/>
      <c r="BN81" s="229"/>
      <c r="BO81" s="229"/>
      <c r="BP81" s="229"/>
      <c r="BQ81" s="229"/>
      <c r="BR81" s="229"/>
      <c r="BS81" s="229"/>
      <c r="BT81" s="229"/>
      <c r="BU81" s="229"/>
      <c r="BV81" s="229"/>
      <c r="BW81" s="229"/>
      <c r="BX81" s="229"/>
      <c r="BY81" s="229"/>
      <c r="BZ81" s="229"/>
      <c r="CA81" s="229"/>
      <c r="CB81" s="229"/>
      <c r="CC81" s="229"/>
      <c r="CD81" s="229"/>
      <c r="CE81" s="229"/>
      <c r="CF81" s="229"/>
      <c r="CG81" s="229"/>
      <c r="CH81" s="229"/>
      <c r="CI81" s="270">
        <f>SUM(CJ81:CK81)</f>
        <v>0</v>
      </c>
      <c r="CJ81" s="270">
        <f>SUM(CL81:CL81)</f>
        <v>0</v>
      </c>
      <c r="CK81" s="270">
        <f>SUM(CM81:CN81)</f>
        <v>0</v>
      </c>
      <c r="CL81" s="229"/>
      <c r="CM81" s="229"/>
      <c r="CN81" s="229"/>
      <c r="CO81" s="271" t="s">
        <v>183</v>
      </c>
      <c r="CP81" s="303">
        <f>CQ81+ER81+FV81+GB81</f>
        <v>0</v>
      </c>
      <c r="CQ81" s="303">
        <f>CR81+CW81</f>
        <v>0</v>
      </c>
      <c r="CR81" s="303">
        <f>SUM(CS81:CV81)</f>
        <v>0</v>
      </c>
      <c r="CS81" s="272"/>
      <c r="CT81" s="272"/>
      <c r="CU81" s="272"/>
      <c r="CV81" s="272"/>
      <c r="CW81" s="303">
        <f>SUM(CX81:EQ81)</f>
        <v>0</v>
      </c>
      <c r="CX81" s="272"/>
      <c r="CY81" s="272"/>
      <c r="CZ81" s="272"/>
      <c r="DA81" s="272"/>
      <c r="DB81" s="272"/>
      <c r="DC81" s="272"/>
      <c r="DD81" s="272"/>
      <c r="DE81" s="272"/>
      <c r="DF81" s="272"/>
      <c r="DG81" s="272"/>
      <c r="DH81" s="272"/>
      <c r="DI81" s="272"/>
      <c r="DJ81" s="272"/>
      <c r="DK81" s="272"/>
      <c r="DL81" s="272"/>
      <c r="DM81" s="272"/>
      <c r="DN81" s="272"/>
      <c r="DO81" s="272"/>
      <c r="DP81" s="272"/>
      <c r="DQ81" s="272"/>
      <c r="DR81" s="272"/>
      <c r="DS81" s="272"/>
      <c r="DT81" s="272"/>
      <c r="DU81" s="272"/>
      <c r="DV81" s="272"/>
      <c r="DW81" s="272"/>
      <c r="DX81" s="272"/>
      <c r="DY81" s="272"/>
      <c r="DZ81" s="272"/>
      <c r="EA81" s="272"/>
      <c r="EB81" s="272"/>
      <c r="EC81" s="272"/>
      <c r="ED81" s="272"/>
      <c r="EE81" s="272"/>
      <c r="EF81" s="272"/>
      <c r="EG81" s="272"/>
      <c r="EH81" s="272"/>
      <c r="EI81" s="272"/>
      <c r="EJ81" s="272"/>
      <c r="EK81" s="272"/>
      <c r="EL81" s="272"/>
      <c r="EM81" s="272"/>
      <c r="EN81" s="272"/>
      <c r="EO81" s="272"/>
      <c r="EP81" s="272"/>
      <c r="EQ81" s="272"/>
      <c r="ER81" s="303">
        <f>SUM(ES81:ET81)</f>
        <v>0</v>
      </c>
      <c r="ES81" s="303">
        <f>SUM(EU81:EV81)+EW81+SUM(EY81:FA81)+FJ81+FR81</f>
        <v>0</v>
      </c>
      <c r="ET81" s="303">
        <f>EX81+SUM(FB81:FI81)+SUM(FK81:FQ81)+SUM(FS81:FU81)</f>
        <v>0</v>
      </c>
      <c r="EU81" s="272"/>
      <c r="EV81" s="272"/>
      <c r="EW81" s="272"/>
      <c r="EX81" s="272"/>
      <c r="EY81" s="272"/>
      <c r="EZ81" s="272"/>
      <c r="FA81" s="272"/>
      <c r="FB81" s="272"/>
      <c r="FC81" s="272"/>
      <c r="FD81" s="272"/>
      <c r="FE81" s="272"/>
      <c r="FF81" s="272"/>
      <c r="FG81" s="272"/>
      <c r="FH81" s="272"/>
      <c r="FI81" s="272"/>
      <c r="FJ81" s="272"/>
      <c r="FK81" s="272"/>
      <c r="FL81" s="272"/>
      <c r="FM81" s="272"/>
      <c r="FN81" s="272"/>
      <c r="FO81" s="272"/>
      <c r="FP81" s="272"/>
      <c r="FQ81" s="272"/>
      <c r="FR81" s="272"/>
      <c r="FS81" s="272"/>
      <c r="FT81" s="272"/>
      <c r="FU81" s="272"/>
      <c r="FV81" s="303">
        <f>SUM(FW81:FX81)</f>
        <v>0</v>
      </c>
      <c r="FW81" s="303">
        <f>SUM(FY81:FY81)</f>
        <v>0</v>
      </c>
      <c r="FX81" s="303">
        <f>SUM(FZ81:GA81)</f>
        <v>0</v>
      </c>
      <c r="FY81" s="272"/>
      <c r="FZ81" s="272"/>
      <c r="GA81" s="272"/>
      <c r="GB81" s="303"/>
      <c r="GC81" s="328"/>
      <c r="GD81" s="328"/>
      <c r="GE81" s="328"/>
      <c r="GF81" s="328"/>
      <c r="GG81" s="328"/>
    </row>
    <row r="82" spans="1:189" s="264" customFormat="1" ht="17.25" customHeight="1">
      <c r="A82" s="227"/>
      <c r="B82" s="228" t="s">
        <v>184</v>
      </c>
      <c r="C82" s="270">
        <f>D82+BE82+CI82</f>
        <v>3249020000</v>
      </c>
      <c r="D82" s="270">
        <f>E82+J82</f>
        <v>3249020000</v>
      </c>
      <c r="E82" s="270">
        <f>SUM(F82:I82)</f>
        <v>0</v>
      </c>
      <c r="F82" s="229"/>
      <c r="G82" s="229"/>
      <c r="H82" s="229"/>
      <c r="I82" s="229"/>
      <c r="J82" s="270">
        <f>SUM(K82:BD82)</f>
        <v>3249020000</v>
      </c>
      <c r="K82" s="229"/>
      <c r="L82" s="229">
        <v>3249020000</v>
      </c>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229"/>
      <c r="AP82" s="229"/>
      <c r="AQ82" s="229"/>
      <c r="AR82" s="229"/>
      <c r="AS82" s="229"/>
      <c r="AT82" s="229"/>
      <c r="AU82" s="229"/>
      <c r="AV82" s="229"/>
      <c r="AW82" s="229"/>
      <c r="AX82" s="229"/>
      <c r="AY82" s="229"/>
      <c r="AZ82" s="229"/>
      <c r="BA82" s="229"/>
      <c r="BB82" s="229"/>
      <c r="BC82" s="229"/>
      <c r="BD82" s="229"/>
      <c r="BE82" s="270">
        <f>SUM(BF82:BG82)</f>
        <v>0</v>
      </c>
      <c r="BF82" s="270">
        <f>SUM(BH82:BI82)+BJ82+SUM(BL82:BN82)+BW82+CE82</f>
        <v>0</v>
      </c>
      <c r="BG82" s="270">
        <f>BK82+SUM(BO82:BV82)+SUM(BX82:CD82)+SUM(CF82:CH82)</f>
        <v>0</v>
      </c>
      <c r="BH82" s="229"/>
      <c r="BI82" s="229"/>
      <c r="BJ82" s="229"/>
      <c r="BK82" s="229"/>
      <c r="BL82" s="229"/>
      <c r="BM82" s="229"/>
      <c r="BN82" s="229"/>
      <c r="BO82" s="229"/>
      <c r="BP82" s="229"/>
      <c r="BQ82" s="229"/>
      <c r="BR82" s="229"/>
      <c r="BS82" s="229"/>
      <c r="BT82" s="229"/>
      <c r="BU82" s="229"/>
      <c r="BV82" s="229"/>
      <c r="BW82" s="229"/>
      <c r="BX82" s="229"/>
      <c r="BY82" s="229"/>
      <c r="BZ82" s="229"/>
      <c r="CA82" s="229"/>
      <c r="CB82" s="229"/>
      <c r="CC82" s="229"/>
      <c r="CD82" s="229"/>
      <c r="CE82" s="229"/>
      <c r="CF82" s="229"/>
      <c r="CG82" s="229"/>
      <c r="CH82" s="229"/>
      <c r="CI82" s="270">
        <f>SUM(CJ82:CK82)</f>
        <v>0</v>
      </c>
      <c r="CJ82" s="270">
        <f>SUM(CL82:CL82)</f>
        <v>0</v>
      </c>
      <c r="CK82" s="270">
        <f>SUM(CM82:CN82)</f>
        <v>0</v>
      </c>
      <c r="CL82" s="229"/>
      <c r="CM82" s="229"/>
      <c r="CN82" s="229"/>
      <c r="CO82" s="271" t="s">
        <v>184</v>
      </c>
      <c r="CP82" s="303">
        <f>CQ82+ER82+FV82+GB82</f>
        <v>3249020000</v>
      </c>
      <c r="CQ82" s="303">
        <f>CR82+CW82</f>
        <v>3249020000</v>
      </c>
      <c r="CR82" s="303">
        <f>SUM(CS82:CV82)</f>
        <v>0</v>
      </c>
      <c r="CS82" s="272"/>
      <c r="CT82" s="272"/>
      <c r="CU82" s="272"/>
      <c r="CV82" s="272"/>
      <c r="CW82" s="303">
        <f>SUM(CX82:EQ82)</f>
        <v>3249020000</v>
      </c>
      <c r="CX82" s="272"/>
      <c r="CY82" s="272">
        <v>3249020000</v>
      </c>
      <c r="CZ82" s="272"/>
      <c r="DA82" s="272"/>
      <c r="DB82" s="272"/>
      <c r="DC82" s="272"/>
      <c r="DD82" s="272"/>
      <c r="DE82" s="272"/>
      <c r="DF82" s="272"/>
      <c r="DG82" s="272"/>
      <c r="DH82" s="272"/>
      <c r="DI82" s="272"/>
      <c r="DJ82" s="272"/>
      <c r="DK82" s="272"/>
      <c r="DL82" s="272"/>
      <c r="DM82" s="272"/>
      <c r="DN82" s="272"/>
      <c r="DO82" s="272"/>
      <c r="DP82" s="272"/>
      <c r="DQ82" s="272"/>
      <c r="DR82" s="272"/>
      <c r="DS82" s="272"/>
      <c r="DT82" s="272"/>
      <c r="DU82" s="272"/>
      <c r="DV82" s="272"/>
      <c r="DW82" s="272"/>
      <c r="DX82" s="272"/>
      <c r="DY82" s="272"/>
      <c r="DZ82" s="272"/>
      <c r="EA82" s="272"/>
      <c r="EB82" s="272"/>
      <c r="EC82" s="272"/>
      <c r="ED82" s="272"/>
      <c r="EE82" s="272"/>
      <c r="EF82" s="272"/>
      <c r="EG82" s="272"/>
      <c r="EH82" s="272"/>
      <c r="EI82" s="272"/>
      <c r="EJ82" s="272"/>
      <c r="EK82" s="272"/>
      <c r="EL82" s="272"/>
      <c r="EM82" s="272"/>
      <c r="EN82" s="272"/>
      <c r="EO82" s="272"/>
      <c r="EP82" s="272"/>
      <c r="EQ82" s="272"/>
      <c r="ER82" s="303">
        <f>SUM(ES82:ET82)</f>
        <v>0</v>
      </c>
      <c r="ES82" s="303">
        <f>SUM(EU82:EV82)+EW82+SUM(EY82:FA82)+FJ82+FR82</f>
        <v>0</v>
      </c>
      <c r="ET82" s="303">
        <f>EX82+SUM(FB82:FI82)+SUM(FK82:FQ82)+SUM(FS82:FU82)</f>
        <v>0</v>
      </c>
      <c r="EU82" s="272"/>
      <c r="EV82" s="272"/>
      <c r="EW82" s="272"/>
      <c r="EX82" s="272"/>
      <c r="EY82" s="272"/>
      <c r="EZ82" s="272"/>
      <c r="FA82" s="272"/>
      <c r="FB82" s="272"/>
      <c r="FC82" s="272"/>
      <c r="FD82" s="272"/>
      <c r="FE82" s="272"/>
      <c r="FF82" s="272"/>
      <c r="FG82" s="272"/>
      <c r="FH82" s="272"/>
      <c r="FI82" s="272"/>
      <c r="FJ82" s="272"/>
      <c r="FK82" s="272"/>
      <c r="FL82" s="272"/>
      <c r="FM82" s="272"/>
      <c r="FN82" s="272"/>
      <c r="FO82" s="272"/>
      <c r="FP82" s="272"/>
      <c r="FQ82" s="272"/>
      <c r="FR82" s="272"/>
      <c r="FS82" s="272"/>
      <c r="FT82" s="272"/>
      <c r="FU82" s="272"/>
      <c r="FV82" s="303">
        <f>SUM(FW82:FX82)</f>
        <v>0</v>
      </c>
      <c r="FW82" s="303">
        <f>SUM(FY82:FY82)</f>
        <v>0</v>
      </c>
      <c r="FX82" s="303">
        <f>SUM(FZ82:GA82)</f>
        <v>0</v>
      </c>
      <c r="FY82" s="272"/>
      <c r="FZ82" s="272"/>
      <c r="GA82" s="272"/>
      <c r="GB82" s="303"/>
      <c r="GC82" s="328">
        <f>CP82/C82</f>
        <v>1</v>
      </c>
      <c r="GD82" s="328"/>
      <c r="GE82" s="328">
        <f>CW82/J82</f>
        <v>1</v>
      </c>
      <c r="GF82" s="328"/>
      <c r="GG82" s="328"/>
    </row>
    <row r="83" spans="1:189" s="264" customFormat="1" ht="17.25" customHeight="1">
      <c r="A83" s="227">
        <v>24</v>
      </c>
      <c r="B83" s="228" t="s">
        <v>328</v>
      </c>
      <c r="C83" s="270">
        <f t="shared" ref="C83:AI83" si="146">C84+C85</f>
        <v>6991600000</v>
      </c>
      <c r="D83" s="270">
        <f t="shared" si="146"/>
        <v>6991600000</v>
      </c>
      <c r="E83" s="270">
        <f t="shared" si="146"/>
        <v>0</v>
      </c>
      <c r="F83" s="229">
        <f t="shared" si="146"/>
        <v>0</v>
      </c>
      <c r="G83" s="229">
        <f t="shared" si="146"/>
        <v>0</v>
      </c>
      <c r="H83" s="229">
        <f t="shared" si="146"/>
        <v>0</v>
      </c>
      <c r="I83" s="229">
        <f t="shared" si="146"/>
        <v>0</v>
      </c>
      <c r="J83" s="270">
        <f t="shared" si="146"/>
        <v>6991600000</v>
      </c>
      <c r="K83" s="229">
        <f t="shared" si="146"/>
        <v>6991600000</v>
      </c>
      <c r="L83" s="229">
        <f t="shared" si="146"/>
        <v>0</v>
      </c>
      <c r="M83" s="229">
        <f t="shared" si="146"/>
        <v>0</v>
      </c>
      <c r="N83" s="229">
        <f t="shared" si="146"/>
        <v>0</v>
      </c>
      <c r="O83" s="229">
        <f t="shared" si="146"/>
        <v>0</v>
      </c>
      <c r="P83" s="229">
        <f t="shared" si="146"/>
        <v>0</v>
      </c>
      <c r="Q83" s="229">
        <f t="shared" si="146"/>
        <v>0</v>
      </c>
      <c r="R83" s="229">
        <f t="shared" si="146"/>
        <v>0</v>
      </c>
      <c r="S83" s="229">
        <f t="shared" si="146"/>
        <v>0</v>
      </c>
      <c r="T83" s="229">
        <f t="shared" si="146"/>
        <v>0</v>
      </c>
      <c r="U83" s="229">
        <f t="shared" si="146"/>
        <v>0</v>
      </c>
      <c r="V83" s="229">
        <f t="shared" si="146"/>
        <v>0</v>
      </c>
      <c r="W83" s="229">
        <f t="shared" si="146"/>
        <v>0</v>
      </c>
      <c r="X83" s="229">
        <f t="shared" si="146"/>
        <v>0</v>
      </c>
      <c r="Y83" s="229">
        <f t="shared" si="146"/>
        <v>0</v>
      </c>
      <c r="Z83" s="229">
        <f t="shared" si="146"/>
        <v>0</v>
      </c>
      <c r="AA83" s="229">
        <f t="shared" si="146"/>
        <v>0</v>
      </c>
      <c r="AB83" s="229">
        <f t="shared" si="146"/>
        <v>0</v>
      </c>
      <c r="AC83" s="229">
        <f t="shared" si="146"/>
        <v>0</v>
      </c>
      <c r="AD83" s="229">
        <f t="shared" si="146"/>
        <v>0</v>
      </c>
      <c r="AE83" s="229">
        <f t="shared" si="146"/>
        <v>0</v>
      </c>
      <c r="AF83" s="229">
        <f t="shared" si="146"/>
        <v>0</v>
      </c>
      <c r="AG83" s="229">
        <f t="shared" si="146"/>
        <v>0</v>
      </c>
      <c r="AH83" s="229">
        <f t="shared" si="146"/>
        <v>0</v>
      </c>
      <c r="AI83" s="229">
        <f t="shared" si="146"/>
        <v>0</v>
      </c>
      <c r="AJ83" s="229">
        <f t="shared" ref="AJ83:AO83" si="147">AJ84+AJ85</f>
        <v>0</v>
      </c>
      <c r="AK83" s="229">
        <f t="shared" si="147"/>
        <v>0</v>
      </c>
      <c r="AL83" s="229">
        <f t="shared" si="147"/>
        <v>0</v>
      </c>
      <c r="AM83" s="229">
        <f t="shared" si="147"/>
        <v>0</v>
      </c>
      <c r="AN83" s="229">
        <f t="shared" si="147"/>
        <v>0</v>
      </c>
      <c r="AO83" s="229">
        <f t="shared" si="147"/>
        <v>0</v>
      </c>
      <c r="AP83" s="229">
        <f t="shared" ref="AP83:AU83" si="148">AP84+AP85</f>
        <v>0</v>
      </c>
      <c r="AQ83" s="229">
        <f t="shared" si="148"/>
        <v>0</v>
      </c>
      <c r="AR83" s="229">
        <f t="shared" si="148"/>
        <v>0</v>
      </c>
      <c r="AS83" s="229">
        <f t="shared" si="148"/>
        <v>0</v>
      </c>
      <c r="AT83" s="229">
        <f t="shared" si="148"/>
        <v>0</v>
      </c>
      <c r="AU83" s="229">
        <f t="shared" si="148"/>
        <v>0</v>
      </c>
      <c r="AV83" s="229">
        <f>AV84+AV85</f>
        <v>0</v>
      </c>
      <c r="AW83" s="229">
        <f>AW84+AW85</f>
        <v>0</v>
      </c>
      <c r="AX83" s="229">
        <f t="shared" ref="AX83:CN83" si="149">AX84+AX85</f>
        <v>0</v>
      </c>
      <c r="AY83" s="229">
        <f t="shared" si="149"/>
        <v>0</v>
      </c>
      <c r="AZ83" s="229">
        <f t="shared" si="149"/>
        <v>0</v>
      </c>
      <c r="BA83" s="229">
        <f t="shared" si="149"/>
        <v>0</v>
      </c>
      <c r="BB83" s="229">
        <f t="shared" si="149"/>
        <v>0</v>
      </c>
      <c r="BC83" s="229">
        <f t="shared" si="149"/>
        <v>0</v>
      </c>
      <c r="BD83" s="229">
        <f t="shared" si="149"/>
        <v>0</v>
      </c>
      <c r="BE83" s="270">
        <f t="shared" si="149"/>
        <v>0</v>
      </c>
      <c r="BF83" s="270">
        <f t="shared" si="149"/>
        <v>0</v>
      </c>
      <c r="BG83" s="270">
        <f t="shared" si="149"/>
        <v>0</v>
      </c>
      <c r="BH83" s="229">
        <f t="shared" si="149"/>
        <v>0</v>
      </c>
      <c r="BI83" s="229">
        <f t="shared" si="149"/>
        <v>0</v>
      </c>
      <c r="BJ83" s="229">
        <f t="shared" si="149"/>
        <v>0</v>
      </c>
      <c r="BK83" s="229">
        <f t="shared" si="149"/>
        <v>0</v>
      </c>
      <c r="BL83" s="229">
        <f>BL84+BL85</f>
        <v>0</v>
      </c>
      <c r="BM83" s="229">
        <f>BM84+BM85</f>
        <v>0</v>
      </c>
      <c r="BN83" s="229">
        <f t="shared" si="149"/>
        <v>0</v>
      </c>
      <c r="BO83" s="229">
        <f t="shared" si="149"/>
        <v>0</v>
      </c>
      <c r="BP83" s="229">
        <f t="shared" si="149"/>
        <v>0</v>
      </c>
      <c r="BQ83" s="229">
        <f t="shared" si="149"/>
        <v>0</v>
      </c>
      <c r="BR83" s="229">
        <f t="shared" si="149"/>
        <v>0</v>
      </c>
      <c r="BS83" s="229">
        <f t="shared" si="149"/>
        <v>0</v>
      </c>
      <c r="BT83" s="229">
        <f t="shared" si="149"/>
        <v>0</v>
      </c>
      <c r="BU83" s="229">
        <f t="shared" si="149"/>
        <v>0</v>
      </c>
      <c r="BV83" s="229">
        <f t="shared" si="149"/>
        <v>0</v>
      </c>
      <c r="BW83" s="229">
        <f t="shared" si="149"/>
        <v>0</v>
      </c>
      <c r="BX83" s="229">
        <f t="shared" si="149"/>
        <v>0</v>
      </c>
      <c r="BY83" s="229">
        <f t="shared" si="149"/>
        <v>0</v>
      </c>
      <c r="BZ83" s="229">
        <f t="shared" si="149"/>
        <v>0</v>
      </c>
      <c r="CA83" s="229">
        <f t="shared" si="149"/>
        <v>0</v>
      </c>
      <c r="CB83" s="229">
        <f t="shared" si="149"/>
        <v>0</v>
      </c>
      <c r="CC83" s="229">
        <f t="shared" si="149"/>
        <v>0</v>
      </c>
      <c r="CD83" s="229">
        <f t="shared" si="149"/>
        <v>0</v>
      </c>
      <c r="CE83" s="229">
        <f t="shared" si="149"/>
        <v>0</v>
      </c>
      <c r="CF83" s="229">
        <f t="shared" si="149"/>
        <v>0</v>
      </c>
      <c r="CG83" s="229">
        <f t="shared" si="149"/>
        <v>0</v>
      </c>
      <c r="CH83" s="229">
        <f t="shared" si="149"/>
        <v>0</v>
      </c>
      <c r="CI83" s="270">
        <f t="shared" si="149"/>
        <v>0</v>
      </c>
      <c r="CJ83" s="270">
        <f t="shared" si="149"/>
        <v>0</v>
      </c>
      <c r="CK83" s="270">
        <f t="shared" si="149"/>
        <v>0</v>
      </c>
      <c r="CL83" s="229">
        <f t="shared" si="149"/>
        <v>0</v>
      </c>
      <c r="CM83" s="229">
        <f t="shared" si="149"/>
        <v>0</v>
      </c>
      <c r="CN83" s="229">
        <f t="shared" si="149"/>
        <v>0</v>
      </c>
      <c r="CO83" s="271" t="s">
        <v>328</v>
      </c>
      <c r="CP83" s="303">
        <f t="shared" ref="CP83:ER83" si="150">CP84+CP85</f>
        <v>6991600000</v>
      </c>
      <c r="CQ83" s="303">
        <f t="shared" si="150"/>
        <v>6991600000</v>
      </c>
      <c r="CR83" s="303">
        <f t="shared" si="150"/>
        <v>0</v>
      </c>
      <c r="CS83" s="272">
        <f t="shared" si="150"/>
        <v>0</v>
      </c>
      <c r="CT83" s="272">
        <f t="shared" si="150"/>
        <v>0</v>
      </c>
      <c r="CU83" s="272">
        <f t="shared" si="150"/>
        <v>0</v>
      </c>
      <c r="CV83" s="272">
        <f t="shared" si="150"/>
        <v>0</v>
      </c>
      <c r="CW83" s="303">
        <f t="shared" si="150"/>
        <v>6991600000</v>
      </c>
      <c r="CX83" s="272">
        <f t="shared" si="150"/>
        <v>6991600000</v>
      </c>
      <c r="CY83" s="272">
        <f t="shared" si="150"/>
        <v>0</v>
      </c>
      <c r="CZ83" s="272">
        <f t="shared" si="150"/>
        <v>0</v>
      </c>
      <c r="DA83" s="272">
        <f t="shared" si="150"/>
        <v>0</v>
      </c>
      <c r="DB83" s="272">
        <f t="shared" si="150"/>
        <v>0</v>
      </c>
      <c r="DC83" s="272">
        <f t="shared" si="150"/>
        <v>0</v>
      </c>
      <c r="DD83" s="272">
        <f t="shared" si="150"/>
        <v>0</v>
      </c>
      <c r="DE83" s="272">
        <f t="shared" si="150"/>
        <v>0</v>
      </c>
      <c r="DF83" s="272">
        <f t="shared" si="150"/>
        <v>0</v>
      </c>
      <c r="DG83" s="272">
        <f t="shared" si="150"/>
        <v>0</v>
      </c>
      <c r="DH83" s="272">
        <f t="shared" si="150"/>
        <v>0</v>
      </c>
      <c r="DI83" s="272">
        <f t="shared" si="150"/>
        <v>0</v>
      </c>
      <c r="DJ83" s="272">
        <f t="shared" si="150"/>
        <v>0</v>
      </c>
      <c r="DK83" s="272">
        <f t="shared" si="150"/>
        <v>0</v>
      </c>
      <c r="DL83" s="272">
        <f t="shared" si="150"/>
        <v>0</v>
      </c>
      <c r="DM83" s="272">
        <f>DM84+DM85</f>
        <v>0</v>
      </c>
      <c r="DN83" s="272">
        <f t="shared" si="150"/>
        <v>0</v>
      </c>
      <c r="DO83" s="272">
        <f t="shared" si="150"/>
        <v>0</v>
      </c>
      <c r="DP83" s="272">
        <f t="shared" si="150"/>
        <v>0</v>
      </c>
      <c r="DQ83" s="272">
        <f t="shared" si="150"/>
        <v>0</v>
      </c>
      <c r="DR83" s="272">
        <f t="shared" si="150"/>
        <v>0</v>
      </c>
      <c r="DS83" s="272">
        <f t="shared" si="150"/>
        <v>0</v>
      </c>
      <c r="DT83" s="272">
        <f t="shared" si="150"/>
        <v>0</v>
      </c>
      <c r="DU83" s="272">
        <f t="shared" si="150"/>
        <v>0</v>
      </c>
      <c r="DV83" s="272">
        <f t="shared" si="150"/>
        <v>0</v>
      </c>
      <c r="DW83" s="272">
        <f t="shared" si="150"/>
        <v>0</v>
      </c>
      <c r="DX83" s="272">
        <f t="shared" si="150"/>
        <v>0</v>
      </c>
      <c r="DY83" s="272">
        <f t="shared" si="150"/>
        <v>0</v>
      </c>
      <c r="DZ83" s="272">
        <f t="shared" si="150"/>
        <v>0</v>
      </c>
      <c r="EA83" s="272">
        <f t="shared" si="150"/>
        <v>0</v>
      </c>
      <c r="EB83" s="272">
        <f t="shared" si="150"/>
        <v>0</v>
      </c>
      <c r="EC83" s="272">
        <f t="shared" si="150"/>
        <v>0</v>
      </c>
      <c r="ED83" s="272">
        <f t="shared" si="150"/>
        <v>0</v>
      </c>
      <c r="EE83" s="272">
        <f t="shared" si="150"/>
        <v>0</v>
      </c>
      <c r="EF83" s="272">
        <f t="shared" si="150"/>
        <v>0</v>
      </c>
      <c r="EG83" s="272">
        <f t="shared" si="150"/>
        <v>0</v>
      </c>
      <c r="EH83" s="272">
        <f t="shared" si="150"/>
        <v>0</v>
      </c>
      <c r="EI83" s="272">
        <f>EI84+EI85</f>
        <v>0</v>
      </c>
      <c r="EJ83" s="272">
        <f>EJ84+EJ85</f>
        <v>0</v>
      </c>
      <c r="EK83" s="272">
        <f t="shared" si="150"/>
        <v>0</v>
      </c>
      <c r="EL83" s="272">
        <f t="shared" si="150"/>
        <v>0</v>
      </c>
      <c r="EM83" s="272">
        <f t="shared" si="150"/>
        <v>0</v>
      </c>
      <c r="EN83" s="272">
        <f t="shared" si="150"/>
        <v>0</v>
      </c>
      <c r="EO83" s="272">
        <f t="shared" si="150"/>
        <v>0</v>
      </c>
      <c r="EP83" s="272">
        <f t="shared" si="150"/>
        <v>0</v>
      </c>
      <c r="EQ83" s="272">
        <f t="shared" si="150"/>
        <v>0</v>
      </c>
      <c r="ER83" s="303">
        <f t="shared" si="150"/>
        <v>0</v>
      </c>
      <c r="ES83" s="303">
        <f t="shared" ref="ES83:GB83" si="151">ES84+ES85</f>
        <v>0</v>
      </c>
      <c r="ET83" s="303">
        <f t="shared" si="151"/>
        <v>0</v>
      </c>
      <c r="EU83" s="272">
        <f t="shared" si="151"/>
        <v>0</v>
      </c>
      <c r="EV83" s="272">
        <f t="shared" si="151"/>
        <v>0</v>
      </c>
      <c r="EW83" s="272">
        <f t="shared" si="151"/>
        <v>0</v>
      </c>
      <c r="EX83" s="272">
        <f t="shared" si="151"/>
        <v>0</v>
      </c>
      <c r="EY83" s="272">
        <f>EY84+EY85</f>
        <v>0</v>
      </c>
      <c r="EZ83" s="272">
        <f>EZ84+EZ85</f>
        <v>0</v>
      </c>
      <c r="FA83" s="272">
        <f t="shared" si="151"/>
        <v>0</v>
      </c>
      <c r="FB83" s="272">
        <f t="shared" si="151"/>
        <v>0</v>
      </c>
      <c r="FC83" s="272">
        <f t="shared" si="151"/>
        <v>0</v>
      </c>
      <c r="FD83" s="272">
        <f t="shared" si="151"/>
        <v>0</v>
      </c>
      <c r="FE83" s="272">
        <f t="shared" si="151"/>
        <v>0</v>
      </c>
      <c r="FF83" s="272">
        <f t="shared" si="151"/>
        <v>0</v>
      </c>
      <c r="FG83" s="272">
        <f t="shared" si="151"/>
        <v>0</v>
      </c>
      <c r="FH83" s="272">
        <f t="shared" si="151"/>
        <v>0</v>
      </c>
      <c r="FI83" s="272">
        <f t="shared" si="151"/>
        <v>0</v>
      </c>
      <c r="FJ83" s="272">
        <f t="shared" si="151"/>
        <v>0</v>
      </c>
      <c r="FK83" s="272">
        <f t="shared" si="151"/>
        <v>0</v>
      </c>
      <c r="FL83" s="272">
        <f t="shared" si="151"/>
        <v>0</v>
      </c>
      <c r="FM83" s="272">
        <f t="shared" si="151"/>
        <v>0</v>
      </c>
      <c r="FN83" s="272">
        <f t="shared" si="151"/>
        <v>0</v>
      </c>
      <c r="FO83" s="272">
        <f t="shared" si="151"/>
        <v>0</v>
      </c>
      <c r="FP83" s="272">
        <f t="shared" si="151"/>
        <v>0</v>
      </c>
      <c r="FQ83" s="272">
        <f t="shared" si="151"/>
        <v>0</v>
      </c>
      <c r="FR83" s="272">
        <f t="shared" si="151"/>
        <v>0</v>
      </c>
      <c r="FS83" s="272">
        <f t="shared" si="151"/>
        <v>0</v>
      </c>
      <c r="FT83" s="272">
        <f t="shared" si="151"/>
        <v>0</v>
      </c>
      <c r="FU83" s="272">
        <f t="shared" si="151"/>
        <v>0</v>
      </c>
      <c r="FV83" s="303">
        <f t="shared" si="151"/>
        <v>0</v>
      </c>
      <c r="FW83" s="303">
        <f t="shared" si="151"/>
        <v>0</v>
      </c>
      <c r="FX83" s="303">
        <f t="shared" si="151"/>
        <v>0</v>
      </c>
      <c r="FY83" s="272">
        <f t="shared" si="151"/>
        <v>0</v>
      </c>
      <c r="FZ83" s="272">
        <f t="shared" si="151"/>
        <v>0</v>
      </c>
      <c r="GA83" s="272">
        <f t="shared" si="151"/>
        <v>0</v>
      </c>
      <c r="GB83" s="303">
        <f t="shared" si="151"/>
        <v>0</v>
      </c>
      <c r="GC83" s="328">
        <f>CP83/C83</f>
        <v>1</v>
      </c>
      <c r="GD83" s="328"/>
      <c r="GE83" s="328">
        <f>CW83/J83</f>
        <v>1</v>
      </c>
      <c r="GF83" s="328"/>
      <c r="GG83" s="328"/>
    </row>
    <row r="84" spans="1:189" s="264" customFormat="1" ht="17.25" customHeight="1">
      <c r="A84" s="227"/>
      <c r="B84" s="228" t="s">
        <v>183</v>
      </c>
      <c r="C84" s="270">
        <f>D84+BE84+CI84</f>
        <v>0</v>
      </c>
      <c r="D84" s="270">
        <f>E84+J84</f>
        <v>0</v>
      </c>
      <c r="E84" s="270">
        <f>SUM(F84:I84)</f>
        <v>0</v>
      </c>
      <c r="F84" s="229"/>
      <c r="G84" s="229"/>
      <c r="H84" s="229"/>
      <c r="I84" s="229"/>
      <c r="J84" s="270">
        <f>SUM(K84:BD84)</f>
        <v>0</v>
      </c>
      <c r="K84" s="229"/>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229"/>
      <c r="AP84" s="229"/>
      <c r="AQ84" s="229"/>
      <c r="AR84" s="229"/>
      <c r="AS84" s="229"/>
      <c r="AT84" s="229"/>
      <c r="AU84" s="229"/>
      <c r="AV84" s="229"/>
      <c r="AW84" s="229"/>
      <c r="AX84" s="229"/>
      <c r="AY84" s="229"/>
      <c r="AZ84" s="229"/>
      <c r="BA84" s="229"/>
      <c r="BB84" s="229"/>
      <c r="BC84" s="229"/>
      <c r="BD84" s="229"/>
      <c r="BE84" s="270">
        <f>SUM(BF84:BG84)</f>
        <v>0</v>
      </c>
      <c r="BF84" s="270">
        <f>SUM(BH84:BI84)+BJ84+SUM(BL84:BN84)+BW84+CE84</f>
        <v>0</v>
      </c>
      <c r="BG84" s="270">
        <f>BK84+SUM(BO84:BV84)+SUM(BX84:CD84)+SUM(CF84:CH84)</f>
        <v>0</v>
      </c>
      <c r="BH84" s="229"/>
      <c r="BI84" s="229"/>
      <c r="BJ84" s="229"/>
      <c r="BK84" s="229"/>
      <c r="BL84" s="229"/>
      <c r="BM84" s="229"/>
      <c r="BN84" s="229"/>
      <c r="BO84" s="229"/>
      <c r="BP84" s="229"/>
      <c r="BQ84" s="229"/>
      <c r="BR84" s="229"/>
      <c r="BS84" s="229"/>
      <c r="BT84" s="229"/>
      <c r="BU84" s="229"/>
      <c r="BV84" s="229"/>
      <c r="BW84" s="229"/>
      <c r="BX84" s="229"/>
      <c r="BY84" s="229"/>
      <c r="BZ84" s="229"/>
      <c r="CA84" s="229"/>
      <c r="CB84" s="229"/>
      <c r="CC84" s="229"/>
      <c r="CD84" s="229"/>
      <c r="CE84" s="229"/>
      <c r="CF84" s="229"/>
      <c r="CG84" s="229"/>
      <c r="CH84" s="229"/>
      <c r="CI84" s="270">
        <f>SUM(CJ84:CK84)</f>
        <v>0</v>
      </c>
      <c r="CJ84" s="270">
        <f>SUM(CL84:CL84)</f>
        <v>0</v>
      </c>
      <c r="CK84" s="270">
        <f>SUM(CM84:CN84)</f>
        <v>0</v>
      </c>
      <c r="CL84" s="229"/>
      <c r="CM84" s="229"/>
      <c r="CN84" s="229"/>
      <c r="CO84" s="271" t="s">
        <v>183</v>
      </c>
      <c r="CP84" s="303">
        <f>CQ84+ER84+FV84+GB84</f>
        <v>0</v>
      </c>
      <c r="CQ84" s="303">
        <f>CR84+CW84</f>
        <v>0</v>
      </c>
      <c r="CR84" s="303">
        <f>SUM(CS84:CV84)</f>
        <v>0</v>
      </c>
      <c r="CS84" s="272"/>
      <c r="CT84" s="272"/>
      <c r="CU84" s="272"/>
      <c r="CV84" s="272"/>
      <c r="CW84" s="303">
        <f>SUM(CX84:EQ84)</f>
        <v>0</v>
      </c>
      <c r="CX84" s="272"/>
      <c r="CY84" s="272"/>
      <c r="CZ84" s="272"/>
      <c r="DA84" s="272"/>
      <c r="DB84" s="272"/>
      <c r="DC84" s="272"/>
      <c r="DD84" s="272"/>
      <c r="DE84" s="272"/>
      <c r="DF84" s="272"/>
      <c r="DG84" s="272"/>
      <c r="DH84" s="272"/>
      <c r="DI84" s="272"/>
      <c r="DJ84" s="272"/>
      <c r="DK84" s="272"/>
      <c r="DL84" s="272"/>
      <c r="DM84" s="272"/>
      <c r="DN84" s="272"/>
      <c r="DO84" s="272"/>
      <c r="DP84" s="272"/>
      <c r="DQ84" s="272"/>
      <c r="DR84" s="272"/>
      <c r="DS84" s="272"/>
      <c r="DT84" s="272"/>
      <c r="DU84" s="272"/>
      <c r="DV84" s="272"/>
      <c r="DW84" s="272"/>
      <c r="DX84" s="272"/>
      <c r="DY84" s="272"/>
      <c r="DZ84" s="272"/>
      <c r="EA84" s="272"/>
      <c r="EB84" s="272"/>
      <c r="EC84" s="272"/>
      <c r="ED84" s="272"/>
      <c r="EE84" s="272"/>
      <c r="EF84" s="272"/>
      <c r="EG84" s="272"/>
      <c r="EH84" s="272"/>
      <c r="EI84" s="272"/>
      <c r="EJ84" s="272"/>
      <c r="EK84" s="272"/>
      <c r="EL84" s="272"/>
      <c r="EM84" s="272"/>
      <c r="EN84" s="272"/>
      <c r="EO84" s="272"/>
      <c r="EP84" s="272"/>
      <c r="EQ84" s="272"/>
      <c r="ER84" s="303">
        <f>SUM(ES84:ET84)</f>
        <v>0</v>
      </c>
      <c r="ES84" s="303">
        <f>SUM(EU84:EV84)+EW84+SUM(EY84:FA84)+FJ84+FR84</f>
        <v>0</v>
      </c>
      <c r="ET84" s="303">
        <f>EX84+SUM(FB84:FI84)+SUM(FK84:FQ84)+SUM(FS84:FU84)</f>
        <v>0</v>
      </c>
      <c r="EU84" s="272"/>
      <c r="EV84" s="272"/>
      <c r="EW84" s="272"/>
      <c r="EX84" s="272"/>
      <c r="EY84" s="272"/>
      <c r="EZ84" s="272"/>
      <c r="FA84" s="272"/>
      <c r="FB84" s="272"/>
      <c r="FC84" s="272"/>
      <c r="FD84" s="272"/>
      <c r="FE84" s="272"/>
      <c r="FF84" s="272"/>
      <c r="FG84" s="272"/>
      <c r="FH84" s="272"/>
      <c r="FI84" s="272"/>
      <c r="FJ84" s="272"/>
      <c r="FK84" s="272"/>
      <c r="FL84" s="272"/>
      <c r="FM84" s="272"/>
      <c r="FN84" s="272"/>
      <c r="FO84" s="272"/>
      <c r="FP84" s="272"/>
      <c r="FQ84" s="272"/>
      <c r="FR84" s="272"/>
      <c r="FS84" s="272"/>
      <c r="FT84" s="272"/>
      <c r="FU84" s="272"/>
      <c r="FV84" s="303">
        <f>SUM(FW84:FX84)</f>
        <v>0</v>
      </c>
      <c r="FW84" s="303">
        <f>SUM(FY84:FY84)</f>
        <v>0</v>
      </c>
      <c r="FX84" s="303">
        <f>SUM(FZ84:GA84)</f>
        <v>0</v>
      </c>
      <c r="FY84" s="272"/>
      <c r="FZ84" s="272"/>
      <c r="GA84" s="272"/>
      <c r="GB84" s="303"/>
      <c r="GC84" s="328"/>
      <c r="GD84" s="328"/>
      <c r="GE84" s="328"/>
      <c r="GF84" s="328"/>
      <c r="GG84" s="328"/>
    </row>
    <row r="85" spans="1:189" s="264" customFormat="1" ht="17.25" customHeight="1">
      <c r="A85" s="227"/>
      <c r="B85" s="228" t="s">
        <v>184</v>
      </c>
      <c r="C85" s="270">
        <f>D85+BE85+CI85</f>
        <v>6991600000</v>
      </c>
      <c r="D85" s="270">
        <f>E85+J85</f>
        <v>6991600000</v>
      </c>
      <c r="E85" s="270">
        <f>SUM(F85:I85)</f>
        <v>0</v>
      </c>
      <c r="F85" s="229"/>
      <c r="G85" s="229"/>
      <c r="H85" s="229"/>
      <c r="I85" s="229"/>
      <c r="J85" s="270">
        <f>SUM(K85:BD85)</f>
        <v>6991600000</v>
      </c>
      <c r="K85" s="229">
        <v>6991600000</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229"/>
      <c r="AP85" s="229"/>
      <c r="AQ85" s="229"/>
      <c r="AR85" s="229"/>
      <c r="AS85" s="229"/>
      <c r="AT85" s="229"/>
      <c r="AU85" s="229"/>
      <c r="AV85" s="229"/>
      <c r="AW85" s="229"/>
      <c r="AX85" s="229"/>
      <c r="AY85" s="229"/>
      <c r="AZ85" s="229"/>
      <c r="BA85" s="229"/>
      <c r="BB85" s="229"/>
      <c r="BC85" s="229"/>
      <c r="BD85" s="229"/>
      <c r="BE85" s="270">
        <f>SUM(BF85:BG85)</f>
        <v>0</v>
      </c>
      <c r="BF85" s="270">
        <f>SUM(BH85:BI85)+BJ85+SUM(BL85:BN85)+BW85+CE85</f>
        <v>0</v>
      </c>
      <c r="BG85" s="270">
        <f>BK85+SUM(BO85:BV85)+SUM(BX85:CD85)+SUM(CF85:CH85)</f>
        <v>0</v>
      </c>
      <c r="BH85" s="229"/>
      <c r="BI85" s="229"/>
      <c r="BJ85" s="229"/>
      <c r="BK85" s="229"/>
      <c r="BL85" s="229"/>
      <c r="BM85" s="229"/>
      <c r="BN85" s="229"/>
      <c r="BO85" s="229"/>
      <c r="BP85" s="229"/>
      <c r="BQ85" s="229"/>
      <c r="BR85" s="229"/>
      <c r="BS85" s="229"/>
      <c r="BT85" s="229"/>
      <c r="BU85" s="229"/>
      <c r="BV85" s="229"/>
      <c r="BW85" s="229"/>
      <c r="BX85" s="229"/>
      <c r="BY85" s="229"/>
      <c r="BZ85" s="229"/>
      <c r="CA85" s="229"/>
      <c r="CB85" s="229"/>
      <c r="CC85" s="229"/>
      <c r="CD85" s="229"/>
      <c r="CE85" s="229"/>
      <c r="CF85" s="229"/>
      <c r="CG85" s="229"/>
      <c r="CH85" s="229"/>
      <c r="CI85" s="270">
        <f>SUM(CJ85:CK85)</f>
        <v>0</v>
      </c>
      <c r="CJ85" s="270">
        <f>SUM(CL85:CL85)</f>
        <v>0</v>
      </c>
      <c r="CK85" s="270">
        <f>SUM(CM85:CN85)</f>
        <v>0</v>
      </c>
      <c r="CL85" s="229"/>
      <c r="CM85" s="229"/>
      <c r="CN85" s="229"/>
      <c r="CO85" s="271" t="s">
        <v>184</v>
      </c>
      <c r="CP85" s="303">
        <f>CQ85+ER85+FV85+GB85</f>
        <v>6991600000</v>
      </c>
      <c r="CQ85" s="303">
        <f>CR85+CW85</f>
        <v>6991600000</v>
      </c>
      <c r="CR85" s="303">
        <f>SUM(CS85:CV85)</f>
        <v>0</v>
      </c>
      <c r="CS85" s="272"/>
      <c r="CT85" s="272"/>
      <c r="CU85" s="272"/>
      <c r="CV85" s="272"/>
      <c r="CW85" s="303">
        <f>SUM(CX85:EQ85)</f>
        <v>6991600000</v>
      </c>
      <c r="CX85" s="272">
        <v>6991600000</v>
      </c>
      <c r="CY85" s="272"/>
      <c r="CZ85" s="272"/>
      <c r="DA85" s="272"/>
      <c r="DB85" s="272"/>
      <c r="DC85" s="272"/>
      <c r="DD85" s="272"/>
      <c r="DE85" s="272"/>
      <c r="DF85" s="272"/>
      <c r="DG85" s="272"/>
      <c r="DH85" s="272"/>
      <c r="DI85" s="272"/>
      <c r="DJ85" s="272"/>
      <c r="DK85" s="272"/>
      <c r="DL85" s="272"/>
      <c r="DM85" s="272"/>
      <c r="DN85" s="272"/>
      <c r="DO85" s="272"/>
      <c r="DP85" s="272"/>
      <c r="DQ85" s="272"/>
      <c r="DR85" s="272"/>
      <c r="DS85" s="272"/>
      <c r="DT85" s="272"/>
      <c r="DU85" s="272"/>
      <c r="DV85" s="272"/>
      <c r="DW85" s="272"/>
      <c r="DX85" s="272"/>
      <c r="DY85" s="272"/>
      <c r="DZ85" s="272"/>
      <c r="EA85" s="272"/>
      <c r="EB85" s="272"/>
      <c r="EC85" s="272"/>
      <c r="ED85" s="272"/>
      <c r="EE85" s="272"/>
      <c r="EF85" s="272"/>
      <c r="EG85" s="272"/>
      <c r="EH85" s="272"/>
      <c r="EI85" s="272"/>
      <c r="EJ85" s="272"/>
      <c r="EK85" s="272"/>
      <c r="EL85" s="272"/>
      <c r="EM85" s="272"/>
      <c r="EN85" s="272"/>
      <c r="EO85" s="272"/>
      <c r="EP85" s="272"/>
      <c r="EQ85" s="272"/>
      <c r="ER85" s="303">
        <f>SUM(ES85:ET85)</f>
        <v>0</v>
      </c>
      <c r="ES85" s="303">
        <f>SUM(EU85:EV85)+EW85+SUM(EY85:FA85)+FJ85+FR85</f>
        <v>0</v>
      </c>
      <c r="ET85" s="303">
        <f>EX85+SUM(FB85:FI85)+SUM(FK85:FQ85)+SUM(FS85:FU85)</f>
        <v>0</v>
      </c>
      <c r="EU85" s="272"/>
      <c r="EV85" s="272"/>
      <c r="EW85" s="272"/>
      <c r="EX85" s="272"/>
      <c r="EY85" s="272"/>
      <c r="EZ85" s="272"/>
      <c r="FA85" s="272"/>
      <c r="FB85" s="272"/>
      <c r="FC85" s="272"/>
      <c r="FD85" s="272"/>
      <c r="FE85" s="272"/>
      <c r="FF85" s="272"/>
      <c r="FG85" s="272"/>
      <c r="FH85" s="272"/>
      <c r="FI85" s="272"/>
      <c r="FJ85" s="272"/>
      <c r="FK85" s="272"/>
      <c r="FL85" s="272"/>
      <c r="FM85" s="272"/>
      <c r="FN85" s="272"/>
      <c r="FO85" s="272"/>
      <c r="FP85" s="272"/>
      <c r="FQ85" s="272"/>
      <c r="FR85" s="272"/>
      <c r="FS85" s="272"/>
      <c r="FT85" s="272"/>
      <c r="FU85" s="272"/>
      <c r="FV85" s="303">
        <f>SUM(FW85:FX85)</f>
        <v>0</v>
      </c>
      <c r="FW85" s="303">
        <f>SUM(FY85:FY85)</f>
        <v>0</v>
      </c>
      <c r="FX85" s="303">
        <f>SUM(FZ85:GA85)</f>
        <v>0</v>
      </c>
      <c r="FY85" s="272"/>
      <c r="FZ85" s="272"/>
      <c r="GA85" s="272"/>
      <c r="GB85" s="303"/>
      <c r="GC85" s="328">
        <f>CP85/C85</f>
        <v>1</v>
      </c>
      <c r="GD85" s="328"/>
      <c r="GE85" s="328">
        <f>CW85/J85</f>
        <v>1</v>
      </c>
      <c r="GF85" s="328"/>
      <c r="GG85" s="328"/>
    </row>
    <row r="86" spans="1:189" s="264" customFormat="1" ht="17.25" customHeight="1">
      <c r="A86" s="227">
        <v>25</v>
      </c>
      <c r="B86" s="228" t="s">
        <v>158</v>
      </c>
      <c r="C86" s="270">
        <f t="shared" ref="C86:AI86" si="152">C87+C88</f>
        <v>170000000</v>
      </c>
      <c r="D86" s="270">
        <f t="shared" si="152"/>
        <v>170000000</v>
      </c>
      <c r="E86" s="270">
        <f t="shared" si="152"/>
        <v>0</v>
      </c>
      <c r="F86" s="229">
        <f t="shared" si="152"/>
        <v>0</v>
      </c>
      <c r="G86" s="229">
        <f t="shared" si="152"/>
        <v>0</v>
      </c>
      <c r="H86" s="229">
        <f t="shared" si="152"/>
        <v>0</v>
      </c>
      <c r="I86" s="229">
        <f t="shared" si="152"/>
        <v>0</v>
      </c>
      <c r="J86" s="270">
        <f t="shared" si="152"/>
        <v>170000000</v>
      </c>
      <c r="K86" s="229">
        <f t="shared" si="152"/>
        <v>0</v>
      </c>
      <c r="L86" s="229">
        <f t="shared" si="152"/>
        <v>0</v>
      </c>
      <c r="M86" s="229">
        <f t="shared" si="152"/>
        <v>0</v>
      </c>
      <c r="N86" s="229">
        <f t="shared" si="152"/>
        <v>0</v>
      </c>
      <c r="O86" s="229">
        <f t="shared" si="152"/>
        <v>0</v>
      </c>
      <c r="P86" s="229">
        <f t="shared" si="152"/>
        <v>0</v>
      </c>
      <c r="Q86" s="229">
        <f t="shared" si="152"/>
        <v>0</v>
      </c>
      <c r="R86" s="229">
        <f t="shared" si="152"/>
        <v>0</v>
      </c>
      <c r="S86" s="229">
        <f t="shared" si="152"/>
        <v>0</v>
      </c>
      <c r="T86" s="229">
        <f t="shared" si="152"/>
        <v>0</v>
      </c>
      <c r="U86" s="229">
        <f t="shared" si="152"/>
        <v>0</v>
      </c>
      <c r="V86" s="229">
        <f t="shared" si="152"/>
        <v>0</v>
      </c>
      <c r="W86" s="229">
        <f t="shared" si="152"/>
        <v>0</v>
      </c>
      <c r="X86" s="229">
        <f t="shared" si="152"/>
        <v>0</v>
      </c>
      <c r="Y86" s="229">
        <f t="shared" si="152"/>
        <v>0</v>
      </c>
      <c r="Z86" s="229">
        <f t="shared" si="152"/>
        <v>0</v>
      </c>
      <c r="AA86" s="229">
        <f t="shared" si="152"/>
        <v>0</v>
      </c>
      <c r="AB86" s="229">
        <f t="shared" si="152"/>
        <v>0</v>
      </c>
      <c r="AC86" s="229">
        <f t="shared" si="152"/>
        <v>0</v>
      </c>
      <c r="AD86" s="229">
        <f t="shared" si="152"/>
        <v>0</v>
      </c>
      <c r="AE86" s="229">
        <f t="shared" si="152"/>
        <v>0</v>
      </c>
      <c r="AF86" s="229">
        <f t="shared" si="152"/>
        <v>0</v>
      </c>
      <c r="AG86" s="229">
        <f t="shared" si="152"/>
        <v>0</v>
      </c>
      <c r="AH86" s="229">
        <f t="shared" si="152"/>
        <v>0</v>
      </c>
      <c r="AI86" s="229">
        <f t="shared" si="152"/>
        <v>0</v>
      </c>
      <c r="AJ86" s="229">
        <f t="shared" ref="AJ86:AO86" si="153">AJ87+AJ88</f>
        <v>0</v>
      </c>
      <c r="AK86" s="229">
        <f t="shared" si="153"/>
        <v>0</v>
      </c>
      <c r="AL86" s="229">
        <f t="shared" si="153"/>
        <v>0</v>
      </c>
      <c r="AM86" s="229">
        <f t="shared" si="153"/>
        <v>0</v>
      </c>
      <c r="AN86" s="229">
        <f t="shared" si="153"/>
        <v>0</v>
      </c>
      <c r="AO86" s="229">
        <f t="shared" si="153"/>
        <v>0</v>
      </c>
      <c r="AP86" s="229">
        <f t="shared" ref="AP86:AU86" si="154">AP87+AP88</f>
        <v>0</v>
      </c>
      <c r="AQ86" s="229">
        <f t="shared" si="154"/>
        <v>0</v>
      </c>
      <c r="AR86" s="229">
        <f t="shared" si="154"/>
        <v>0</v>
      </c>
      <c r="AS86" s="229">
        <f t="shared" si="154"/>
        <v>0</v>
      </c>
      <c r="AT86" s="229">
        <f t="shared" si="154"/>
        <v>0</v>
      </c>
      <c r="AU86" s="229">
        <f t="shared" si="154"/>
        <v>0</v>
      </c>
      <c r="AV86" s="229">
        <f>AV87+AV88</f>
        <v>0</v>
      </c>
      <c r="AW86" s="229">
        <f>AW87+AW88</f>
        <v>0</v>
      </c>
      <c r="AX86" s="229">
        <f t="shared" ref="AX86:CN86" si="155">AX87+AX88</f>
        <v>0</v>
      </c>
      <c r="AY86" s="229">
        <f t="shared" si="155"/>
        <v>0</v>
      </c>
      <c r="AZ86" s="229">
        <f t="shared" si="155"/>
        <v>0</v>
      </c>
      <c r="BA86" s="229">
        <f t="shared" si="155"/>
        <v>0</v>
      </c>
      <c r="BB86" s="229">
        <f t="shared" si="155"/>
        <v>0</v>
      </c>
      <c r="BC86" s="229">
        <f t="shared" si="155"/>
        <v>170000000</v>
      </c>
      <c r="BD86" s="229">
        <f t="shared" si="155"/>
        <v>0</v>
      </c>
      <c r="BE86" s="270">
        <f t="shared" si="155"/>
        <v>0</v>
      </c>
      <c r="BF86" s="270">
        <f t="shared" si="155"/>
        <v>0</v>
      </c>
      <c r="BG86" s="270">
        <f t="shared" si="155"/>
        <v>0</v>
      </c>
      <c r="BH86" s="229">
        <f t="shared" si="155"/>
        <v>0</v>
      </c>
      <c r="BI86" s="229">
        <f t="shared" si="155"/>
        <v>0</v>
      </c>
      <c r="BJ86" s="229">
        <f t="shared" si="155"/>
        <v>0</v>
      </c>
      <c r="BK86" s="229">
        <f t="shared" si="155"/>
        <v>0</v>
      </c>
      <c r="BL86" s="229">
        <f>BL87+BL88</f>
        <v>0</v>
      </c>
      <c r="BM86" s="229">
        <f>BM87+BM88</f>
        <v>0</v>
      </c>
      <c r="BN86" s="229">
        <f t="shared" si="155"/>
        <v>0</v>
      </c>
      <c r="BO86" s="229">
        <f t="shared" si="155"/>
        <v>0</v>
      </c>
      <c r="BP86" s="229">
        <f t="shared" si="155"/>
        <v>0</v>
      </c>
      <c r="BQ86" s="229">
        <f t="shared" si="155"/>
        <v>0</v>
      </c>
      <c r="BR86" s="229">
        <f t="shared" si="155"/>
        <v>0</v>
      </c>
      <c r="BS86" s="229">
        <f t="shared" si="155"/>
        <v>0</v>
      </c>
      <c r="BT86" s="229">
        <f t="shared" si="155"/>
        <v>0</v>
      </c>
      <c r="BU86" s="229">
        <f t="shared" si="155"/>
        <v>0</v>
      </c>
      <c r="BV86" s="229">
        <f t="shared" si="155"/>
        <v>0</v>
      </c>
      <c r="BW86" s="229">
        <f t="shared" si="155"/>
        <v>0</v>
      </c>
      <c r="BX86" s="229">
        <f t="shared" si="155"/>
        <v>0</v>
      </c>
      <c r="BY86" s="229">
        <f t="shared" si="155"/>
        <v>0</v>
      </c>
      <c r="BZ86" s="229">
        <f t="shared" si="155"/>
        <v>0</v>
      </c>
      <c r="CA86" s="229">
        <f t="shared" si="155"/>
        <v>0</v>
      </c>
      <c r="CB86" s="229">
        <f t="shared" si="155"/>
        <v>0</v>
      </c>
      <c r="CC86" s="229">
        <f t="shared" si="155"/>
        <v>0</v>
      </c>
      <c r="CD86" s="229">
        <f t="shared" si="155"/>
        <v>0</v>
      </c>
      <c r="CE86" s="229">
        <f t="shared" si="155"/>
        <v>0</v>
      </c>
      <c r="CF86" s="229">
        <f t="shared" si="155"/>
        <v>0</v>
      </c>
      <c r="CG86" s="229">
        <f t="shared" si="155"/>
        <v>0</v>
      </c>
      <c r="CH86" s="229">
        <f t="shared" si="155"/>
        <v>0</v>
      </c>
      <c r="CI86" s="270">
        <f t="shared" si="155"/>
        <v>0</v>
      </c>
      <c r="CJ86" s="270">
        <f t="shared" si="155"/>
        <v>0</v>
      </c>
      <c r="CK86" s="270">
        <f t="shared" si="155"/>
        <v>0</v>
      </c>
      <c r="CL86" s="229">
        <f t="shared" si="155"/>
        <v>0</v>
      </c>
      <c r="CM86" s="229">
        <f t="shared" si="155"/>
        <v>0</v>
      </c>
      <c r="CN86" s="229">
        <f t="shared" si="155"/>
        <v>0</v>
      </c>
      <c r="CO86" s="272" t="s">
        <v>158</v>
      </c>
      <c r="CP86" s="303">
        <f t="shared" ref="CP86:EB86" si="156">CP87+CP88</f>
        <v>170000000</v>
      </c>
      <c r="CQ86" s="303">
        <f t="shared" si="156"/>
        <v>170000000</v>
      </c>
      <c r="CR86" s="303">
        <f t="shared" si="156"/>
        <v>0</v>
      </c>
      <c r="CS86" s="272">
        <f t="shared" si="156"/>
        <v>0</v>
      </c>
      <c r="CT86" s="272">
        <f t="shared" si="156"/>
        <v>0</v>
      </c>
      <c r="CU86" s="272">
        <f t="shared" si="156"/>
        <v>0</v>
      </c>
      <c r="CV86" s="272">
        <f t="shared" si="156"/>
        <v>0</v>
      </c>
      <c r="CW86" s="303">
        <f t="shared" si="156"/>
        <v>170000000</v>
      </c>
      <c r="CX86" s="272">
        <f t="shared" si="156"/>
        <v>0</v>
      </c>
      <c r="CY86" s="272">
        <f t="shared" si="156"/>
        <v>0</v>
      </c>
      <c r="CZ86" s="272">
        <f t="shared" si="156"/>
        <v>0</v>
      </c>
      <c r="DA86" s="272">
        <f t="shared" si="156"/>
        <v>0</v>
      </c>
      <c r="DB86" s="272">
        <f t="shared" si="156"/>
        <v>0</v>
      </c>
      <c r="DC86" s="272">
        <f t="shared" si="156"/>
        <v>0</v>
      </c>
      <c r="DD86" s="272">
        <f t="shared" si="156"/>
        <v>0</v>
      </c>
      <c r="DE86" s="272">
        <f t="shared" si="156"/>
        <v>0</v>
      </c>
      <c r="DF86" s="272">
        <f t="shared" si="156"/>
        <v>0</v>
      </c>
      <c r="DG86" s="272">
        <f t="shared" si="156"/>
        <v>0</v>
      </c>
      <c r="DH86" s="272">
        <f t="shared" si="156"/>
        <v>0</v>
      </c>
      <c r="DI86" s="272">
        <f t="shared" si="156"/>
        <v>0</v>
      </c>
      <c r="DJ86" s="272">
        <f t="shared" si="156"/>
        <v>0</v>
      </c>
      <c r="DK86" s="272">
        <f t="shared" si="156"/>
        <v>0</v>
      </c>
      <c r="DL86" s="272">
        <f t="shared" si="156"/>
        <v>0</v>
      </c>
      <c r="DM86" s="272">
        <f t="shared" si="156"/>
        <v>0</v>
      </c>
      <c r="DN86" s="272">
        <f t="shared" si="156"/>
        <v>0</v>
      </c>
      <c r="DO86" s="272">
        <f t="shared" si="156"/>
        <v>0</v>
      </c>
      <c r="DP86" s="272">
        <f t="shared" si="156"/>
        <v>0</v>
      </c>
      <c r="DQ86" s="272">
        <f t="shared" si="156"/>
        <v>0</v>
      </c>
      <c r="DR86" s="272">
        <f t="shared" si="156"/>
        <v>0</v>
      </c>
      <c r="DS86" s="272">
        <f t="shared" si="156"/>
        <v>0</v>
      </c>
      <c r="DT86" s="272">
        <f t="shared" si="156"/>
        <v>0</v>
      </c>
      <c r="DU86" s="272">
        <f t="shared" si="156"/>
        <v>0</v>
      </c>
      <c r="DV86" s="272">
        <f t="shared" si="156"/>
        <v>0</v>
      </c>
      <c r="DW86" s="272">
        <f t="shared" si="156"/>
        <v>0</v>
      </c>
      <c r="DX86" s="272">
        <f t="shared" si="156"/>
        <v>0</v>
      </c>
      <c r="DY86" s="272">
        <f t="shared" si="156"/>
        <v>0</v>
      </c>
      <c r="DZ86" s="272">
        <f t="shared" si="156"/>
        <v>0</v>
      </c>
      <c r="EA86" s="272">
        <f t="shared" si="156"/>
        <v>0</v>
      </c>
      <c r="EB86" s="272">
        <f t="shared" si="156"/>
        <v>0</v>
      </c>
      <c r="EC86" s="272">
        <f t="shared" ref="EC86:EH86" si="157">EC87+EC88</f>
        <v>0</v>
      </c>
      <c r="ED86" s="272">
        <f t="shared" si="157"/>
        <v>0</v>
      </c>
      <c r="EE86" s="272">
        <f t="shared" si="157"/>
        <v>0</v>
      </c>
      <c r="EF86" s="272">
        <f t="shared" si="157"/>
        <v>0</v>
      </c>
      <c r="EG86" s="272">
        <f t="shared" si="157"/>
        <v>0</v>
      </c>
      <c r="EH86" s="272">
        <f t="shared" si="157"/>
        <v>0</v>
      </c>
      <c r="EI86" s="272">
        <f>EI87+EI88</f>
        <v>0</v>
      </c>
      <c r="EJ86" s="272">
        <f>EJ87+EJ88</f>
        <v>0</v>
      </c>
      <c r="EK86" s="272">
        <f t="shared" ref="EK86:GA86" si="158">EK87+EK88</f>
        <v>0</v>
      </c>
      <c r="EL86" s="272">
        <f t="shared" si="158"/>
        <v>0</v>
      </c>
      <c r="EM86" s="272">
        <f t="shared" si="158"/>
        <v>0</v>
      </c>
      <c r="EN86" s="272">
        <f t="shared" si="158"/>
        <v>0</v>
      </c>
      <c r="EO86" s="272">
        <f t="shared" si="158"/>
        <v>0</v>
      </c>
      <c r="EP86" s="272">
        <f t="shared" si="158"/>
        <v>170000000</v>
      </c>
      <c r="EQ86" s="272">
        <f t="shared" si="158"/>
        <v>0</v>
      </c>
      <c r="ER86" s="303">
        <f t="shared" si="158"/>
        <v>0</v>
      </c>
      <c r="ES86" s="303">
        <f t="shared" si="158"/>
        <v>0</v>
      </c>
      <c r="ET86" s="303">
        <f t="shared" si="158"/>
        <v>0</v>
      </c>
      <c r="EU86" s="272">
        <f t="shared" si="158"/>
        <v>0</v>
      </c>
      <c r="EV86" s="272">
        <f t="shared" si="158"/>
        <v>0</v>
      </c>
      <c r="EW86" s="272">
        <f t="shared" si="158"/>
        <v>0</v>
      </c>
      <c r="EX86" s="272">
        <f t="shared" si="158"/>
        <v>0</v>
      </c>
      <c r="EY86" s="272">
        <f t="shared" si="158"/>
        <v>0</v>
      </c>
      <c r="EZ86" s="272">
        <f t="shared" si="158"/>
        <v>0</v>
      </c>
      <c r="FA86" s="272">
        <f t="shared" si="158"/>
        <v>0</v>
      </c>
      <c r="FB86" s="272">
        <f t="shared" si="158"/>
        <v>0</v>
      </c>
      <c r="FC86" s="272">
        <f t="shared" si="158"/>
        <v>0</v>
      </c>
      <c r="FD86" s="272">
        <f t="shared" si="158"/>
        <v>0</v>
      </c>
      <c r="FE86" s="272">
        <f t="shared" si="158"/>
        <v>0</v>
      </c>
      <c r="FF86" s="272">
        <f t="shared" si="158"/>
        <v>0</v>
      </c>
      <c r="FG86" s="272">
        <f t="shared" si="158"/>
        <v>0</v>
      </c>
      <c r="FH86" s="272">
        <f t="shared" si="158"/>
        <v>0</v>
      </c>
      <c r="FI86" s="272">
        <f t="shared" si="158"/>
        <v>0</v>
      </c>
      <c r="FJ86" s="272">
        <f t="shared" si="158"/>
        <v>0</v>
      </c>
      <c r="FK86" s="272">
        <f t="shared" si="158"/>
        <v>0</v>
      </c>
      <c r="FL86" s="272">
        <f t="shared" si="158"/>
        <v>0</v>
      </c>
      <c r="FM86" s="272">
        <f t="shared" si="158"/>
        <v>0</v>
      </c>
      <c r="FN86" s="272">
        <f t="shared" si="158"/>
        <v>0</v>
      </c>
      <c r="FO86" s="272">
        <f t="shared" si="158"/>
        <v>0</v>
      </c>
      <c r="FP86" s="272">
        <f t="shared" si="158"/>
        <v>0</v>
      </c>
      <c r="FQ86" s="272">
        <f t="shared" si="158"/>
        <v>0</v>
      </c>
      <c r="FR86" s="272">
        <f t="shared" si="158"/>
        <v>0</v>
      </c>
      <c r="FS86" s="272">
        <f t="shared" si="158"/>
        <v>0</v>
      </c>
      <c r="FT86" s="272">
        <f t="shared" si="158"/>
        <v>0</v>
      </c>
      <c r="FU86" s="272">
        <f t="shared" si="158"/>
        <v>0</v>
      </c>
      <c r="FV86" s="303">
        <f t="shared" si="158"/>
        <v>0</v>
      </c>
      <c r="FW86" s="303">
        <f t="shared" si="158"/>
        <v>0</v>
      </c>
      <c r="FX86" s="303">
        <f t="shared" si="158"/>
        <v>0</v>
      </c>
      <c r="FY86" s="272">
        <f t="shared" si="158"/>
        <v>0</v>
      </c>
      <c r="FZ86" s="272">
        <f t="shared" si="158"/>
        <v>0</v>
      </c>
      <c r="GA86" s="272">
        <f t="shared" si="158"/>
        <v>0</v>
      </c>
      <c r="GB86" s="303">
        <f>GB87+GB88</f>
        <v>0</v>
      </c>
      <c r="GC86" s="328">
        <f>CP86/C86</f>
        <v>1</v>
      </c>
      <c r="GD86" s="328"/>
      <c r="GE86" s="328">
        <f>CW86/J86</f>
        <v>1</v>
      </c>
      <c r="GF86" s="328"/>
      <c r="GG86" s="328"/>
    </row>
    <row r="87" spans="1:189" s="264" customFormat="1" ht="17.25" customHeight="1">
      <c r="A87" s="227"/>
      <c r="B87" s="228" t="s">
        <v>183</v>
      </c>
      <c r="C87" s="270">
        <f>D87+BE87+CI87</f>
        <v>0</v>
      </c>
      <c r="D87" s="270">
        <f>E87+J87</f>
        <v>0</v>
      </c>
      <c r="E87" s="270">
        <f>SUM(F87:I87)</f>
        <v>0</v>
      </c>
      <c r="F87" s="229"/>
      <c r="G87" s="229"/>
      <c r="H87" s="229"/>
      <c r="I87" s="229"/>
      <c r="J87" s="270">
        <f>SUM(K87:BD87)</f>
        <v>0</v>
      </c>
      <c r="K87" s="229"/>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229"/>
      <c r="AP87" s="229"/>
      <c r="AQ87" s="229"/>
      <c r="AR87" s="229"/>
      <c r="AS87" s="229"/>
      <c r="AT87" s="229"/>
      <c r="AU87" s="229"/>
      <c r="AV87" s="229"/>
      <c r="AW87" s="229"/>
      <c r="AX87" s="229"/>
      <c r="AY87" s="229"/>
      <c r="AZ87" s="229"/>
      <c r="BA87" s="229"/>
      <c r="BB87" s="229"/>
      <c r="BC87" s="229"/>
      <c r="BD87" s="229"/>
      <c r="BE87" s="270">
        <f>SUM(BF87:BG87)</f>
        <v>0</v>
      </c>
      <c r="BF87" s="270">
        <f>SUM(BH87:BI87)+BJ87+SUM(BL87:BN87)+BW87+CE87</f>
        <v>0</v>
      </c>
      <c r="BG87" s="270">
        <f>BK87+SUM(BO87:BV87)+SUM(BX87:CD87)+SUM(CF87:CH87)</f>
        <v>0</v>
      </c>
      <c r="BH87" s="229"/>
      <c r="BI87" s="229"/>
      <c r="BJ87" s="229"/>
      <c r="BK87" s="229"/>
      <c r="BL87" s="229"/>
      <c r="BM87" s="229"/>
      <c r="BN87" s="229"/>
      <c r="BO87" s="229"/>
      <c r="BP87" s="229"/>
      <c r="BQ87" s="229"/>
      <c r="BR87" s="229"/>
      <c r="BS87" s="229"/>
      <c r="BT87" s="229"/>
      <c r="BU87" s="229"/>
      <c r="BV87" s="229"/>
      <c r="BW87" s="229"/>
      <c r="BX87" s="229"/>
      <c r="BY87" s="229"/>
      <c r="BZ87" s="229"/>
      <c r="CA87" s="229"/>
      <c r="CB87" s="229"/>
      <c r="CC87" s="229"/>
      <c r="CD87" s="229"/>
      <c r="CE87" s="229"/>
      <c r="CF87" s="229"/>
      <c r="CG87" s="229"/>
      <c r="CH87" s="229"/>
      <c r="CI87" s="270">
        <f>SUM(CJ87:CK87)</f>
        <v>0</v>
      </c>
      <c r="CJ87" s="270">
        <f>SUM(CL87:CL87)</f>
        <v>0</v>
      </c>
      <c r="CK87" s="270">
        <f>SUM(CM87:CN87)</f>
        <v>0</v>
      </c>
      <c r="CL87" s="229"/>
      <c r="CM87" s="229"/>
      <c r="CN87" s="229"/>
      <c r="CO87" s="271" t="s">
        <v>183</v>
      </c>
      <c r="CP87" s="303">
        <f>CQ87+ER87+FV87+GB87</f>
        <v>0</v>
      </c>
      <c r="CQ87" s="303">
        <f>CR87+CW87</f>
        <v>0</v>
      </c>
      <c r="CR87" s="303">
        <f>SUM(CS87:CV87)</f>
        <v>0</v>
      </c>
      <c r="CS87" s="272"/>
      <c r="CT87" s="272"/>
      <c r="CU87" s="272"/>
      <c r="CV87" s="272"/>
      <c r="CW87" s="303">
        <f>SUM(CX87:EQ87)</f>
        <v>0</v>
      </c>
      <c r="CX87" s="272"/>
      <c r="CY87" s="272"/>
      <c r="CZ87" s="272"/>
      <c r="DA87" s="272"/>
      <c r="DB87" s="272"/>
      <c r="DC87" s="272"/>
      <c r="DD87" s="272"/>
      <c r="DE87" s="272"/>
      <c r="DF87" s="272"/>
      <c r="DG87" s="272"/>
      <c r="DH87" s="272"/>
      <c r="DI87" s="272"/>
      <c r="DJ87" s="272"/>
      <c r="DK87" s="272"/>
      <c r="DL87" s="272"/>
      <c r="DM87" s="272"/>
      <c r="DN87" s="272"/>
      <c r="DO87" s="272"/>
      <c r="DP87" s="272"/>
      <c r="DQ87" s="272"/>
      <c r="DR87" s="272"/>
      <c r="DS87" s="272"/>
      <c r="DT87" s="272"/>
      <c r="DU87" s="272"/>
      <c r="DV87" s="272"/>
      <c r="DW87" s="272"/>
      <c r="DX87" s="272"/>
      <c r="DY87" s="272"/>
      <c r="DZ87" s="272"/>
      <c r="EA87" s="272"/>
      <c r="EB87" s="272"/>
      <c r="EC87" s="272"/>
      <c r="ED87" s="272"/>
      <c r="EE87" s="272"/>
      <c r="EF87" s="272"/>
      <c r="EG87" s="272"/>
      <c r="EH87" s="272"/>
      <c r="EI87" s="272"/>
      <c r="EJ87" s="272"/>
      <c r="EK87" s="272"/>
      <c r="EL87" s="272"/>
      <c r="EM87" s="272"/>
      <c r="EN87" s="272"/>
      <c r="EO87" s="272"/>
      <c r="EP87" s="272"/>
      <c r="EQ87" s="272"/>
      <c r="ER87" s="303">
        <f>SUM(ES87:ET87)</f>
        <v>0</v>
      </c>
      <c r="ES87" s="303">
        <f>SUM(EU87:EV87)+EW87+SUM(EY87:FA87)+FJ87+FR87</f>
        <v>0</v>
      </c>
      <c r="ET87" s="303">
        <f>EX87+SUM(FB87:FI87)+SUM(FK87:FQ87)+SUM(FS87:FU87)</f>
        <v>0</v>
      </c>
      <c r="EU87" s="272"/>
      <c r="EV87" s="272"/>
      <c r="EW87" s="272"/>
      <c r="EX87" s="272"/>
      <c r="EY87" s="272"/>
      <c r="EZ87" s="272"/>
      <c r="FA87" s="272"/>
      <c r="FB87" s="272"/>
      <c r="FC87" s="272"/>
      <c r="FD87" s="272"/>
      <c r="FE87" s="272"/>
      <c r="FF87" s="272"/>
      <c r="FG87" s="272"/>
      <c r="FH87" s="272"/>
      <c r="FI87" s="272"/>
      <c r="FJ87" s="272"/>
      <c r="FK87" s="272"/>
      <c r="FL87" s="272"/>
      <c r="FM87" s="272"/>
      <c r="FN87" s="272"/>
      <c r="FO87" s="272"/>
      <c r="FP87" s="272"/>
      <c r="FQ87" s="272"/>
      <c r="FR87" s="272"/>
      <c r="FS87" s="272"/>
      <c r="FT87" s="272"/>
      <c r="FU87" s="272"/>
      <c r="FV87" s="303">
        <f>SUM(FW87:FX87)</f>
        <v>0</v>
      </c>
      <c r="FW87" s="303">
        <f>SUM(FY87:FY87)</f>
        <v>0</v>
      </c>
      <c r="FX87" s="303">
        <f>SUM(FZ87:GA87)</f>
        <v>0</v>
      </c>
      <c r="FY87" s="272"/>
      <c r="FZ87" s="272"/>
      <c r="GA87" s="272"/>
      <c r="GB87" s="303"/>
      <c r="GC87" s="328"/>
      <c r="GD87" s="328"/>
      <c r="GE87" s="328"/>
      <c r="GF87" s="328"/>
      <c r="GG87" s="328"/>
    </row>
    <row r="88" spans="1:189" s="264" customFormat="1" ht="17.25" customHeight="1">
      <c r="A88" s="227"/>
      <c r="B88" s="228" t="s">
        <v>184</v>
      </c>
      <c r="C88" s="270">
        <f>D88+BE88+CI88</f>
        <v>170000000</v>
      </c>
      <c r="D88" s="270">
        <f>E88+J88</f>
        <v>170000000</v>
      </c>
      <c r="E88" s="270">
        <f>SUM(F88:I88)</f>
        <v>0</v>
      </c>
      <c r="F88" s="229"/>
      <c r="G88" s="229"/>
      <c r="H88" s="229"/>
      <c r="I88" s="229"/>
      <c r="J88" s="270">
        <f>SUM(K88:BD88)</f>
        <v>170000000</v>
      </c>
      <c r="K88" s="229"/>
      <c r="L88" s="229"/>
      <c r="M88" s="229"/>
      <c r="N88" s="229"/>
      <c r="O88" s="229"/>
      <c r="P88" s="229"/>
      <c r="Q88" s="229"/>
      <c r="R88" s="229"/>
      <c r="S88" s="229"/>
      <c r="T88" s="229"/>
      <c r="U88" s="229"/>
      <c r="V88" s="229"/>
      <c r="W88" s="229"/>
      <c r="X88" s="229"/>
      <c r="Y88" s="229"/>
      <c r="Z88" s="229"/>
      <c r="AA88" s="229"/>
      <c r="AB88" s="229"/>
      <c r="AC88" s="229"/>
      <c r="AD88" s="229"/>
      <c r="AE88" s="229"/>
      <c r="AF88" s="229"/>
      <c r="AG88" s="229"/>
      <c r="AH88" s="229"/>
      <c r="AI88" s="229"/>
      <c r="AJ88" s="229"/>
      <c r="AK88" s="229"/>
      <c r="AL88" s="229"/>
      <c r="AM88" s="229"/>
      <c r="AN88" s="229"/>
      <c r="AO88" s="229"/>
      <c r="AP88" s="229"/>
      <c r="AQ88" s="229"/>
      <c r="AR88" s="229"/>
      <c r="AS88" s="229"/>
      <c r="AT88" s="229"/>
      <c r="AU88" s="229"/>
      <c r="AV88" s="229"/>
      <c r="AW88" s="229"/>
      <c r="AX88" s="229"/>
      <c r="AY88" s="229"/>
      <c r="AZ88" s="229"/>
      <c r="BA88" s="229"/>
      <c r="BB88" s="229"/>
      <c r="BC88" s="229">
        <v>170000000</v>
      </c>
      <c r="BD88" s="229"/>
      <c r="BE88" s="270">
        <f>SUM(BF88:BG88)</f>
        <v>0</v>
      </c>
      <c r="BF88" s="270">
        <f>SUM(BH88:BI88)+BJ88+SUM(BL88:BN88)+BW88+CE88</f>
        <v>0</v>
      </c>
      <c r="BG88" s="270">
        <f>BK88+SUM(BO88:BV88)+SUM(BX88:CD88)+SUM(CF88:CH88)</f>
        <v>0</v>
      </c>
      <c r="BH88" s="229"/>
      <c r="BI88" s="229"/>
      <c r="BJ88" s="229"/>
      <c r="BK88" s="229"/>
      <c r="BL88" s="229"/>
      <c r="BM88" s="229"/>
      <c r="BN88" s="229"/>
      <c r="BO88" s="229"/>
      <c r="BP88" s="229"/>
      <c r="BQ88" s="229"/>
      <c r="BR88" s="229"/>
      <c r="BS88" s="229"/>
      <c r="BT88" s="229"/>
      <c r="BU88" s="229"/>
      <c r="BV88" s="229"/>
      <c r="BW88" s="229"/>
      <c r="BX88" s="229"/>
      <c r="BY88" s="229"/>
      <c r="BZ88" s="229"/>
      <c r="CA88" s="229"/>
      <c r="CB88" s="229"/>
      <c r="CC88" s="229"/>
      <c r="CD88" s="229"/>
      <c r="CE88" s="229"/>
      <c r="CF88" s="229"/>
      <c r="CG88" s="229"/>
      <c r="CH88" s="229"/>
      <c r="CI88" s="270">
        <f>SUM(CJ88:CK88)</f>
        <v>0</v>
      </c>
      <c r="CJ88" s="270">
        <f>SUM(CL88:CL88)</f>
        <v>0</v>
      </c>
      <c r="CK88" s="270">
        <f>SUM(CM88:CN88)</f>
        <v>0</v>
      </c>
      <c r="CL88" s="229"/>
      <c r="CM88" s="229"/>
      <c r="CN88" s="229"/>
      <c r="CO88" s="271" t="s">
        <v>184</v>
      </c>
      <c r="CP88" s="303">
        <f>CQ88+ER88+FV88+GB88</f>
        <v>170000000</v>
      </c>
      <c r="CQ88" s="303">
        <f>CR88+CW88</f>
        <v>170000000</v>
      </c>
      <c r="CR88" s="303">
        <f>SUM(CS88:CV88)</f>
        <v>0</v>
      </c>
      <c r="CS88" s="272"/>
      <c r="CT88" s="272"/>
      <c r="CU88" s="272"/>
      <c r="CV88" s="272"/>
      <c r="CW88" s="303">
        <f>SUM(CX88:EQ88)</f>
        <v>170000000</v>
      </c>
      <c r="CX88" s="272"/>
      <c r="CY88" s="272"/>
      <c r="CZ88" s="272"/>
      <c r="DA88" s="272"/>
      <c r="DB88" s="272"/>
      <c r="DC88" s="272"/>
      <c r="DD88" s="272"/>
      <c r="DE88" s="272"/>
      <c r="DF88" s="272"/>
      <c r="DG88" s="272"/>
      <c r="DH88" s="272"/>
      <c r="DI88" s="272"/>
      <c r="DJ88" s="272"/>
      <c r="DK88" s="272"/>
      <c r="DL88" s="272"/>
      <c r="DM88" s="272"/>
      <c r="DN88" s="272"/>
      <c r="DO88" s="272"/>
      <c r="DP88" s="272"/>
      <c r="DQ88" s="272"/>
      <c r="DR88" s="272"/>
      <c r="DS88" s="272"/>
      <c r="DT88" s="272"/>
      <c r="DU88" s="272"/>
      <c r="DV88" s="272"/>
      <c r="DW88" s="272"/>
      <c r="DX88" s="272"/>
      <c r="DY88" s="272"/>
      <c r="DZ88" s="272"/>
      <c r="EA88" s="272"/>
      <c r="EB88" s="272"/>
      <c r="EC88" s="272"/>
      <c r="ED88" s="272"/>
      <c r="EE88" s="272"/>
      <c r="EF88" s="272"/>
      <c r="EG88" s="272"/>
      <c r="EH88" s="272"/>
      <c r="EI88" s="272"/>
      <c r="EJ88" s="272"/>
      <c r="EK88" s="272"/>
      <c r="EL88" s="272"/>
      <c r="EM88" s="272"/>
      <c r="EN88" s="272"/>
      <c r="EO88" s="272"/>
      <c r="EP88" s="272">
        <v>170000000</v>
      </c>
      <c r="EQ88" s="272"/>
      <c r="ER88" s="303">
        <f>SUM(ES88:ET88)</f>
        <v>0</v>
      </c>
      <c r="ES88" s="303">
        <f>SUM(EU88:EV88)+EW88+SUM(EY88:FA88)+FJ88+FR88</f>
        <v>0</v>
      </c>
      <c r="ET88" s="303">
        <f>EX88+SUM(FB88:FI88)+SUM(FK88:FQ88)+SUM(FS88:FU88)</f>
        <v>0</v>
      </c>
      <c r="EU88" s="272"/>
      <c r="EV88" s="272"/>
      <c r="EW88" s="272"/>
      <c r="EX88" s="272"/>
      <c r="EY88" s="272"/>
      <c r="EZ88" s="272"/>
      <c r="FA88" s="272"/>
      <c r="FB88" s="272"/>
      <c r="FC88" s="272"/>
      <c r="FD88" s="272"/>
      <c r="FE88" s="272"/>
      <c r="FF88" s="272"/>
      <c r="FG88" s="272"/>
      <c r="FH88" s="272"/>
      <c r="FI88" s="272"/>
      <c r="FJ88" s="272"/>
      <c r="FK88" s="272"/>
      <c r="FL88" s="272"/>
      <c r="FM88" s="272"/>
      <c r="FN88" s="272"/>
      <c r="FO88" s="272"/>
      <c r="FP88" s="272"/>
      <c r="FQ88" s="272"/>
      <c r="FR88" s="272"/>
      <c r="FS88" s="272"/>
      <c r="FT88" s="272"/>
      <c r="FU88" s="272"/>
      <c r="FV88" s="303">
        <f>SUM(FW88:FX88)</f>
        <v>0</v>
      </c>
      <c r="FW88" s="303">
        <f>SUM(FY88:FY88)</f>
        <v>0</v>
      </c>
      <c r="FX88" s="303">
        <f>SUM(FZ88:GA88)</f>
        <v>0</v>
      </c>
      <c r="FY88" s="272"/>
      <c r="FZ88" s="272"/>
      <c r="GA88" s="272"/>
      <c r="GB88" s="303"/>
      <c r="GC88" s="328">
        <f t="shared" ref="GC88:GC94" si="159">CP88/C88</f>
        <v>1</v>
      </c>
      <c r="GD88" s="328"/>
      <c r="GE88" s="328">
        <f>CW88/J88</f>
        <v>1</v>
      </c>
      <c r="GF88" s="328"/>
      <c r="GG88" s="328"/>
    </row>
    <row r="89" spans="1:189" s="264" customFormat="1" ht="17.25" customHeight="1">
      <c r="A89" s="227">
        <v>26</v>
      </c>
      <c r="B89" s="228" t="s">
        <v>198</v>
      </c>
      <c r="C89" s="270">
        <f t="shared" ref="C89:AI89" si="160">C90+C91</f>
        <v>5082343409</v>
      </c>
      <c r="D89" s="270">
        <f t="shared" si="160"/>
        <v>5082343409</v>
      </c>
      <c r="E89" s="270">
        <f t="shared" si="160"/>
        <v>1164597409</v>
      </c>
      <c r="F89" s="229">
        <f t="shared" si="160"/>
        <v>0</v>
      </c>
      <c r="G89" s="229">
        <f t="shared" si="160"/>
        <v>0</v>
      </c>
      <c r="H89" s="229">
        <f t="shared" si="160"/>
        <v>0</v>
      </c>
      <c r="I89" s="229">
        <f t="shared" si="160"/>
        <v>1164597409</v>
      </c>
      <c r="J89" s="270">
        <f t="shared" si="160"/>
        <v>3917746000</v>
      </c>
      <c r="K89" s="229">
        <f t="shared" si="160"/>
        <v>0</v>
      </c>
      <c r="L89" s="229">
        <f t="shared" si="160"/>
        <v>0</v>
      </c>
      <c r="M89" s="229">
        <f t="shared" si="160"/>
        <v>0</v>
      </c>
      <c r="N89" s="229">
        <f t="shared" si="160"/>
        <v>0</v>
      </c>
      <c r="O89" s="229">
        <f t="shared" si="160"/>
        <v>0</v>
      </c>
      <c r="P89" s="229">
        <f t="shared" si="160"/>
        <v>0</v>
      </c>
      <c r="Q89" s="229">
        <f t="shared" si="160"/>
        <v>0</v>
      </c>
      <c r="R89" s="229">
        <f t="shared" si="160"/>
        <v>0</v>
      </c>
      <c r="S89" s="229">
        <f t="shared" si="160"/>
        <v>0</v>
      </c>
      <c r="T89" s="229">
        <f t="shared" si="160"/>
        <v>0</v>
      </c>
      <c r="U89" s="229">
        <f t="shared" si="160"/>
        <v>0</v>
      </c>
      <c r="V89" s="229">
        <f t="shared" si="160"/>
        <v>0</v>
      </c>
      <c r="W89" s="229">
        <f t="shared" si="160"/>
        <v>0</v>
      </c>
      <c r="X89" s="229">
        <f t="shared" si="160"/>
        <v>0</v>
      </c>
      <c r="Y89" s="229">
        <f t="shared" si="160"/>
        <v>0</v>
      </c>
      <c r="Z89" s="229">
        <f t="shared" si="160"/>
        <v>0</v>
      </c>
      <c r="AA89" s="229">
        <f t="shared" si="160"/>
        <v>0</v>
      </c>
      <c r="AB89" s="229">
        <f t="shared" si="160"/>
        <v>0</v>
      </c>
      <c r="AC89" s="229">
        <f t="shared" si="160"/>
        <v>0</v>
      </c>
      <c r="AD89" s="229">
        <f t="shared" si="160"/>
        <v>0</v>
      </c>
      <c r="AE89" s="229">
        <f t="shared" si="160"/>
        <v>0</v>
      </c>
      <c r="AF89" s="229">
        <f t="shared" si="160"/>
        <v>0</v>
      </c>
      <c r="AG89" s="229">
        <f t="shared" si="160"/>
        <v>0</v>
      </c>
      <c r="AH89" s="229">
        <f t="shared" si="160"/>
        <v>0</v>
      </c>
      <c r="AI89" s="229">
        <f t="shared" si="160"/>
        <v>0</v>
      </c>
      <c r="AJ89" s="229">
        <f t="shared" ref="AJ89:AO89" si="161">AJ90+AJ91</f>
        <v>0</v>
      </c>
      <c r="AK89" s="229">
        <f t="shared" si="161"/>
        <v>0</v>
      </c>
      <c r="AL89" s="229">
        <f t="shared" si="161"/>
        <v>0</v>
      </c>
      <c r="AM89" s="229">
        <f t="shared" si="161"/>
        <v>3217746000</v>
      </c>
      <c r="AN89" s="229">
        <f t="shared" si="161"/>
        <v>0</v>
      </c>
      <c r="AO89" s="229">
        <f t="shared" si="161"/>
        <v>0</v>
      </c>
      <c r="AP89" s="229">
        <f t="shared" ref="AP89:AU89" si="162">AP90+AP91</f>
        <v>0</v>
      </c>
      <c r="AQ89" s="229">
        <f t="shared" si="162"/>
        <v>700000000</v>
      </c>
      <c r="AR89" s="229">
        <f t="shared" si="162"/>
        <v>0</v>
      </c>
      <c r="AS89" s="229">
        <f t="shared" si="162"/>
        <v>0</v>
      </c>
      <c r="AT89" s="229">
        <f t="shared" si="162"/>
        <v>0</v>
      </c>
      <c r="AU89" s="229">
        <f t="shared" si="162"/>
        <v>0</v>
      </c>
      <c r="AV89" s="229">
        <f>AV90+AV91</f>
        <v>0</v>
      </c>
      <c r="AW89" s="229">
        <f>AW90+AW91</f>
        <v>0</v>
      </c>
      <c r="AX89" s="229">
        <f t="shared" ref="AX89:CN89" si="163">AX90+AX91</f>
        <v>0</v>
      </c>
      <c r="AY89" s="229">
        <f t="shared" si="163"/>
        <v>0</v>
      </c>
      <c r="AZ89" s="229">
        <f t="shared" si="163"/>
        <v>0</v>
      </c>
      <c r="BA89" s="229">
        <f t="shared" si="163"/>
        <v>0</v>
      </c>
      <c r="BB89" s="229">
        <f t="shared" si="163"/>
        <v>0</v>
      </c>
      <c r="BC89" s="229">
        <f t="shared" si="163"/>
        <v>0</v>
      </c>
      <c r="BD89" s="229">
        <f t="shared" si="163"/>
        <v>0</v>
      </c>
      <c r="BE89" s="270">
        <f t="shared" si="163"/>
        <v>0</v>
      </c>
      <c r="BF89" s="270">
        <f t="shared" si="163"/>
        <v>0</v>
      </c>
      <c r="BG89" s="270">
        <f t="shared" si="163"/>
        <v>0</v>
      </c>
      <c r="BH89" s="229">
        <f t="shared" si="163"/>
        <v>0</v>
      </c>
      <c r="BI89" s="229">
        <f t="shared" si="163"/>
        <v>0</v>
      </c>
      <c r="BJ89" s="229">
        <f t="shared" si="163"/>
        <v>0</v>
      </c>
      <c r="BK89" s="229">
        <f t="shared" si="163"/>
        <v>0</v>
      </c>
      <c r="BL89" s="229">
        <f>BL90+BL91</f>
        <v>0</v>
      </c>
      <c r="BM89" s="229">
        <f>BM90+BM91</f>
        <v>0</v>
      </c>
      <c r="BN89" s="229">
        <f t="shared" si="163"/>
        <v>0</v>
      </c>
      <c r="BO89" s="229">
        <f t="shared" si="163"/>
        <v>0</v>
      </c>
      <c r="BP89" s="229">
        <f t="shared" si="163"/>
        <v>0</v>
      </c>
      <c r="BQ89" s="229">
        <f t="shared" si="163"/>
        <v>0</v>
      </c>
      <c r="BR89" s="229">
        <f t="shared" si="163"/>
        <v>0</v>
      </c>
      <c r="BS89" s="229">
        <f t="shared" si="163"/>
        <v>0</v>
      </c>
      <c r="BT89" s="229">
        <f t="shared" si="163"/>
        <v>0</v>
      </c>
      <c r="BU89" s="229">
        <f t="shared" si="163"/>
        <v>0</v>
      </c>
      <c r="BV89" s="229">
        <f t="shared" si="163"/>
        <v>0</v>
      </c>
      <c r="BW89" s="229">
        <f t="shared" si="163"/>
        <v>0</v>
      </c>
      <c r="BX89" s="229">
        <f t="shared" si="163"/>
        <v>0</v>
      </c>
      <c r="BY89" s="229">
        <f t="shared" si="163"/>
        <v>0</v>
      </c>
      <c r="BZ89" s="229">
        <f t="shared" si="163"/>
        <v>0</v>
      </c>
      <c r="CA89" s="229">
        <f t="shared" si="163"/>
        <v>0</v>
      </c>
      <c r="CB89" s="229">
        <f t="shared" si="163"/>
        <v>0</v>
      </c>
      <c r="CC89" s="229">
        <f t="shared" si="163"/>
        <v>0</v>
      </c>
      <c r="CD89" s="229">
        <f t="shared" si="163"/>
        <v>0</v>
      </c>
      <c r="CE89" s="229">
        <f t="shared" si="163"/>
        <v>0</v>
      </c>
      <c r="CF89" s="229">
        <f t="shared" si="163"/>
        <v>0</v>
      </c>
      <c r="CG89" s="229">
        <f t="shared" si="163"/>
        <v>0</v>
      </c>
      <c r="CH89" s="229">
        <f t="shared" si="163"/>
        <v>0</v>
      </c>
      <c r="CI89" s="270">
        <f t="shared" si="163"/>
        <v>0</v>
      </c>
      <c r="CJ89" s="270">
        <f t="shared" si="163"/>
        <v>0</v>
      </c>
      <c r="CK89" s="270">
        <f t="shared" si="163"/>
        <v>0</v>
      </c>
      <c r="CL89" s="229">
        <f t="shared" si="163"/>
        <v>0</v>
      </c>
      <c r="CM89" s="229">
        <f t="shared" si="163"/>
        <v>0</v>
      </c>
      <c r="CN89" s="229">
        <f t="shared" si="163"/>
        <v>0</v>
      </c>
      <c r="CO89" s="272" t="s">
        <v>198</v>
      </c>
      <c r="CP89" s="303">
        <f t="shared" ref="CP89:EB89" si="164">CP90+CP91</f>
        <v>5082343409</v>
      </c>
      <c r="CQ89" s="303">
        <f t="shared" si="164"/>
        <v>5082343409</v>
      </c>
      <c r="CR89" s="303">
        <f t="shared" si="164"/>
        <v>1164597409</v>
      </c>
      <c r="CS89" s="272">
        <f t="shared" si="164"/>
        <v>0</v>
      </c>
      <c r="CT89" s="272">
        <f t="shared" si="164"/>
        <v>0</v>
      </c>
      <c r="CU89" s="272">
        <f t="shared" si="164"/>
        <v>0</v>
      </c>
      <c r="CV89" s="272">
        <f t="shared" si="164"/>
        <v>1164597409</v>
      </c>
      <c r="CW89" s="303">
        <f t="shared" si="164"/>
        <v>3917746000</v>
      </c>
      <c r="CX89" s="272">
        <f t="shared" si="164"/>
        <v>0</v>
      </c>
      <c r="CY89" s="272">
        <f t="shared" si="164"/>
        <v>0</v>
      </c>
      <c r="CZ89" s="272">
        <f t="shared" si="164"/>
        <v>0</v>
      </c>
      <c r="DA89" s="272">
        <f t="shared" si="164"/>
        <v>0</v>
      </c>
      <c r="DB89" s="272">
        <f t="shared" si="164"/>
        <v>0</v>
      </c>
      <c r="DC89" s="272">
        <f t="shared" si="164"/>
        <v>0</v>
      </c>
      <c r="DD89" s="272">
        <f t="shared" si="164"/>
        <v>0</v>
      </c>
      <c r="DE89" s="272">
        <f t="shared" si="164"/>
        <v>0</v>
      </c>
      <c r="DF89" s="272">
        <f t="shared" si="164"/>
        <v>0</v>
      </c>
      <c r="DG89" s="272">
        <f t="shared" si="164"/>
        <v>0</v>
      </c>
      <c r="DH89" s="272">
        <f t="shared" si="164"/>
        <v>0</v>
      </c>
      <c r="DI89" s="272">
        <f t="shared" si="164"/>
        <v>0</v>
      </c>
      <c r="DJ89" s="272">
        <f t="shared" si="164"/>
        <v>0</v>
      </c>
      <c r="DK89" s="272">
        <f t="shared" si="164"/>
        <v>0</v>
      </c>
      <c r="DL89" s="272">
        <f t="shared" si="164"/>
        <v>0</v>
      </c>
      <c r="DM89" s="272">
        <f t="shared" si="164"/>
        <v>0</v>
      </c>
      <c r="DN89" s="272">
        <f t="shared" si="164"/>
        <v>0</v>
      </c>
      <c r="DO89" s="272">
        <f t="shared" si="164"/>
        <v>0</v>
      </c>
      <c r="DP89" s="272">
        <f t="shared" si="164"/>
        <v>0</v>
      </c>
      <c r="DQ89" s="272">
        <f t="shared" si="164"/>
        <v>0</v>
      </c>
      <c r="DR89" s="272">
        <f t="shared" si="164"/>
        <v>0</v>
      </c>
      <c r="DS89" s="272">
        <f t="shared" si="164"/>
        <v>0</v>
      </c>
      <c r="DT89" s="272">
        <f t="shared" si="164"/>
        <v>0</v>
      </c>
      <c r="DU89" s="272">
        <f t="shared" si="164"/>
        <v>0</v>
      </c>
      <c r="DV89" s="272">
        <f t="shared" si="164"/>
        <v>0</v>
      </c>
      <c r="DW89" s="272">
        <f t="shared" si="164"/>
        <v>0</v>
      </c>
      <c r="DX89" s="272">
        <f t="shared" si="164"/>
        <v>0</v>
      </c>
      <c r="DY89" s="272">
        <f t="shared" si="164"/>
        <v>0</v>
      </c>
      <c r="DZ89" s="272">
        <f t="shared" si="164"/>
        <v>3217746000</v>
      </c>
      <c r="EA89" s="272">
        <f t="shared" si="164"/>
        <v>0</v>
      </c>
      <c r="EB89" s="272">
        <f t="shared" si="164"/>
        <v>0</v>
      </c>
      <c r="EC89" s="272">
        <f t="shared" ref="EC89:EH89" si="165">EC90+EC91</f>
        <v>0</v>
      </c>
      <c r="ED89" s="272">
        <f t="shared" si="165"/>
        <v>700000000</v>
      </c>
      <c r="EE89" s="272">
        <f t="shared" si="165"/>
        <v>0</v>
      </c>
      <c r="EF89" s="272">
        <f t="shared" si="165"/>
        <v>0</v>
      </c>
      <c r="EG89" s="272">
        <f t="shared" si="165"/>
        <v>0</v>
      </c>
      <c r="EH89" s="272">
        <f t="shared" si="165"/>
        <v>0</v>
      </c>
      <c r="EI89" s="272">
        <f>EI90+EI91</f>
        <v>0</v>
      </c>
      <c r="EJ89" s="272">
        <f>EJ90+EJ91</f>
        <v>0</v>
      </c>
      <c r="EK89" s="272">
        <f t="shared" ref="EK89:GA89" si="166">EK90+EK91</f>
        <v>0</v>
      </c>
      <c r="EL89" s="272">
        <f t="shared" si="166"/>
        <v>0</v>
      </c>
      <c r="EM89" s="272">
        <f t="shared" si="166"/>
        <v>0</v>
      </c>
      <c r="EN89" s="272">
        <f t="shared" si="166"/>
        <v>0</v>
      </c>
      <c r="EO89" s="272">
        <f t="shared" si="166"/>
        <v>0</v>
      </c>
      <c r="EP89" s="272">
        <f t="shared" si="166"/>
        <v>0</v>
      </c>
      <c r="EQ89" s="272">
        <f t="shared" si="166"/>
        <v>0</v>
      </c>
      <c r="ER89" s="303">
        <f t="shared" si="166"/>
        <v>0</v>
      </c>
      <c r="ES89" s="303">
        <f t="shared" si="166"/>
        <v>0</v>
      </c>
      <c r="ET89" s="303">
        <f t="shared" si="166"/>
        <v>0</v>
      </c>
      <c r="EU89" s="272">
        <f t="shared" si="166"/>
        <v>0</v>
      </c>
      <c r="EV89" s="272">
        <f t="shared" si="166"/>
        <v>0</v>
      </c>
      <c r="EW89" s="272">
        <f t="shared" si="166"/>
        <v>0</v>
      </c>
      <c r="EX89" s="272">
        <f t="shared" si="166"/>
        <v>0</v>
      </c>
      <c r="EY89" s="272">
        <f t="shared" si="166"/>
        <v>0</v>
      </c>
      <c r="EZ89" s="272">
        <f t="shared" si="166"/>
        <v>0</v>
      </c>
      <c r="FA89" s="272">
        <f t="shared" si="166"/>
        <v>0</v>
      </c>
      <c r="FB89" s="272">
        <f t="shared" si="166"/>
        <v>0</v>
      </c>
      <c r="FC89" s="272">
        <f t="shared" si="166"/>
        <v>0</v>
      </c>
      <c r="FD89" s="272">
        <f t="shared" si="166"/>
        <v>0</v>
      </c>
      <c r="FE89" s="272">
        <f t="shared" si="166"/>
        <v>0</v>
      </c>
      <c r="FF89" s="272">
        <f t="shared" si="166"/>
        <v>0</v>
      </c>
      <c r="FG89" s="272">
        <f t="shared" si="166"/>
        <v>0</v>
      </c>
      <c r="FH89" s="272">
        <f t="shared" si="166"/>
        <v>0</v>
      </c>
      <c r="FI89" s="272">
        <f t="shared" si="166"/>
        <v>0</v>
      </c>
      <c r="FJ89" s="272">
        <f t="shared" si="166"/>
        <v>0</v>
      </c>
      <c r="FK89" s="272">
        <f t="shared" si="166"/>
        <v>0</v>
      </c>
      <c r="FL89" s="272">
        <f t="shared" si="166"/>
        <v>0</v>
      </c>
      <c r="FM89" s="272">
        <f t="shared" si="166"/>
        <v>0</v>
      </c>
      <c r="FN89" s="272">
        <f t="shared" si="166"/>
        <v>0</v>
      </c>
      <c r="FO89" s="272">
        <f t="shared" si="166"/>
        <v>0</v>
      </c>
      <c r="FP89" s="272">
        <f t="shared" si="166"/>
        <v>0</v>
      </c>
      <c r="FQ89" s="272">
        <f t="shared" si="166"/>
        <v>0</v>
      </c>
      <c r="FR89" s="272">
        <f t="shared" si="166"/>
        <v>0</v>
      </c>
      <c r="FS89" s="272">
        <f t="shared" si="166"/>
        <v>0</v>
      </c>
      <c r="FT89" s="272">
        <f t="shared" si="166"/>
        <v>0</v>
      </c>
      <c r="FU89" s="272">
        <f t="shared" si="166"/>
        <v>0</v>
      </c>
      <c r="FV89" s="303">
        <f t="shared" si="166"/>
        <v>0</v>
      </c>
      <c r="FW89" s="303">
        <f t="shared" si="166"/>
        <v>0</v>
      </c>
      <c r="FX89" s="303">
        <f t="shared" si="166"/>
        <v>0</v>
      </c>
      <c r="FY89" s="272">
        <f t="shared" si="166"/>
        <v>0</v>
      </c>
      <c r="FZ89" s="272">
        <f t="shared" si="166"/>
        <v>0</v>
      </c>
      <c r="GA89" s="272">
        <f t="shared" si="166"/>
        <v>0</v>
      </c>
      <c r="GB89" s="303">
        <f>GB90+GB91</f>
        <v>0</v>
      </c>
      <c r="GC89" s="328">
        <f t="shared" si="159"/>
        <v>1</v>
      </c>
      <c r="GD89" s="328"/>
      <c r="GE89" s="328">
        <f>CW89/J89</f>
        <v>1</v>
      </c>
      <c r="GF89" s="328"/>
      <c r="GG89" s="328"/>
    </row>
    <row r="90" spans="1:189" s="264" customFormat="1" ht="17.25" customHeight="1">
      <c r="A90" s="227"/>
      <c r="B90" s="228" t="s">
        <v>183</v>
      </c>
      <c r="C90" s="270">
        <f>D90+BE90+CI90</f>
        <v>1164597409</v>
      </c>
      <c r="D90" s="270">
        <f>E90+J90</f>
        <v>1164597409</v>
      </c>
      <c r="E90" s="270">
        <f>SUM(F90:I90)</f>
        <v>1164597409</v>
      </c>
      <c r="F90" s="229"/>
      <c r="G90" s="229"/>
      <c r="H90" s="229"/>
      <c r="I90" s="229">
        <v>1164597409</v>
      </c>
      <c r="J90" s="270">
        <f>SUM(K90:BD90)</f>
        <v>0</v>
      </c>
      <c r="K90" s="229"/>
      <c r="L90" s="229"/>
      <c r="M90" s="229"/>
      <c r="N90" s="229"/>
      <c r="O90" s="229"/>
      <c r="P90" s="229"/>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29"/>
      <c r="BA90" s="229"/>
      <c r="BB90" s="229"/>
      <c r="BC90" s="229"/>
      <c r="BD90" s="229"/>
      <c r="BE90" s="270">
        <f>SUM(BF90:BG90)</f>
        <v>0</v>
      </c>
      <c r="BF90" s="270">
        <f>SUM(BH90:BI90)+BJ90+SUM(BL90:BN90)+BW90+CE90</f>
        <v>0</v>
      </c>
      <c r="BG90" s="270">
        <f>BK90+SUM(BO90:BV90)+SUM(BX90:CD90)+SUM(CF90:CH90)</f>
        <v>0</v>
      </c>
      <c r="BH90" s="229"/>
      <c r="BI90" s="229"/>
      <c r="BJ90" s="229"/>
      <c r="BK90" s="229"/>
      <c r="BL90" s="229"/>
      <c r="BM90" s="229"/>
      <c r="BN90" s="229"/>
      <c r="BO90" s="229"/>
      <c r="BP90" s="229"/>
      <c r="BQ90" s="229"/>
      <c r="BR90" s="229"/>
      <c r="BS90" s="229"/>
      <c r="BT90" s="229"/>
      <c r="BU90" s="229"/>
      <c r="BV90" s="229"/>
      <c r="BW90" s="229"/>
      <c r="BX90" s="229"/>
      <c r="BY90" s="229"/>
      <c r="BZ90" s="229"/>
      <c r="CA90" s="229"/>
      <c r="CB90" s="229"/>
      <c r="CC90" s="229"/>
      <c r="CD90" s="229"/>
      <c r="CE90" s="229"/>
      <c r="CF90" s="229"/>
      <c r="CG90" s="229"/>
      <c r="CH90" s="229"/>
      <c r="CI90" s="270">
        <f>SUM(CJ90:CK90)</f>
        <v>0</v>
      </c>
      <c r="CJ90" s="270">
        <f>SUM(CL90:CL90)</f>
        <v>0</v>
      </c>
      <c r="CK90" s="270">
        <f>SUM(CM90:CN90)</f>
        <v>0</v>
      </c>
      <c r="CL90" s="229"/>
      <c r="CM90" s="229"/>
      <c r="CN90" s="229"/>
      <c r="CO90" s="271" t="s">
        <v>183</v>
      </c>
      <c r="CP90" s="303">
        <f>CQ90+ER90+FV90+GB90</f>
        <v>1164597409</v>
      </c>
      <c r="CQ90" s="303">
        <f>CR90+CW90</f>
        <v>1164597409</v>
      </c>
      <c r="CR90" s="303">
        <f>SUM(CS90:CV90)</f>
        <v>1164597409</v>
      </c>
      <c r="CS90" s="272"/>
      <c r="CT90" s="272"/>
      <c r="CU90" s="272"/>
      <c r="CV90" s="272">
        <v>1164597409</v>
      </c>
      <c r="CW90" s="303">
        <f>SUM(CX90:EQ90)</f>
        <v>0</v>
      </c>
      <c r="CX90" s="272"/>
      <c r="CY90" s="272"/>
      <c r="CZ90" s="272"/>
      <c r="DA90" s="272"/>
      <c r="DB90" s="272"/>
      <c r="DC90" s="272"/>
      <c r="DD90" s="272"/>
      <c r="DE90" s="272"/>
      <c r="DF90" s="272"/>
      <c r="DG90" s="272"/>
      <c r="DH90" s="272"/>
      <c r="DI90" s="272"/>
      <c r="DJ90" s="272"/>
      <c r="DK90" s="272"/>
      <c r="DL90" s="272"/>
      <c r="DM90" s="272"/>
      <c r="DN90" s="272"/>
      <c r="DO90" s="272"/>
      <c r="DP90" s="272"/>
      <c r="DQ90" s="272"/>
      <c r="DR90" s="272"/>
      <c r="DS90" s="272"/>
      <c r="DT90" s="272"/>
      <c r="DU90" s="272"/>
      <c r="DV90" s="272"/>
      <c r="DW90" s="272"/>
      <c r="DX90" s="272"/>
      <c r="DY90" s="272"/>
      <c r="DZ90" s="272"/>
      <c r="EA90" s="272"/>
      <c r="EB90" s="272"/>
      <c r="EC90" s="272"/>
      <c r="ED90" s="272"/>
      <c r="EE90" s="272"/>
      <c r="EF90" s="272"/>
      <c r="EG90" s="272"/>
      <c r="EH90" s="272"/>
      <c r="EI90" s="272"/>
      <c r="EJ90" s="272"/>
      <c r="EK90" s="272"/>
      <c r="EL90" s="272"/>
      <c r="EM90" s="272"/>
      <c r="EN90" s="272"/>
      <c r="EO90" s="272"/>
      <c r="EP90" s="272"/>
      <c r="EQ90" s="272"/>
      <c r="ER90" s="303">
        <f>SUM(ES90:ET90)</f>
        <v>0</v>
      </c>
      <c r="ES90" s="303">
        <f>SUM(EU90:EV90)+EW90+SUM(EY90:FA90)+FJ90+FR90</f>
        <v>0</v>
      </c>
      <c r="ET90" s="303">
        <f>EX90+SUM(FB90:FI90)+SUM(FK90:FQ90)+SUM(FS90:FU90)</f>
        <v>0</v>
      </c>
      <c r="EU90" s="272"/>
      <c r="EV90" s="272"/>
      <c r="EW90" s="272"/>
      <c r="EX90" s="272"/>
      <c r="EY90" s="272"/>
      <c r="EZ90" s="272"/>
      <c r="FA90" s="272"/>
      <c r="FB90" s="272"/>
      <c r="FC90" s="272"/>
      <c r="FD90" s="272"/>
      <c r="FE90" s="272"/>
      <c r="FF90" s="272"/>
      <c r="FG90" s="272"/>
      <c r="FH90" s="272"/>
      <c r="FI90" s="272"/>
      <c r="FJ90" s="272"/>
      <c r="FK90" s="272"/>
      <c r="FL90" s="272"/>
      <c r="FM90" s="272"/>
      <c r="FN90" s="272"/>
      <c r="FO90" s="272"/>
      <c r="FP90" s="272"/>
      <c r="FQ90" s="272"/>
      <c r="FR90" s="272"/>
      <c r="FS90" s="272"/>
      <c r="FT90" s="272"/>
      <c r="FU90" s="272"/>
      <c r="FV90" s="303">
        <f>SUM(FW90:FX90)</f>
        <v>0</v>
      </c>
      <c r="FW90" s="303">
        <f>SUM(FY90:FY90)</f>
        <v>0</v>
      </c>
      <c r="FX90" s="303">
        <f>SUM(FZ90:GA90)</f>
        <v>0</v>
      </c>
      <c r="FY90" s="272"/>
      <c r="FZ90" s="272"/>
      <c r="GA90" s="272"/>
      <c r="GB90" s="303"/>
      <c r="GC90" s="328">
        <f t="shared" si="159"/>
        <v>1</v>
      </c>
      <c r="GD90" s="328"/>
      <c r="GE90" s="328"/>
      <c r="GF90" s="328"/>
      <c r="GG90" s="328"/>
    </row>
    <row r="91" spans="1:189" s="264" customFormat="1" ht="17.25" customHeight="1">
      <c r="A91" s="227"/>
      <c r="B91" s="228" t="s">
        <v>184</v>
      </c>
      <c r="C91" s="270">
        <f>D91+BE91+CI91</f>
        <v>3917746000</v>
      </c>
      <c r="D91" s="270">
        <f>E91+J91</f>
        <v>3917746000</v>
      </c>
      <c r="E91" s="270">
        <f>SUM(F91:I91)</f>
        <v>0</v>
      </c>
      <c r="F91" s="229"/>
      <c r="G91" s="229"/>
      <c r="H91" s="229"/>
      <c r="I91" s="229"/>
      <c r="J91" s="270">
        <f>SUM(K91:BD91)</f>
        <v>3917746000</v>
      </c>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v>3217746000</v>
      </c>
      <c r="AN91" s="229"/>
      <c r="AO91" s="229"/>
      <c r="AP91" s="229"/>
      <c r="AQ91" s="229">
        <v>700000000</v>
      </c>
      <c r="AR91" s="229"/>
      <c r="AS91" s="229"/>
      <c r="AT91" s="229"/>
      <c r="AU91" s="229"/>
      <c r="AV91" s="229"/>
      <c r="AW91" s="229"/>
      <c r="AX91" s="229"/>
      <c r="AY91" s="229"/>
      <c r="AZ91" s="229"/>
      <c r="BA91" s="229"/>
      <c r="BB91" s="229"/>
      <c r="BC91" s="229"/>
      <c r="BD91" s="229"/>
      <c r="BE91" s="270">
        <f>SUM(BF91:BG91)</f>
        <v>0</v>
      </c>
      <c r="BF91" s="270">
        <f>SUM(BH91:BI91)+BJ91+SUM(BL91:BN91)+BW91+CE91</f>
        <v>0</v>
      </c>
      <c r="BG91" s="270">
        <f>BK91+SUM(BO91:BV91)+SUM(BX91:CD91)+SUM(CF91:CH91)</f>
        <v>0</v>
      </c>
      <c r="BH91" s="229"/>
      <c r="BI91" s="229"/>
      <c r="BJ91" s="229"/>
      <c r="BK91" s="229"/>
      <c r="BL91" s="229"/>
      <c r="BM91" s="229"/>
      <c r="BN91" s="229"/>
      <c r="BO91" s="229"/>
      <c r="BP91" s="229"/>
      <c r="BQ91" s="229"/>
      <c r="BR91" s="229"/>
      <c r="BS91" s="229"/>
      <c r="BT91" s="229"/>
      <c r="BU91" s="229"/>
      <c r="BV91" s="229"/>
      <c r="BW91" s="229"/>
      <c r="BX91" s="229"/>
      <c r="BY91" s="229"/>
      <c r="BZ91" s="229"/>
      <c r="CA91" s="229"/>
      <c r="CB91" s="229"/>
      <c r="CC91" s="229"/>
      <c r="CD91" s="229"/>
      <c r="CE91" s="229"/>
      <c r="CF91" s="229"/>
      <c r="CG91" s="229"/>
      <c r="CH91" s="229"/>
      <c r="CI91" s="270">
        <f>SUM(CJ91:CK91)</f>
        <v>0</v>
      </c>
      <c r="CJ91" s="270">
        <f>SUM(CL91:CL91)</f>
        <v>0</v>
      </c>
      <c r="CK91" s="270">
        <f>SUM(CM91:CN91)</f>
        <v>0</v>
      </c>
      <c r="CL91" s="229"/>
      <c r="CM91" s="229"/>
      <c r="CN91" s="229"/>
      <c r="CO91" s="271" t="s">
        <v>184</v>
      </c>
      <c r="CP91" s="303">
        <f>CQ91+ER91+FV91+GB91</f>
        <v>3917746000</v>
      </c>
      <c r="CQ91" s="303">
        <f>CR91+CW91</f>
        <v>3917746000</v>
      </c>
      <c r="CR91" s="303">
        <f>SUM(CS91:CV91)</f>
        <v>0</v>
      </c>
      <c r="CS91" s="272"/>
      <c r="CT91" s="272"/>
      <c r="CU91" s="272"/>
      <c r="CV91" s="272"/>
      <c r="CW91" s="303">
        <f>SUM(CX91:EQ91)</f>
        <v>3917746000</v>
      </c>
      <c r="CX91" s="272"/>
      <c r="CY91" s="272"/>
      <c r="CZ91" s="272"/>
      <c r="DA91" s="272"/>
      <c r="DB91" s="272"/>
      <c r="DC91" s="272"/>
      <c r="DD91" s="272"/>
      <c r="DE91" s="272"/>
      <c r="DF91" s="272"/>
      <c r="DG91" s="272"/>
      <c r="DH91" s="272"/>
      <c r="DI91" s="272"/>
      <c r="DJ91" s="272"/>
      <c r="DK91" s="272"/>
      <c r="DL91" s="272"/>
      <c r="DM91" s="272"/>
      <c r="DN91" s="272"/>
      <c r="DO91" s="272"/>
      <c r="DP91" s="272"/>
      <c r="DQ91" s="272"/>
      <c r="DR91" s="272"/>
      <c r="DS91" s="272"/>
      <c r="DT91" s="272"/>
      <c r="DU91" s="272"/>
      <c r="DV91" s="272"/>
      <c r="DW91" s="272"/>
      <c r="DX91" s="272"/>
      <c r="DY91" s="272"/>
      <c r="DZ91" s="272">
        <v>3217746000</v>
      </c>
      <c r="EA91" s="272"/>
      <c r="EB91" s="272"/>
      <c r="EC91" s="272"/>
      <c r="ED91" s="272">
        <v>700000000</v>
      </c>
      <c r="EE91" s="272"/>
      <c r="EF91" s="272"/>
      <c r="EG91" s="272"/>
      <c r="EH91" s="272"/>
      <c r="EI91" s="272"/>
      <c r="EJ91" s="272"/>
      <c r="EK91" s="272"/>
      <c r="EL91" s="272"/>
      <c r="EM91" s="272"/>
      <c r="EN91" s="272"/>
      <c r="EO91" s="272"/>
      <c r="EP91" s="272"/>
      <c r="EQ91" s="272"/>
      <c r="ER91" s="303">
        <f>SUM(ES91:ET91)</f>
        <v>0</v>
      </c>
      <c r="ES91" s="303">
        <f>SUM(EU91:EV91)+EW91+SUM(EY91:FA91)+FJ91+FR91</f>
        <v>0</v>
      </c>
      <c r="ET91" s="303">
        <f>EX91+SUM(FB91:FI91)+SUM(FK91:FQ91)+SUM(FS91:FU91)</f>
        <v>0</v>
      </c>
      <c r="EU91" s="272"/>
      <c r="EV91" s="272"/>
      <c r="EW91" s="272"/>
      <c r="EX91" s="272"/>
      <c r="EY91" s="272"/>
      <c r="EZ91" s="272"/>
      <c r="FA91" s="272"/>
      <c r="FB91" s="272"/>
      <c r="FC91" s="272"/>
      <c r="FD91" s="272"/>
      <c r="FE91" s="272"/>
      <c r="FF91" s="272"/>
      <c r="FG91" s="272"/>
      <c r="FH91" s="272"/>
      <c r="FI91" s="272"/>
      <c r="FJ91" s="272"/>
      <c r="FK91" s="272"/>
      <c r="FL91" s="272"/>
      <c r="FM91" s="272"/>
      <c r="FN91" s="272"/>
      <c r="FO91" s="272"/>
      <c r="FP91" s="272"/>
      <c r="FQ91" s="272"/>
      <c r="FR91" s="272"/>
      <c r="FS91" s="272"/>
      <c r="FT91" s="272"/>
      <c r="FU91" s="272"/>
      <c r="FV91" s="303">
        <f>SUM(FW91:FX91)</f>
        <v>0</v>
      </c>
      <c r="FW91" s="303">
        <f>SUM(FY91:FY91)</f>
        <v>0</v>
      </c>
      <c r="FX91" s="303">
        <f>SUM(FZ91:GA91)</f>
        <v>0</v>
      </c>
      <c r="FY91" s="272"/>
      <c r="FZ91" s="272"/>
      <c r="GA91" s="272"/>
      <c r="GB91" s="303"/>
      <c r="GC91" s="328">
        <f t="shared" si="159"/>
        <v>1</v>
      </c>
      <c r="GD91" s="328"/>
      <c r="GE91" s="328">
        <f>CW91/J91</f>
        <v>1</v>
      </c>
      <c r="GF91" s="328"/>
      <c r="GG91" s="328"/>
    </row>
    <row r="92" spans="1:189" s="264" customFormat="1" ht="17.25" customHeight="1">
      <c r="A92" s="227">
        <v>27</v>
      </c>
      <c r="B92" s="228" t="s">
        <v>199</v>
      </c>
      <c r="C92" s="270">
        <f t="shared" ref="C92:AI92" si="167">C93+C94</f>
        <v>2800486306</v>
      </c>
      <c r="D92" s="270">
        <f t="shared" si="167"/>
        <v>2764920806</v>
      </c>
      <c r="E92" s="270">
        <f t="shared" si="167"/>
        <v>611999000</v>
      </c>
      <c r="F92" s="229">
        <f t="shared" si="167"/>
        <v>611999000</v>
      </c>
      <c r="G92" s="229">
        <f t="shared" si="167"/>
        <v>0</v>
      </c>
      <c r="H92" s="229">
        <f t="shared" si="167"/>
        <v>0</v>
      </c>
      <c r="I92" s="229">
        <f t="shared" si="167"/>
        <v>0</v>
      </c>
      <c r="J92" s="270">
        <f t="shared" si="167"/>
        <v>2152921806</v>
      </c>
      <c r="K92" s="229">
        <f t="shared" si="167"/>
        <v>0</v>
      </c>
      <c r="L92" s="229">
        <f t="shared" si="167"/>
        <v>0</v>
      </c>
      <c r="M92" s="229">
        <f t="shared" si="167"/>
        <v>0</v>
      </c>
      <c r="N92" s="229">
        <f t="shared" si="167"/>
        <v>0</v>
      </c>
      <c r="O92" s="229">
        <f t="shared" si="167"/>
        <v>0</v>
      </c>
      <c r="P92" s="229">
        <f t="shared" si="167"/>
        <v>0</v>
      </c>
      <c r="Q92" s="229">
        <f t="shared" si="167"/>
        <v>0</v>
      </c>
      <c r="R92" s="229">
        <f t="shared" si="167"/>
        <v>0</v>
      </c>
      <c r="S92" s="229">
        <f t="shared" si="167"/>
        <v>0</v>
      </c>
      <c r="T92" s="229">
        <f t="shared" si="167"/>
        <v>0</v>
      </c>
      <c r="U92" s="229">
        <f t="shared" si="167"/>
        <v>0</v>
      </c>
      <c r="V92" s="229">
        <f t="shared" si="167"/>
        <v>0</v>
      </c>
      <c r="W92" s="229">
        <f t="shared" si="167"/>
        <v>0</v>
      </c>
      <c r="X92" s="229">
        <f t="shared" si="167"/>
        <v>0</v>
      </c>
      <c r="Y92" s="229">
        <f t="shared" si="167"/>
        <v>0</v>
      </c>
      <c r="Z92" s="229">
        <f t="shared" si="167"/>
        <v>0</v>
      </c>
      <c r="AA92" s="229">
        <f t="shared" si="167"/>
        <v>0</v>
      </c>
      <c r="AB92" s="229">
        <f t="shared" si="167"/>
        <v>115400000</v>
      </c>
      <c r="AC92" s="229">
        <f t="shared" si="167"/>
        <v>0</v>
      </c>
      <c r="AD92" s="229">
        <f t="shared" si="167"/>
        <v>0</v>
      </c>
      <c r="AE92" s="229">
        <f t="shared" si="167"/>
        <v>0</v>
      </c>
      <c r="AF92" s="229">
        <f t="shared" si="167"/>
        <v>0</v>
      </c>
      <c r="AG92" s="229">
        <f t="shared" si="167"/>
        <v>0</v>
      </c>
      <c r="AH92" s="229">
        <f t="shared" si="167"/>
        <v>0</v>
      </c>
      <c r="AI92" s="229">
        <f t="shared" si="167"/>
        <v>0</v>
      </c>
      <c r="AJ92" s="229">
        <f t="shared" ref="AJ92:AO92" si="168">AJ93+AJ94</f>
        <v>5924220</v>
      </c>
      <c r="AK92" s="229">
        <f t="shared" si="168"/>
        <v>22022120</v>
      </c>
      <c r="AL92" s="229">
        <f t="shared" si="168"/>
        <v>0</v>
      </c>
      <c r="AM92" s="229">
        <f t="shared" si="168"/>
        <v>0</v>
      </c>
      <c r="AN92" s="229">
        <f t="shared" si="168"/>
        <v>0</v>
      </c>
      <c r="AO92" s="229">
        <f t="shared" si="168"/>
        <v>0</v>
      </c>
      <c r="AP92" s="229">
        <f t="shared" ref="AP92:AU92" si="169">AP93+AP94</f>
        <v>0</v>
      </c>
      <c r="AQ92" s="229">
        <f t="shared" si="169"/>
        <v>0</v>
      </c>
      <c r="AR92" s="229">
        <f t="shared" si="169"/>
        <v>0</v>
      </c>
      <c r="AS92" s="229">
        <f t="shared" si="169"/>
        <v>0</v>
      </c>
      <c r="AT92" s="229">
        <f t="shared" si="169"/>
        <v>0</v>
      </c>
      <c r="AU92" s="229">
        <f t="shared" si="169"/>
        <v>0</v>
      </c>
      <c r="AV92" s="229">
        <f>AV93+AV94</f>
        <v>0</v>
      </c>
      <c r="AW92" s="229">
        <f>AW93+AW94</f>
        <v>0</v>
      </c>
      <c r="AX92" s="229">
        <f t="shared" ref="AX92:CN92" si="170">AX93+AX94</f>
        <v>1681259176</v>
      </c>
      <c r="AY92" s="229">
        <f t="shared" si="170"/>
        <v>328316290</v>
      </c>
      <c r="AZ92" s="229">
        <f t="shared" si="170"/>
        <v>0</v>
      </c>
      <c r="BA92" s="229">
        <f t="shared" si="170"/>
        <v>0</v>
      </c>
      <c r="BB92" s="229">
        <f t="shared" si="170"/>
        <v>0</v>
      </c>
      <c r="BC92" s="229">
        <f t="shared" si="170"/>
        <v>0</v>
      </c>
      <c r="BD92" s="229">
        <f t="shared" si="170"/>
        <v>0</v>
      </c>
      <c r="BE92" s="270">
        <f t="shared" si="170"/>
        <v>28899000</v>
      </c>
      <c r="BF92" s="270">
        <f t="shared" si="170"/>
        <v>28899000</v>
      </c>
      <c r="BG92" s="270">
        <f t="shared" si="170"/>
        <v>0</v>
      </c>
      <c r="BH92" s="229">
        <f t="shared" si="170"/>
        <v>0</v>
      </c>
      <c r="BI92" s="229">
        <f t="shared" si="170"/>
        <v>0</v>
      </c>
      <c r="BJ92" s="229">
        <f t="shared" si="170"/>
        <v>12663000</v>
      </c>
      <c r="BK92" s="229">
        <f t="shared" si="170"/>
        <v>0</v>
      </c>
      <c r="BL92" s="229">
        <f>BL93+BL94</f>
        <v>0</v>
      </c>
      <c r="BM92" s="229">
        <f>BM93+BM94</f>
        <v>296000</v>
      </c>
      <c r="BN92" s="229">
        <f t="shared" si="170"/>
        <v>0</v>
      </c>
      <c r="BO92" s="229">
        <f t="shared" si="170"/>
        <v>0</v>
      </c>
      <c r="BP92" s="229">
        <f t="shared" si="170"/>
        <v>0</v>
      </c>
      <c r="BQ92" s="229">
        <f t="shared" si="170"/>
        <v>0</v>
      </c>
      <c r="BR92" s="229">
        <f t="shared" si="170"/>
        <v>0</v>
      </c>
      <c r="BS92" s="229">
        <f t="shared" si="170"/>
        <v>0</v>
      </c>
      <c r="BT92" s="229">
        <f t="shared" si="170"/>
        <v>0</v>
      </c>
      <c r="BU92" s="229">
        <f t="shared" si="170"/>
        <v>0</v>
      </c>
      <c r="BV92" s="229">
        <f t="shared" si="170"/>
        <v>0</v>
      </c>
      <c r="BW92" s="229">
        <f t="shared" si="170"/>
        <v>0</v>
      </c>
      <c r="BX92" s="229">
        <f t="shared" si="170"/>
        <v>0</v>
      </c>
      <c r="BY92" s="229">
        <f t="shared" si="170"/>
        <v>0</v>
      </c>
      <c r="BZ92" s="229">
        <f t="shared" si="170"/>
        <v>0</v>
      </c>
      <c r="CA92" s="229">
        <f t="shared" si="170"/>
        <v>0</v>
      </c>
      <c r="CB92" s="229">
        <f t="shared" si="170"/>
        <v>0</v>
      </c>
      <c r="CC92" s="229">
        <f t="shared" si="170"/>
        <v>0</v>
      </c>
      <c r="CD92" s="229">
        <f t="shared" si="170"/>
        <v>0</v>
      </c>
      <c r="CE92" s="229">
        <f t="shared" si="170"/>
        <v>15940000</v>
      </c>
      <c r="CF92" s="229">
        <f t="shared" si="170"/>
        <v>0</v>
      </c>
      <c r="CG92" s="229">
        <f t="shared" si="170"/>
        <v>0</v>
      </c>
      <c r="CH92" s="229">
        <f t="shared" si="170"/>
        <v>0</v>
      </c>
      <c r="CI92" s="270">
        <f t="shared" si="170"/>
        <v>6666500</v>
      </c>
      <c r="CJ92" s="270">
        <f t="shared" si="170"/>
        <v>0</v>
      </c>
      <c r="CK92" s="270">
        <f t="shared" si="170"/>
        <v>6666500</v>
      </c>
      <c r="CL92" s="229">
        <f t="shared" si="170"/>
        <v>0</v>
      </c>
      <c r="CM92" s="229">
        <f t="shared" si="170"/>
        <v>6666500</v>
      </c>
      <c r="CN92" s="229">
        <f t="shared" si="170"/>
        <v>0</v>
      </c>
      <c r="CO92" s="271" t="s">
        <v>199</v>
      </c>
      <c r="CP92" s="303">
        <f t="shared" ref="CP92:EB92" si="171">CP93+CP94</f>
        <v>2800486306</v>
      </c>
      <c r="CQ92" s="303">
        <f t="shared" si="171"/>
        <v>2764920806</v>
      </c>
      <c r="CR92" s="303">
        <f t="shared" si="171"/>
        <v>611999000</v>
      </c>
      <c r="CS92" s="272">
        <f t="shared" si="171"/>
        <v>611999000</v>
      </c>
      <c r="CT92" s="272">
        <f t="shared" si="171"/>
        <v>0</v>
      </c>
      <c r="CU92" s="272">
        <f t="shared" si="171"/>
        <v>0</v>
      </c>
      <c r="CV92" s="272">
        <f t="shared" si="171"/>
        <v>0</v>
      </c>
      <c r="CW92" s="303">
        <f t="shared" si="171"/>
        <v>2152921806</v>
      </c>
      <c r="CX92" s="272">
        <f t="shared" si="171"/>
        <v>0</v>
      </c>
      <c r="CY92" s="272">
        <f t="shared" si="171"/>
        <v>0</v>
      </c>
      <c r="CZ92" s="272">
        <f t="shared" si="171"/>
        <v>0</v>
      </c>
      <c r="DA92" s="272">
        <f t="shared" si="171"/>
        <v>0</v>
      </c>
      <c r="DB92" s="272">
        <f t="shared" si="171"/>
        <v>0</v>
      </c>
      <c r="DC92" s="272">
        <f t="shared" si="171"/>
        <v>0</v>
      </c>
      <c r="DD92" s="272">
        <f t="shared" si="171"/>
        <v>0</v>
      </c>
      <c r="DE92" s="272">
        <f t="shared" si="171"/>
        <v>0</v>
      </c>
      <c r="DF92" s="272">
        <f t="shared" si="171"/>
        <v>0</v>
      </c>
      <c r="DG92" s="272">
        <f t="shared" si="171"/>
        <v>0</v>
      </c>
      <c r="DH92" s="272">
        <f t="shared" si="171"/>
        <v>0</v>
      </c>
      <c r="DI92" s="272">
        <f t="shared" si="171"/>
        <v>0</v>
      </c>
      <c r="DJ92" s="272">
        <f t="shared" si="171"/>
        <v>0</v>
      </c>
      <c r="DK92" s="272">
        <f t="shared" si="171"/>
        <v>0</v>
      </c>
      <c r="DL92" s="272">
        <f t="shared" si="171"/>
        <v>0</v>
      </c>
      <c r="DM92" s="272">
        <f t="shared" si="171"/>
        <v>0</v>
      </c>
      <c r="DN92" s="272">
        <f t="shared" si="171"/>
        <v>0</v>
      </c>
      <c r="DO92" s="272">
        <f t="shared" si="171"/>
        <v>115400000</v>
      </c>
      <c r="DP92" s="272">
        <f t="shared" si="171"/>
        <v>0</v>
      </c>
      <c r="DQ92" s="272">
        <f t="shared" si="171"/>
        <v>0</v>
      </c>
      <c r="DR92" s="272">
        <f t="shared" si="171"/>
        <v>0</v>
      </c>
      <c r="DS92" s="272">
        <f t="shared" si="171"/>
        <v>0</v>
      </c>
      <c r="DT92" s="272">
        <f t="shared" si="171"/>
        <v>0</v>
      </c>
      <c r="DU92" s="272">
        <f t="shared" si="171"/>
        <v>0</v>
      </c>
      <c r="DV92" s="272">
        <f t="shared" si="171"/>
        <v>0</v>
      </c>
      <c r="DW92" s="272">
        <f t="shared" si="171"/>
        <v>5924220</v>
      </c>
      <c r="DX92" s="272">
        <f t="shared" si="171"/>
        <v>22022120</v>
      </c>
      <c r="DY92" s="272">
        <f t="shared" si="171"/>
        <v>0</v>
      </c>
      <c r="DZ92" s="272">
        <f t="shared" si="171"/>
        <v>0</v>
      </c>
      <c r="EA92" s="272">
        <f t="shared" si="171"/>
        <v>0</v>
      </c>
      <c r="EB92" s="272">
        <f t="shared" si="171"/>
        <v>0</v>
      </c>
      <c r="EC92" s="272">
        <f t="shared" ref="EC92:EH92" si="172">EC93+EC94</f>
        <v>0</v>
      </c>
      <c r="ED92" s="272">
        <f t="shared" si="172"/>
        <v>0</v>
      </c>
      <c r="EE92" s="272">
        <f t="shared" si="172"/>
        <v>0</v>
      </c>
      <c r="EF92" s="272">
        <f t="shared" si="172"/>
        <v>0</v>
      </c>
      <c r="EG92" s="272">
        <f t="shared" si="172"/>
        <v>0</v>
      </c>
      <c r="EH92" s="272">
        <f t="shared" si="172"/>
        <v>0</v>
      </c>
      <c r="EI92" s="272">
        <f>EI93+EI94</f>
        <v>0</v>
      </c>
      <c r="EJ92" s="272">
        <f>EJ93+EJ94</f>
        <v>0</v>
      </c>
      <c r="EK92" s="272">
        <f t="shared" ref="EK92:GA92" si="173">EK93+EK94</f>
        <v>1681259176</v>
      </c>
      <c r="EL92" s="272">
        <f t="shared" si="173"/>
        <v>328316290</v>
      </c>
      <c r="EM92" s="272">
        <f t="shared" si="173"/>
        <v>0</v>
      </c>
      <c r="EN92" s="272">
        <f t="shared" si="173"/>
        <v>0</v>
      </c>
      <c r="EO92" s="272">
        <f t="shared" si="173"/>
        <v>0</v>
      </c>
      <c r="EP92" s="272">
        <f t="shared" si="173"/>
        <v>0</v>
      </c>
      <c r="EQ92" s="272">
        <f t="shared" si="173"/>
        <v>0</v>
      </c>
      <c r="ER92" s="303">
        <f t="shared" si="173"/>
        <v>28899000</v>
      </c>
      <c r="ES92" s="303">
        <f t="shared" si="173"/>
        <v>28899000</v>
      </c>
      <c r="ET92" s="303">
        <f t="shared" si="173"/>
        <v>0</v>
      </c>
      <c r="EU92" s="272">
        <f t="shared" si="173"/>
        <v>0</v>
      </c>
      <c r="EV92" s="272">
        <f t="shared" si="173"/>
        <v>0</v>
      </c>
      <c r="EW92" s="272">
        <f t="shared" si="173"/>
        <v>12663000</v>
      </c>
      <c r="EX92" s="272">
        <f t="shared" si="173"/>
        <v>0</v>
      </c>
      <c r="EY92" s="272">
        <f t="shared" si="173"/>
        <v>0</v>
      </c>
      <c r="EZ92" s="272">
        <f t="shared" si="173"/>
        <v>296000</v>
      </c>
      <c r="FA92" s="272">
        <f t="shared" si="173"/>
        <v>0</v>
      </c>
      <c r="FB92" s="272">
        <f t="shared" si="173"/>
        <v>0</v>
      </c>
      <c r="FC92" s="272">
        <f t="shared" si="173"/>
        <v>0</v>
      </c>
      <c r="FD92" s="272">
        <f t="shared" si="173"/>
        <v>0</v>
      </c>
      <c r="FE92" s="272">
        <f t="shared" si="173"/>
        <v>0</v>
      </c>
      <c r="FF92" s="272">
        <f t="shared" si="173"/>
        <v>0</v>
      </c>
      <c r="FG92" s="272">
        <f t="shared" si="173"/>
        <v>0</v>
      </c>
      <c r="FH92" s="272">
        <f t="shared" si="173"/>
        <v>0</v>
      </c>
      <c r="FI92" s="272">
        <f t="shared" si="173"/>
        <v>0</v>
      </c>
      <c r="FJ92" s="272">
        <f t="shared" si="173"/>
        <v>0</v>
      </c>
      <c r="FK92" s="272">
        <f t="shared" si="173"/>
        <v>0</v>
      </c>
      <c r="FL92" s="272">
        <f t="shared" si="173"/>
        <v>0</v>
      </c>
      <c r="FM92" s="272">
        <f t="shared" si="173"/>
        <v>0</v>
      </c>
      <c r="FN92" s="272">
        <f t="shared" si="173"/>
        <v>0</v>
      </c>
      <c r="FO92" s="272">
        <f t="shared" si="173"/>
        <v>0</v>
      </c>
      <c r="FP92" s="272">
        <f t="shared" si="173"/>
        <v>0</v>
      </c>
      <c r="FQ92" s="272">
        <f t="shared" si="173"/>
        <v>0</v>
      </c>
      <c r="FR92" s="272">
        <f t="shared" si="173"/>
        <v>15940000</v>
      </c>
      <c r="FS92" s="272">
        <f t="shared" si="173"/>
        <v>0</v>
      </c>
      <c r="FT92" s="272">
        <f t="shared" si="173"/>
        <v>0</v>
      </c>
      <c r="FU92" s="272">
        <f t="shared" si="173"/>
        <v>0</v>
      </c>
      <c r="FV92" s="303">
        <f t="shared" si="173"/>
        <v>6666500</v>
      </c>
      <c r="FW92" s="303">
        <f t="shared" si="173"/>
        <v>0</v>
      </c>
      <c r="FX92" s="303">
        <f t="shared" si="173"/>
        <v>6666500</v>
      </c>
      <c r="FY92" s="272">
        <f t="shared" si="173"/>
        <v>0</v>
      </c>
      <c r="FZ92" s="272">
        <f t="shared" si="173"/>
        <v>6666500</v>
      </c>
      <c r="GA92" s="272">
        <f t="shared" si="173"/>
        <v>0</v>
      </c>
      <c r="GB92" s="303">
        <f>GB93+GB94</f>
        <v>0</v>
      </c>
      <c r="GC92" s="328">
        <f t="shared" si="159"/>
        <v>1</v>
      </c>
      <c r="GD92" s="328"/>
      <c r="GE92" s="328">
        <f>CW92/J92</f>
        <v>1</v>
      </c>
      <c r="GF92" s="328">
        <f>ER92/BE92</f>
        <v>1</v>
      </c>
      <c r="GG92" s="328"/>
    </row>
    <row r="93" spans="1:189" s="264" customFormat="1" ht="17.25" customHeight="1">
      <c r="A93" s="227"/>
      <c r="B93" s="228" t="s">
        <v>183</v>
      </c>
      <c r="C93" s="270">
        <f>D93+BE93+CI93</f>
        <v>640898000</v>
      </c>
      <c r="D93" s="270">
        <f>E93+J93</f>
        <v>611999000</v>
      </c>
      <c r="E93" s="270">
        <f>SUM(F93:I93)</f>
        <v>611999000</v>
      </c>
      <c r="F93" s="229">
        <v>611999000</v>
      </c>
      <c r="G93" s="229"/>
      <c r="H93" s="229"/>
      <c r="I93" s="229"/>
      <c r="J93" s="270">
        <f>SUM(K93:BD93)</f>
        <v>0</v>
      </c>
      <c r="K93" s="229"/>
      <c r="L93" s="229"/>
      <c r="M93" s="229"/>
      <c r="N93" s="229"/>
      <c r="O93" s="229"/>
      <c r="P93" s="229"/>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29"/>
      <c r="BA93" s="229"/>
      <c r="BB93" s="229"/>
      <c r="BC93" s="229"/>
      <c r="BD93" s="229"/>
      <c r="BE93" s="270">
        <f>SUM(BF93:BG93)</f>
        <v>28899000</v>
      </c>
      <c r="BF93" s="270">
        <f>SUM(BH93:BI93)+BJ93+SUM(BL93:BN93)+BW93+CE93</f>
        <v>28899000</v>
      </c>
      <c r="BG93" s="270">
        <f>BK93+SUM(BO93:BV93)+SUM(BX93:CD93)+SUM(CF93:CH93)</f>
        <v>0</v>
      </c>
      <c r="BH93" s="229"/>
      <c r="BI93" s="229"/>
      <c r="BJ93" s="229">
        <v>12663000</v>
      </c>
      <c r="BK93" s="229"/>
      <c r="BL93" s="229"/>
      <c r="BM93" s="229">
        <v>296000</v>
      </c>
      <c r="BN93" s="229"/>
      <c r="BO93" s="229"/>
      <c r="BP93" s="229"/>
      <c r="BQ93" s="229"/>
      <c r="BR93" s="229"/>
      <c r="BS93" s="229"/>
      <c r="BT93" s="229"/>
      <c r="BU93" s="229"/>
      <c r="BV93" s="229"/>
      <c r="BW93" s="229"/>
      <c r="BX93" s="229"/>
      <c r="BY93" s="229"/>
      <c r="BZ93" s="229"/>
      <c r="CA93" s="229"/>
      <c r="CB93" s="229"/>
      <c r="CC93" s="229"/>
      <c r="CD93" s="229"/>
      <c r="CE93" s="229">
        <v>15940000</v>
      </c>
      <c r="CF93" s="229"/>
      <c r="CG93" s="229"/>
      <c r="CH93" s="229"/>
      <c r="CI93" s="270">
        <f>SUM(CJ93:CK93)</f>
        <v>0</v>
      </c>
      <c r="CJ93" s="270">
        <f>SUM(CL93:CL93)</f>
        <v>0</v>
      </c>
      <c r="CK93" s="270">
        <f>SUM(CM93:CN93)</f>
        <v>0</v>
      </c>
      <c r="CL93" s="229"/>
      <c r="CM93" s="229"/>
      <c r="CN93" s="229"/>
      <c r="CO93" s="271" t="s">
        <v>183</v>
      </c>
      <c r="CP93" s="303">
        <f>CQ93+ER93+FV93+GB93</f>
        <v>640898000</v>
      </c>
      <c r="CQ93" s="303">
        <f>CR93+CW93</f>
        <v>611999000</v>
      </c>
      <c r="CR93" s="303">
        <f>SUM(CS93:CV93)</f>
        <v>611999000</v>
      </c>
      <c r="CS93" s="272">
        <f>611999000</f>
        <v>611999000</v>
      </c>
      <c r="CT93" s="272"/>
      <c r="CU93" s="272"/>
      <c r="CV93" s="272"/>
      <c r="CW93" s="303">
        <f>SUM(CX93:EQ93)</f>
        <v>0</v>
      </c>
      <c r="CX93" s="272"/>
      <c r="CY93" s="272"/>
      <c r="CZ93" s="272"/>
      <c r="DA93" s="272"/>
      <c r="DB93" s="272"/>
      <c r="DC93" s="272"/>
      <c r="DD93" s="272"/>
      <c r="DE93" s="272"/>
      <c r="DF93" s="272"/>
      <c r="DG93" s="272"/>
      <c r="DH93" s="272"/>
      <c r="DI93" s="272"/>
      <c r="DJ93" s="272"/>
      <c r="DK93" s="272"/>
      <c r="DL93" s="272"/>
      <c r="DM93" s="272"/>
      <c r="DN93" s="272"/>
      <c r="DO93" s="272"/>
      <c r="DP93" s="272"/>
      <c r="DQ93" s="272"/>
      <c r="DR93" s="272"/>
      <c r="DS93" s="272"/>
      <c r="DT93" s="272"/>
      <c r="DU93" s="272"/>
      <c r="DV93" s="272"/>
      <c r="DW93" s="272"/>
      <c r="DX93" s="272"/>
      <c r="DY93" s="272"/>
      <c r="DZ93" s="272"/>
      <c r="EA93" s="272"/>
      <c r="EB93" s="272"/>
      <c r="EC93" s="272"/>
      <c r="ED93" s="272"/>
      <c r="EE93" s="272"/>
      <c r="EF93" s="272"/>
      <c r="EG93" s="272"/>
      <c r="EH93" s="272"/>
      <c r="EI93" s="272"/>
      <c r="EJ93" s="272"/>
      <c r="EK93" s="272"/>
      <c r="EL93" s="272"/>
      <c r="EM93" s="272"/>
      <c r="EN93" s="272"/>
      <c r="EO93" s="272"/>
      <c r="EP93" s="272"/>
      <c r="EQ93" s="272"/>
      <c r="ER93" s="303">
        <f>SUM(ES93:ET93)</f>
        <v>28899000</v>
      </c>
      <c r="ES93" s="303">
        <f>SUM(EU93:EV93)+EW93+SUM(EY93:FA93)+FJ93+FR93</f>
        <v>28899000</v>
      </c>
      <c r="ET93" s="303">
        <f>EX93+SUM(FB93:FI93)+SUM(FK93:FQ93)+SUM(FS93:FU93)</f>
        <v>0</v>
      </c>
      <c r="EU93" s="272"/>
      <c r="EV93" s="272"/>
      <c r="EW93" s="272">
        <v>12663000</v>
      </c>
      <c r="EX93" s="272"/>
      <c r="EY93" s="272"/>
      <c r="EZ93" s="272">
        <v>296000</v>
      </c>
      <c r="FA93" s="272"/>
      <c r="FB93" s="272"/>
      <c r="FC93" s="272"/>
      <c r="FD93" s="272"/>
      <c r="FE93" s="272"/>
      <c r="FF93" s="272"/>
      <c r="FG93" s="272"/>
      <c r="FH93" s="272"/>
      <c r="FI93" s="272"/>
      <c r="FJ93" s="272"/>
      <c r="FK93" s="272"/>
      <c r="FL93" s="272"/>
      <c r="FM93" s="272"/>
      <c r="FN93" s="272"/>
      <c r="FO93" s="272"/>
      <c r="FP93" s="272"/>
      <c r="FQ93" s="272"/>
      <c r="FR93" s="272">
        <v>15940000</v>
      </c>
      <c r="FS93" s="272"/>
      <c r="FT93" s="272"/>
      <c r="FU93" s="272"/>
      <c r="FV93" s="303">
        <f>SUM(FW93:FX93)</f>
        <v>0</v>
      </c>
      <c r="FW93" s="303">
        <f>SUM(FY93:FY93)</f>
        <v>0</v>
      </c>
      <c r="FX93" s="303">
        <f>SUM(FZ93:GA93)</f>
        <v>0</v>
      </c>
      <c r="FY93" s="272"/>
      <c r="FZ93" s="272"/>
      <c r="GA93" s="272"/>
      <c r="GB93" s="303"/>
      <c r="GC93" s="328">
        <f t="shared" si="159"/>
        <v>1</v>
      </c>
      <c r="GD93" s="328"/>
      <c r="GE93" s="328"/>
      <c r="GF93" s="328">
        <f>ER93/BE93</f>
        <v>1</v>
      </c>
      <c r="GG93" s="328"/>
    </row>
    <row r="94" spans="1:189" s="264" customFormat="1" ht="17.25" customHeight="1">
      <c r="A94" s="227"/>
      <c r="B94" s="228" t="s">
        <v>184</v>
      </c>
      <c r="C94" s="270">
        <f>D94+BE94+CI94</f>
        <v>2159588306</v>
      </c>
      <c r="D94" s="270">
        <f>E94+J94</f>
        <v>2152921806</v>
      </c>
      <c r="E94" s="270">
        <f>SUM(F94:I94)</f>
        <v>0</v>
      </c>
      <c r="F94" s="229"/>
      <c r="G94" s="229"/>
      <c r="H94" s="229"/>
      <c r="I94" s="229"/>
      <c r="J94" s="270">
        <f>SUM(K94:BD94)</f>
        <v>2152921806</v>
      </c>
      <c r="K94" s="229"/>
      <c r="L94" s="229"/>
      <c r="M94" s="229"/>
      <c r="N94" s="229"/>
      <c r="O94" s="229"/>
      <c r="P94" s="229"/>
      <c r="Q94" s="229"/>
      <c r="R94" s="229"/>
      <c r="S94" s="229"/>
      <c r="T94" s="229"/>
      <c r="U94" s="229"/>
      <c r="V94" s="229"/>
      <c r="W94" s="229"/>
      <c r="X94" s="229"/>
      <c r="Y94" s="229"/>
      <c r="Z94" s="229"/>
      <c r="AA94" s="229"/>
      <c r="AB94" s="229">
        <v>115400000</v>
      </c>
      <c r="AC94" s="229"/>
      <c r="AD94" s="229"/>
      <c r="AE94" s="229"/>
      <c r="AF94" s="229"/>
      <c r="AG94" s="229"/>
      <c r="AH94" s="229"/>
      <c r="AI94" s="229"/>
      <c r="AJ94" s="229">
        <v>5924220</v>
      </c>
      <c r="AK94" s="229">
        <v>22022120</v>
      </c>
      <c r="AL94" s="229"/>
      <c r="AM94" s="229"/>
      <c r="AN94" s="229"/>
      <c r="AO94" s="229"/>
      <c r="AP94" s="229"/>
      <c r="AQ94" s="229"/>
      <c r="AR94" s="229"/>
      <c r="AS94" s="229"/>
      <c r="AT94" s="229"/>
      <c r="AU94" s="229"/>
      <c r="AV94" s="229"/>
      <c r="AW94" s="229"/>
      <c r="AX94" s="229">
        <v>1681259176</v>
      </c>
      <c r="AY94" s="229">
        <v>328316290</v>
      </c>
      <c r="AZ94" s="229"/>
      <c r="BA94" s="229"/>
      <c r="BB94" s="229"/>
      <c r="BC94" s="229"/>
      <c r="BD94" s="229"/>
      <c r="BE94" s="270">
        <f>SUM(BF94:BG94)</f>
        <v>0</v>
      </c>
      <c r="BF94" s="270">
        <f>SUM(BH94:BI94)+BJ94+SUM(BL94:BN94)+BW94+CE94</f>
        <v>0</v>
      </c>
      <c r="BG94" s="270">
        <f>BK94+SUM(BO94:BV94)+SUM(BX94:CD94)+SUM(CF94:CH94)</f>
        <v>0</v>
      </c>
      <c r="BH94" s="229"/>
      <c r="BI94" s="229"/>
      <c r="BJ94" s="229"/>
      <c r="BK94" s="229"/>
      <c r="BL94" s="229"/>
      <c r="BM94" s="229"/>
      <c r="BN94" s="229"/>
      <c r="BO94" s="229"/>
      <c r="BP94" s="229"/>
      <c r="BQ94" s="229"/>
      <c r="BR94" s="229"/>
      <c r="BS94" s="229"/>
      <c r="BT94" s="229"/>
      <c r="BU94" s="229"/>
      <c r="BV94" s="229"/>
      <c r="BW94" s="229"/>
      <c r="BX94" s="229"/>
      <c r="BY94" s="229"/>
      <c r="BZ94" s="229"/>
      <c r="CA94" s="229"/>
      <c r="CB94" s="229"/>
      <c r="CC94" s="229"/>
      <c r="CD94" s="229"/>
      <c r="CE94" s="229"/>
      <c r="CF94" s="229"/>
      <c r="CG94" s="229"/>
      <c r="CH94" s="229"/>
      <c r="CI94" s="270">
        <f>SUM(CJ94:CK94)</f>
        <v>6666500</v>
      </c>
      <c r="CJ94" s="270">
        <f>SUM(CL94:CL94)</f>
        <v>0</v>
      </c>
      <c r="CK94" s="270">
        <f>SUM(CM94:CN94)</f>
        <v>6666500</v>
      </c>
      <c r="CL94" s="229"/>
      <c r="CM94" s="229">
        <f>6666500</f>
        <v>6666500</v>
      </c>
      <c r="CN94" s="229"/>
      <c r="CO94" s="271" t="s">
        <v>184</v>
      </c>
      <c r="CP94" s="303">
        <f>CQ94+ER94+FV94+GB94</f>
        <v>2159588306</v>
      </c>
      <c r="CQ94" s="303">
        <f>CR94+CW94</f>
        <v>2152921806</v>
      </c>
      <c r="CR94" s="303">
        <f>SUM(CS94:CV94)</f>
        <v>0</v>
      </c>
      <c r="CS94" s="272"/>
      <c r="CT94" s="272"/>
      <c r="CU94" s="272"/>
      <c r="CV94" s="272"/>
      <c r="CW94" s="303">
        <f>SUM(CX94:EQ94)</f>
        <v>2152921806</v>
      </c>
      <c r="CX94" s="272"/>
      <c r="CY94" s="272"/>
      <c r="CZ94" s="272"/>
      <c r="DA94" s="272"/>
      <c r="DB94" s="272"/>
      <c r="DC94" s="272"/>
      <c r="DD94" s="272"/>
      <c r="DE94" s="272"/>
      <c r="DF94" s="272"/>
      <c r="DG94" s="272"/>
      <c r="DH94" s="272"/>
      <c r="DI94" s="272"/>
      <c r="DJ94" s="272"/>
      <c r="DK94" s="272"/>
      <c r="DL94" s="272"/>
      <c r="DM94" s="272"/>
      <c r="DN94" s="272"/>
      <c r="DO94" s="272">
        <v>115400000</v>
      </c>
      <c r="DP94" s="272"/>
      <c r="DQ94" s="272"/>
      <c r="DR94" s="272"/>
      <c r="DS94" s="272"/>
      <c r="DT94" s="272"/>
      <c r="DU94" s="272"/>
      <c r="DV94" s="272"/>
      <c r="DW94" s="272">
        <v>5924220</v>
      </c>
      <c r="DX94" s="272">
        <v>22022120</v>
      </c>
      <c r="DY94" s="272"/>
      <c r="DZ94" s="272"/>
      <c r="EA94" s="272"/>
      <c r="EB94" s="272"/>
      <c r="EC94" s="272"/>
      <c r="ED94" s="272"/>
      <c r="EE94" s="272"/>
      <c r="EF94" s="272"/>
      <c r="EG94" s="272"/>
      <c r="EH94" s="272"/>
      <c r="EI94" s="272"/>
      <c r="EJ94" s="272"/>
      <c r="EK94" s="272">
        <v>1681259176</v>
      </c>
      <c r="EL94" s="272">
        <v>328316290</v>
      </c>
      <c r="EM94" s="272"/>
      <c r="EN94" s="272"/>
      <c r="EO94" s="272"/>
      <c r="EP94" s="272"/>
      <c r="EQ94" s="272"/>
      <c r="ER94" s="303">
        <f>SUM(ES94:ET94)</f>
        <v>0</v>
      </c>
      <c r="ES94" s="303">
        <f>SUM(EU94:EV94)+EW94+SUM(EY94:FA94)+FJ94+FR94</f>
        <v>0</v>
      </c>
      <c r="ET94" s="303">
        <f>EX94+SUM(FB94:FI94)+SUM(FK94:FQ94)+SUM(FS94:FU94)</f>
        <v>0</v>
      </c>
      <c r="EU94" s="272"/>
      <c r="EV94" s="272"/>
      <c r="EW94" s="272"/>
      <c r="EX94" s="272"/>
      <c r="EY94" s="272"/>
      <c r="EZ94" s="272"/>
      <c r="FA94" s="272"/>
      <c r="FB94" s="272"/>
      <c r="FC94" s="272"/>
      <c r="FD94" s="272"/>
      <c r="FE94" s="272"/>
      <c r="FF94" s="272"/>
      <c r="FG94" s="272"/>
      <c r="FH94" s="272"/>
      <c r="FI94" s="272"/>
      <c r="FJ94" s="272"/>
      <c r="FK94" s="272"/>
      <c r="FL94" s="272"/>
      <c r="FM94" s="272"/>
      <c r="FN94" s="272"/>
      <c r="FO94" s="272"/>
      <c r="FP94" s="272"/>
      <c r="FQ94" s="272"/>
      <c r="FR94" s="272"/>
      <c r="FS94" s="272"/>
      <c r="FT94" s="272"/>
      <c r="FU94" s="272"/>
      <c r="FV94" s="303">
        <f>SUM(FW94:FX94)</f>
        <v>6666500</v>
      </c>
      <c r="FW94" s="303">
        <f>SUM(FY94:FY94)</f>
        <v>0</v>
      </c>
      <c r="FX94" s="303">
        <f>SUM(FZ94:GA94)</f>
        <v>6666500</v>
      </c>
      <c r="FY94" s="272"/>
      <c r="FZ94" s="272">
        <f>6666500</f>
        <v>6666500</v>
      </c>
      <c r="GA94" s="272"/>
      <c r="GB94" s="303"/>
      <c r="GC94" s="328">
        <f t="shared" si="159"/>
        <v>1</v>
      </c>
      <c r="GD94" s="328"/>
      <c r="GE94" s="328">
        <f>CW94/J94</f>
        <v>1</v>
      </c>
      <c r="GF94" s="328"/>
      <c r="GG94" s="328">
        <f>FV94/CI94</f>
        <v>1</v>
      </c>
    </row>
    <row r="95" spans="1:189" s="264" customFormat="1" ht="17.25" customHeight="1">
      <c r="A95" s="227">
        <v>28</v>
      </c>
      <c r="B95" s="228" t="s">
        <v>200</v>
      </c>
      <c r="C95" s="270">
        <f t="shared" ref="C95:AI95" si="174">C96+C97</f>
        <v>26386402441</v>
      </c>
      <c r="D95" s="270">
        <f t="shared" si="174"/>
        <v>26366402441</v>
      </c>
      <c r="E95" s="270">
        <f t="shared" si="174"/>
        <v>3330491586</v>
      </c>
      <c r="F95" s="229">
        <f t="shared" si="174"/>
        <v>0</v>
      </c>
      <c r="G95" s="229">
        <f t="shared" si="174"/>
        <v>2148895765</v>
      </c>
      <c r="H95" s="229">
        <f t="shared" si="174"/>
        <v>1181595821</v>
      </c>
      <c r="I95" s="229">
        <f t="shared" si="174"/>
        <v>0</v>
      </c>
      <c r="J95" s="270">
        <f t="shared" si="174"/>
        <v>23035910855</v>
      </c>
      <c r="K95" s="229">
        <f t="shared" si="174"/>
        <v>0</v>
      </c>
      <c r="L95" s="229">
        <f t="shared" si="174"/>
        <v>0</v>
      </c>
      <c r="M95" s="229">
        <f t="shared" si="174"/>
        <v>0</v>
      </c>
      <c r="N95" s="229">
        <f t="shared" si="174"/>
        <v>288000000</v>
      </c>
      <c r="O95" s="229">
        <f t="shared" si="174"/>
        <v>0</v>
      </c>
      <c r="P95" s="229">
        <f t="shared" si="174"/>
        <v>0</v>
      </c>
      <c r="Q95" s="229">
        <f t="shared" si="174"/>
        <v>0</v>
      </c>
      <c r="R95" s="229">
        <f t="shared" si="174"/>
        <v>0</v>
      </c>
      <c r="S95" s="229">
        <f t="shared" si="174"/>
        <v>0</v>
      </c>
      <c r="T95" s="229">
        <f t="shared" si="174"/>
        <v>0</v>
      </c>
      <c r="U95" s="229">
        <f t="shared" si="174"/>
        <v>0</v>
      </c>
      <c r="V95" s="229">
        <f t="shared" si="174"/>
        <v>0</v>
      </c>
      <c r="W95" s="229">
        <f t="shared" si="174"/>
        <v>0</v>
      </c>
      <c r="X95" s="229">
        <f t="shared" si="174"/>
        <v>0</v>
      </c>
      <c r="Y95" s="229">
        <f t="shared" si="174"/>
        <v>0</v>
      </c>
      <c r="Z95" s="229">
        <f t="shared" si="174"/>
        <v>2188328982</v>
      </c>
      <c r="AA95" s="229">
        <f t="shared" si="174"/>
        <v>0</v>
      </c>
      <c r="AB95" s="229">
        <f t="shared" si="174"/>
        <v>284999400</v>
      </c>
      <c r="AC95" s="229">
        <f t="shared" si="174"/>
        <v>320000000</v>
      </c>
      <c r="AD95" s="229">
        <f t="shared" si="174"/>
        <v>0</v>
      </c>
      <c r="AE95" s="229">
        <f t="shared" si="174"/>
        <v>0</v>
      </c>
      <c r="AF95" s="229">
        <f t="shared" si="174"/>
        <v>0</v>
      </c>
      <c r="AG95" s="229">
        <f t="shared" si="174"/>
        <v>0</v>
      </c>
      <c r="AH95" s="229">
        <f t="shared" si="174"/>
        <v>0</v>
      </c>
      <c r="AI95" s="229">
        <f t="shared" si="174"/>
        <v>0</v>
      </c>
      <c r="AJ95" s="229">
        <f t="shared" ref="AJ95:AO95" si="175">AJ96+AJ97</f>
        <v>0</v>
      </c>
      <c r="AK95" s="229">
        <f t="shared" si="175"/>
        <v>1750000000</v>
      </c>
      <c r="AL95" s="229">
        <f t="shared" si="175"/>
        <v>0</v>
      </c>
      <c r="AM95" s="229">
        <f t="shared" si="175"/>
        <v>41222792</v>
      </c>
      <c r="AN95" s="229">
        <f t="shared" si="175"/>
        <v>0</v>
      </c>
      <c r="AO95" s="229">
        <f t="shared" si="175"/>
        <v>0</v>
      </c>
      <c r="AP95" s="229">
        <f t="shared" ref="AP95:AU95" si="176">AP96+AP97</f>
        <v>0</v>
      </c>
      <c r="AQ95" s="229">
        <f t="shared" si="176"/>
        <v>0</v>
      </c>
      <c r="AR95" s="229">
        <f t="shared" si="176"/>
        <v>2229647805</v>
      </c>
      <c r="AS95" s="229">
        <f t="shared" si="176"/>
        <v>0</v>
      </c>
      <c r="AT95" s="229">
        <f t="shared" si="176"/>
        <v>0</v>
      </c>
      <c r="AU95" s="229">
        <f t="shared" si="176"/>
        <v>0</v>
      </c>
      <c r="AV95" s="229">
        <f>AV96+AV97</f>
        <v>0</v>
      </c>
      <c r="AW95" s="229">
        <f>AW96+AW97</f>
        <v>5000000000</v>
      </c>
      <c r="AX95" s="229">
        <f t="shared" ref="AX95:CN95" si="177">AX96+AX97</f>
        <v>0</v>
      </c>
      <c r="AY95" s="229">
        <f t="shared" si="177"/>
        <v>0</v>
      </c>
      <c r="AZ95" s="229">
        <f t="shared" si="177"/>
        <v>0</v>
      </c>
      <c r="BA95" s="229">
        <f t="shared" si="177"/>
        <v>0</v>
      </c>
      <c r="BB95" s="229">
        <f t="shared" si="177"/>
        <v>0</v>
      </c>
      <c r="BC95" s="229">
        <f t="shared" si="177"/>
        <v>0</v>
      </c>
      <c r="BD95" s="229">
        <f t="shared" si="177"/>
        <v>10933711876</v>
      </c>
      <c r="BE95" s="270">
        <f t="shared" si="177"/>
        <v>20000000</v>
      </c>
      <c r="BF95" s="270">
        <f t="shared" si="177"/>
        <v>0</v>
      </c>
      <c r="BG95" s="270">
        <f t="shared" si="177"/>
        <v>20000000</v>
      </c>
      <c r="BH95" s="229">
        <f t="shared" si="177"/>
        <v>0</v>
      </c>
      <c r="BI95" s="229">
        <f t="shared" si="177"/>
        <v>0</v>
      </c>
      <c r="BJ95" s="229">
        <f t="shared" si="177"/>
        <v>0</v>
      </c>
      <c r="BK95" s="229">
        <f t="shared" si="177"/>
        <v>0</v>
      </c>
      <c r="BL95" s="229">
        <f>BL96+BL97</f>
        <v>0</v>
      </c>
      <c r="BM95" s="229">
        <f>BM96+BM97</f>
        <v>0</v>
      </c>
      <c r="BN95" s="229">
        <f t="shared" si="177"/>
        <v>0</v>
      </c>
      <c r="BO95" s="229">
        <f t="shared" si="177"/>
        <v>0</v>
      </c>
      <c r="BP95" s="229">
        <f t="shared" si="177"/>
        <v>0</v>
      </c>
      <c r="BQ95" s="229">
        <f t="shared" si="177"/>
        <v>0</v>
      </c>
      <c r="BR95" s="229">
        <f t="shared" si="177"/>
        <v>0</v>
      </c>
      <c r="BS95" s="229">
        <f t="shared" si="177"/>
        <v>0</v>
      </c>
      <c r="BT95" s="229">
        <f t="shared" si="177"/>
        <v>0</v>
      </c>
      <c r="BU95" s="229">
        <f t="shared" si="177"/>
        <v>0</v>
      </c>
      <c r="BV95" s="229">
        <f t="shared" si="177"/>
        <v>0</v>
      </c>
      <c r="BW95" s="229">
        <f t="shared" si="177"/>
        <v>0</v>
      </c>
      <c r="BX95" s="229">
        <f t="shared" si="177"/>
        <v>0</v>
      </c>
      <c r="BY95" s="229">
        <f t="shared" si="177"/>
        <v>0</v>
      </c>
      <c r="BZ95" s="229">
        <f t="shared" si="177"/>
        <v>0</v>
      </c>
      <c r="CA95" s="229">
        <f t="shared" si="177"/>
        <v>0</v>
      </c>
      <c r="CB95" s="229">
        <f t="shared" si="177"/>
        <v>20000000</v>
      </c>
      <c r="CC95" s="229">
        <f t="shared" si="177"/>
        <v>0</v>
      </c>
      <c r="CD95" s="229">
        <f t="shared" si="177"/>
        <v>0</v>
      </c>
      <c r="CE95" s="229">
        <f t="shared" si="177"/>
        <v>0</v>
      </c>
      <c r="CF95" s="229">
        <f t="shared" si="177"/>
        <v>0</v>
      </c>
      <c r="CG95" s="229">
        <f t="shared" si="177"/>
        <v>0</v>
      </c>
      <c r="CH95" s="229">
        <f t="shared" si="177"/>
        <v>0</v>
      </c>
      <c r="CI95" s="270">
        <f t="shared" si="177"/>
        <v>0</v>
      </c>
      <c r="CJ95" s="270">
        <f t="shared" si="177"/>
        <v>0</v>
      </c>
      <c r="CK95" s="270">
        <f t="shared" si="177"/>
        <v>0</v>
      </c>
      <c r="CL95" s="229">
        <f t="shared" si="177"/>
        <v>0</v>
      </c>
      <c r="CM95" s="229">
        <f t="shared" si="177"/>
        <v>0</v>
      </c>
      <c r="CN95" s="229">
        <f t="shared" si="177"/>
        <v>0</v>
      </c>
      <c r="CO95" s="271" t="s">
        <v>200</v>
      </c>
      <c r="CP95" s="303">
        <f t="shared" ref="CP95:ER95" si="178">CP96+CP97</f>
        <v>17926276547</v>
      </c>
      <c r="CQ95" s="303">
        <f t="shared" si="178"/>
        <v>0</v>
      </c>
      <c r="CR95" s="303">
        <f t="shared" si="178"/>
        <v>0</v>
      </c>
      <c r="CS95" s="272">
        <f t="shared" si="178"/>
        <v>0</v>
      </c>
      <c r="CT95" s="272">
        <f t="shared" si="178"/>
        <v>0</v>
      </c>
      <c r="CU95" s="272">
        <f t="shared" si="178"/>
        <v>0</v>
      </c>
      <c r="CV95" s="272">
        <f t="shared" si="178"/>
        <v>0</v>
      </c>
      <c r="CW95" s="303">
        <f t="shared" si="178"/>
        <v>0</v>
      </c>
      <c r="CX95" s="272">
        <f t="shared" si="178"/>
        <v>0</v>
      </c>
      <c r="CY95" s="272">
        <f t="shared" si="178"/>
        <v>0</v>
      </c>
      <c r="CZ95" s="272">
        <f t="shared" si="178"/>
        <v>0</v>
      </c>
      <c r="DA95" s="272">
        <f t="shared" si="178"/>
        <v>0</v>
      </c>
      <c r="DB95" s="272">
        <f t="shared" si="178"/>
        <v>0</v>
      </c>
      <c r="DC95" s="272">
        <f t="shared" si="178"/>
        <v>0</v>
      </c>
      <c r="DD95" s="272">
        <f t="shared" si="178"/>
        <v>0</v>
      </c>
      <c r="DE95" s="272">
        <f>DE96+DE97</f>
        <v>0</v>
      </c>
      <c r="DF95" s="272">
        <f>DF96+DF97</f>
        <v>0</v>
      </c>
      <c r="DG95" s="272">
        <f t="shared" si="178"/>
        <v>0</v>
      </c>
      <c r="DH95" s="272">
        <f t="shared" si="178"/>
        <v>0</v>
      </c>
      <c r="DI95" s="272">
        <f t="shared" si="178"/>
        <v>0</v>
      </c>
      <c r="DJ95" s="272">
        <f t="shared" si="178"/>
        <v>0</v>
      </c>
      <c r="DK95" s="272">
        <f t="shared" si="178"/>
        <v>0</v>
      </c>
      <c r="DL95" s="272">
        <f t="shared" si="178"/>
        <v>0</v>
      </c>
      <c r="DM95" s="272">
        <f>DM96+DM97</f>
        <v>0</v>
      </c>
      <c r="DN95" s="272">
        <f t="shared" si="178"/>
        <v>0</v>
      </c>
      <c r="DO95" s="272">
        <f t="shared" si="178"/>
        <v>0</v>
      </c>
      <c r="DP95" s="272">
        <f t="shared" si="178"/>
        <v>0</v>
      </c>
      <c r="DQ95" s="272">
        <f t="shared" si="178"/>
        <v>0</v>
      </c>
      <c r="DR95" s="272">
        <f t="shared" si="178"/>
        <v>0</v>
      </c>
      <c r="DS95" s="272">
        <f t="shared" si="178"/>
        <v>0</v>
      </c>
      <c r="DT95" s="272">
        <f t="shared" si="178"/>
        <v>0</v>
      </c>
      <c r="DU95" s="272">
        <f t="shared" si="178"/>
        <v>0</v>
      </c>
      <c r="DV95" s="272">
        <f t="shared" si="178"/>
        <v>0</v>
      </c>
      <c r="DW95" s="272">
        <f t="shared" si="178"/>
        <v>0</v>
      </c>
      <c r="DX95" s="272">
        <f t="shared" si="178"/>
        <v>0</v>
      </c>
      <c r="DY95" s="272">
        <f t="shared" si="178"/>
        <v>0</v>
      </c>
      <c r="DZ95" s="272">
        <f t="shared" si="178"/>
        <v>0</v>
      </c>
      <c r="EA95" s="272">
        <f t="shared" si="178"/>
        <v>0</v>
      </c>
      <c r="EB95" s="272">
        <f t="shared" si="178"/>
        <v>0</v>
      </c>
      <c r="EC95" s="272">
        <f t="shared" si="178"/>
        <v>0</v>
      </c>
      <c r="ED95" s="272">
        <f t="shared" si="178"/>
        <v>0</v>
      </c>
      <c r="EE95" s="272">
        <f t="shared" si="178"/>
        <v>0</v>
      </c>
      <c r="EF95" s="272">
        <f t="shared" si="178"/>
        <v>0</v>
      </c>
      <c r="EG95" s="272">
        <f t="shared" si="178"/>
        <v>0</v>
      </c>
      <c r="EH95" s="272">
        <f t="shared" si="178"/>
        <v>0</v>
      </c>
      <c r="EI95" s="272">
        <f>EI96+EI97</f>
        <v>0</v>
      </c>
      <c r="EJ95" s="272">
        <f>EJ96+EJ97</f>
        <v>0</v>
      </c>
      <c r="EK95" s="272">
        <f t="shared" si="178"/>
        <v>0</v>
      </c>
      <c r="EL95" s="272">
        <f t="shared" si="178"/>
        <v>0</v>
      </c>
      <c r="EM95" s="272">
        <f t="shared" si="178"/>
        <v>0</v>
      </c>
      <c r="EN95" s="272">
        <f t="shared" si="178"/>
        <v>0</v>
      </c>
      <c r="EO95" s="272">
        <f t="shared" si="178"/>
        <v>0</v>
      </c>
      <c r="EP95" s="272">
        <f t="shared" si="178"/>
        <v>0</v>
      </c>
      <c r="EQ95" s="272">
        <f t="shared" si="178"/>
        <v>0</v>
      </c>
      <c r="ER95" s="303">
        <f t="shared" si="178"/>
        <v>0</v>
      </c>
      <c r="ES95" s="303">
        <f t="shared" ref="ES95:GA95" si="179">ES96+ES97</f>
        <v>0</v>
      </c>
      <c r="ET95" s="303">
        <f t="shared" si="179"/>
        <v>0</v>
      </c>
      <c r="EU95" s="272">
        <f t="shared" si="179"/>
        <v>0</v>
      </c>
      <c r="EV95" s="272">
        <f t="shared" si="179"/>
        <v>0</v>
      </c>
      <c r="EW95" s="272">
        <f t="shared" si="179"/>
        <v>0</v>
      </c>
      <c r="EX95" s="272">
        <f t="shared" si="179"/>
        <v>0</v>
      </c>
      <c r="EY95" s="272">
        <f>EY96+EY97</f>
        <v>0</v>
      </c>
      <c r="EZ95" s="272">
        <f>EZ96+EZ97</f>
        <v>0</v>
      </c>
      <c r="FA95" s="272">
        <f t="shared" si="179"/>
        <v>0</v>
      </c>
      <c r="FB95" s="272">
        <f t="shared" si="179"/>
        <v>0</v>
      </c>
      <c r="FC95" s="272">
        <f t="shared" si="179"/>
        <v>0</v>
      </c>
      <c r="FD95" s="272">
        <f t="shared" si="179"/>
        <v>0</v>
      </c>
      <c r="FE95" s="272">
        <f t="shared" si="179"/>
        <v>0</v>
      </c>
      <c r="FF95" s="272">
        <f t="shared" si="179"/>
        <v>0</v>
      </c>
      <c r="FG95" s="272">
        <f t="shared" si="179"/>
        <v>0</v>
      </c>
      <c r="FH95" s="272">
        <f t="shared" si="179"/>
        <v>0</v>
      </c>
      <c r="FI95" s="272">
        <f t="shared" si="179"/>
        <v>0</v>
      </c>
      <c r="FJ95" s="272">
        <f t="shared" si="179"/>
        <v>0</v>
      </c>
      <c r="FK95" s="272">
        <f t="shared" si="179"/>
        <v>0</v>
      </c>
      <c r="FL95" s="272">
        <f t="shared" si="179"/>
        <v>0</v>
      </c>
      <c r="FM95" s="272">
        <f t="shared" si="179"/>
        <v>0</v>
      </c>
      <c r="FN95" s="272">
        <f t="shared" si="179"/>
        <v>0</v>
      </c>
      <c r="FO95" s="272">
        <f t="shared" si="179"/>
        <v>0</v>
      </c>
      <c r="FP95" s="272">
        <f t="shared" si="179"/>
        <v>0</v>
      </c>
      <c r="FQ95" s="272">
        <f t="shared" si="179"/>
        <v>0</v>
      </c>
      <c r="FR95" s="272">
        <f t="shared" si="179"/>
        <v>0</v>
      </c>
      <c r="FS95" s="272">
        <f t="shared" si="179"/>
        <v>0</v>
      </c>
      <c r="FT95" s="272">
        <f t="shared" si="179"/>
        <v>0</v>
      </c>
      <c r="FU95" s="272">
        <f t="shared" si="179"/>
        <v>0</v>
      </c>
      <c r="FV95" s="303">
        <f t="shared" si="179"/>
        <v>0</v>
      </c>
      <c r="FW95" s="303">
        <f t="shared" si="179"/>
        <v>0</v>
      </c>
      <c r="FX95" s="303">
        <f t="shared" si="179"/>
        <v>0</v>
      </c>
      <c r="FY95" s="272">
        <f t="shared" si="179"/>
        <v>0</v>
      </c>
      <c r="FZ95" s="272">
        <f t="shared" si="179"/>
        <v>0</v>
      </c>
      <c r="GA95" s="272">
        <f t="shared" si="179"/>
        <v>0</v>
      </c>
      <c r="GB95" s="303">
        <f>GB96+GB97</f>
        <v>17926276547</v>
      </c>
      <c r="GC95" s="328"/>
      <c r="GD95" s="328"/>
      <c r="GE95" s="328"/>
      <c r="GF95" s="328"/>
      <c r="GG95" s="328"/>
    </row>
    <row r="96" spans="1:189" s="264" customFormat="1" ht="17.25" customHeight="1">
      <c r="A96" s="227"/>
      <c r="B96" s="228" t="s">
        <v>183</v>
      </c>
      <c r="C96" s="270">
        <f>D96+BE96+CI96</f>
        <v>3330491586</v>
      </c>
      <c r="D96" s="270">
        <f>E96+J96</f>
        <v>3330491586</v>
      </c>
      <c r="E96" s="270">
        <f>SUM(F96:I96)</f>
        <v>3330491586</v>
      </c>
      <c r="F96" s="229"/>
      <c r="G96" s="229">
        <f>1294115321+854780444</f>
        <v>2148895765</v>
      </c>
      <c r="H96" s="229">
        <v>1181595821</v>
      </c>
      <c r="I96" s="229"/>
      <c r="J96" s="270">
        <f>SUM(K96:BD96)</f>
        <v>0</v>
      </c>
      <c r="K96" s="229"/>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80"/>
      <c r="AR96" s="229"/>
      <c r="AS96" s="229"/>
      <c r="AT96" s="229"/>
      <c r="AU96" s="280"/>
      <c r="AV96" s="229"/>
      <c r="AW96" s="229"/>
      <c r="AX96" s="229"/>
      <c r="AY96" s="229"/>
      <c r="AZ96" s="229"/>
      <c r="BA96" s="229"/>
      <c r="BB96" s="229"/>
      <c r="BC96" s="229"/>
      <c r="BD96" s="229"/>
      <c r="BE96" s="270">
        <f>SUM(BF96:BG96)</f>
        <v>0</v>
      </c>
      <c r="BF96" s="270">
        <f>SUM(BH96:BI96)+BJ96+SUM(BL96:BN96)+BW96+CE96</f>
        <v>0</v>
      </c>
      <c r="BG96" s="270">
        <f>BK96+SUM(BO96:BV96)+SUM(BX96:CD96)+SUM(CF96:CH96)</f>
        <v>0</v>
      </c>
      <c r="BH96" s="229"/>
      <c r="BI96" s="229"/>
      <c r="BJ96" s="229"/>
      <c r="BK96" s="229"/>
      <c r="BL96" s="229"/>
      <c r="BM96" s="229"/>
      <c r="BN96" s="229"/>
      <c r="BO96" s="229"/>
      <c r="BP96" s="229"/>
      <c r="BQ96" s="229"/>
      <c r="BR96" s="229"/>
      <c r="BS96" s="229"/>
      <c r="BT96" s="229"/>
      <c r="BU96" s="229"/>
      <c r="BV96" s="229"/>
      <c r="BW96" s="229"/>
      <c r="BX96" s="229"/>
      <c r="BY96" s="229"/>
      <c r="BZ96" s="229"/>
      <c r="CA96" s="229"/>
      <c r="CB96" s="229"/>
      <c r="CC96" s="229"/>
      <c r="CD96" s="229"/>
      <c r="CE96" s="229"/>
      <c r="CF96" s="229"/>
      <c r="CG96" s="229"/>
      <c r="CH96" s="229"/>
      <c r="CI96" s="270">
        <f>SUM(CJ96:CK96)</f>
        <v>0</v>
      </c>
      <c r="CJ96" s="270">
        <f>SUM(CL96:CL96)</f>
        <v>0</v>
      </c>
      <c r="CK96" s="270">
        <f>SUM(CM96:CN96)</f>
        <v>0</v>
      </c>
      <c r="CL96" s="229"/>
      <c r="CM96" s="280"/>
      <c r="CN96" s="229"/>
      <c r="CO96" s="271" t="s">
        <v>183</v>
      </c>
      <c r="CP96" s="303">
        <f>CQ96+ER96+FV96+GB96</f>
        <v>0</v>
      </c>
      <c r="CQ96" s="303">
        <f>CR96+CW96</f>
        <v>0</v>
      </c>
      <c r="CR96" s="303">
        <f>SUM(CS96:CV96)</f>
        <v>0</v>
      </c>
      <c r="CS96" s="272"/>
      <c r="CT96" s="272"/>
      <c r="CU96" s="272"/>
      <c r="CV96" s="272"/>
      <c r="CW96" s="303">
        <f>SUM(CX96:EQ96)</f>
        <v>0</v>
      </c>
      <c r="CX96" s="272"/>
      <c r="CY96" s="272"/>
      <c r="CZ96" s="272"/>
      <c r="DA96" s="272"/>
      <c r="DB96" s="272"/>
      <c r="DC96" s="272"/>
      <c r="DD96" s="272"/>
      <c r="DE96" s="272"/>
      <c r="DF96" s="272"/>
      <c r="DG96" s="272"/>
      <c r="DH96" s="272"/>
      <c r="DI96" s="272"/>
      <c r="DJ96" s="272"/>
      <c r="DK96" s="272"/>
      <c r="DL96" s="272"/>
      <c r="DM96" s="272"/>
      <c r="DN96" s="272"/>
      <c r="DO96" s="272"/>
      <c r="DP96" s="272"/>
      <c r="DQ96" s="272"/>
      <c r="DR96" s="272"/>
      <c r="DS96" s="272"/>
      <c r="DT96" s="272"/>
      <c r="DU96" s="272"/>
      <c r="DV96" s="272"/>
      <c r="DW96" s="272"/>
      <c r="DX96" s="272"/>
      <c r="DY96" s="272"/>
      <c r="DZ96" s="272"/>
      <c r="EA96" s="272"/>
      <c r="EB96" s="272"/>
      <c r="EC96" s="272"/>
      <c r="ED96" s="276"/>
      <c r="EE96" s="272"/>
      <c r="EF96" s="272"/>
      <c r="EG96" s="272"/>
      <c r="EH96" s="276"/>
      <c r="EI96" s="272"/>
      <c r="EJ96" s="272"/>
      <c r="EK96" s="272"/>
      <c r="EL96" s="272"/>
      <c r="EM96" s="272"/>
      <c r="EN96" s="272"/>
      <c r="EO96" s="272"/>
      <c r="EP96" s="272"/>
      <c r="EQ96" s="272"/>
      <c r="ER96" s="303">
        <f>SUM(ES96:ET96)</f>
        <v>0</v>
      </c>
      <c r="ES96" s="303">
        <f>SUM(EU96:EV96)+EW96+SUM(EY96:FA96)+FJ96+FR96</f>
        <v>0</v>
      </c>
      <c r="ET96" s="303">
        <f>EX96+SUM(FB96:FI96)+SUM(FK96:FQ96)+SUM(FS96:FU96)</f>
        <v>0</v>
      </c>
      <c r="EU96" s="272"/>
      <c r="EV96" s="272"/>
      <c r="EW96" s="272"/>
      <c r="EX96" s="272"/>
      <c r="EY96" s="272"/>
      <c r="EZ96" s="272"/>
      <c r="FA96" s="272"/>
      <c r="FB96" s="272"/>
      <c r="FC96" s="272"/>
      <c r="FD96" s="272"/>
      <c r="FE96" s="272"/>
      <c r="FF96" s="272"/>
      <c r="FG96" s="272"/>
      <c r="FH96" s="272"/>
      <c r="FI96" s="272"/>
      <c r="FJ96" s="272"/>
      <c r="FK96" s="272"/>
      <c r="FL96" s="272"/>
      <c r="FM96" s="272"/>
      <c r="FN96" s="272"/>
      <c r="FO96" s="272"/>
      <c r="FP96" s="272"/>
      <c r="FQ96" s="272"/>
      <c r="FR96" s="272"/>
      <c r="FS96" s="272"/>
      <c r="FT96" s="272"/>
      <c r="FU96" s="272"/>
      <c r="FV96" s="303">
        <f>SUM(FW96:FX96)</f>
        <v>0</v>
      </c>
      <c r="FW96" s="303">
        <f>SUM(FY96:FY96)</f>
        <v>0</v>
      </c>
      <c r="FX96" s="303">
        <f>SUM(FZ96:GA96)</f>
        <v>0</v>
      </c>
      <c r="FY96" s="272"/>
      <c r="FZ96" s="276"/>
      <c r="GA96" s="272"/>
      <c r="GB96" s="303"/>
      <c r="GC96" s="328"/>
      <c r="GD96" s="328"/>
      <c r="GE96" s="328"/>
      <c r="GF96" s="328"/>
      <c r="GG96" s="328"/>
    </row>
    <row r="97" spans="1:189" s="264" customFormat="1" ht="17.25" customHeight="1">
      <c r="A97" s="231"/>
      <c r="B97" s="232" t="s">
        <v>184</v>
      </c>
      <c r="C97" s="277">
        <f>D97+BE97+CI97</f>
        <v>23055910855</v>
      </c>
      <c r="D97" s="277">
        <f>E97+J97</f>
        <v>23035910855</v>
      </c>
      <c r="E97" s="277">
        <f>SUM(F97:I97)</f>
        <v>0</v>
      </c>
      <c r="F97" s="233"/>
      <c r="G97" s="233"/>
      <c r="H97" s="233"/>
      <c r="I97" s="233"/>
      <c r="J97" s="277">
        <f>SUM(K97:BD97)</f>
        <v>23035910855</v>
      </c>
      <c r="K97" s="233"/>
      <c r="L97" s="233"/>
      <c r="M97" s="233"/>
      <c r="N97" s="233">
        <v>288000000</v>
      </c>
      <c r="O97" s="233"/>
      <c r="P97" s="233"/>
      <c r="Q97" s="233"/>
      <c r="R97" s="233"/>
      <c r="S97" s="233"/>
      <c r="T97" s="233"/>
      <c r="U97" s="233"/>
      <c r="V97" s="233"/>
      <c r="W97" s="233"/>
      <c r="X97" s="233"/>
      <c r="Y97" s="233"/>
      <c r="Z97" s="233">
        <v>2188328982</v>
      </c>
      <c r="AA97" s="233"/>
      <c r="AB97" s="233">
        <v>284999400</v>
      </c>
      <c r="AC97" s="233">
        <v>320000000</v>
      </c>
      <c r="AD97" s="233"/>
      <c r="AE97" s="233"/>
      <c r="AF97" s="233"/>
      <c r="AG97" s="233"/>
      <c r="AH97" s="233"/>
      <c r="AI97" s="233"/>
      <c r="AJ97" s="233"/>
      <c r="AK97" s="233">
        <v>1750000000</v>
      </c>
      <c r="AL97" s="233"/>
      <c r="AM97" s="233">
        <v>41222792</v>
      </c>
      <c r="AN97" s="233"/>
      <c r="AO97" s="233"/>
      <c r="AP97" s="233"/>
      <c r="AQ97" s="233"/>
      <c r="AR97" s="233">
        <f>196599145+2033048660</f>
        <v>2229647805</v>
      </c>
      <c r="AS97" s="233"/>
      <c r="AT97" s="233"/>
      <c r="AU97" s="233"/>
      <c r="AV97" s="233"/>
      <c r="AW97" s="233">
        <v>5000000000</v>
      </c>
      <c r="AX97" s="233"/>
      <c r="AY97" s="233"/>
      <c r="AZ97" s="233"/>
      <c r="BA97" s="233"/>
      <c r="BB97" s="233"/>
      <c r="BC97" s="233"/>
      <c r="BD97" s="233">
        <f>2659633531+3055078345+3140000000+2079000000</f>
        <v>10933711876</v>
      </c>
      <c r="BE97" s="277">
        <f>SUM(BF97:BG97)</f>
        <v>20000000</v>
      </c>
      <c r="BF97" s="277">
        <f>SUM(BH97:BI97)+BJ97+SUM(BL97:BN97)+BW97+CE97</f>
        <v>0</v>
      </c>
      <c r="BG97" s="277">
        <f>BK97+SUM(BO97:BV97)+SUM(BX97:CD97)+SUM(CF97:CH97)</f>
        <v>20000000</v>
      </c>
      <c r="BH97" s="233"/>
      <c r="BI97" s="233"/>
      <c r="BJ97" s="233"/>
      <c r="BK97" s="233"/>
      <c r="BL97" s="233"/>
      <c r="BM97" s="233"/>
      <c r="BN97" s="233"/>
      <c r="BO97" s="233"/>
      <c r="BP97" s="233"/>
      <c r="BQ97" s="233"/>
      <c r="BR97" s="233"/>
      <c r="BS97" s="233"/>
      <c r="BT97" s="233"/>
      <c r="BU97" s="233"/>
      <c r="BV97" s="233"/>
      <c r="BW97" s="233"/>
      <c r="BX97" s="233"/>
      <c r="BY97" s="233"/>
      <c r="BZ97" s="233"/>
      <c r="CA97" s="233"/>
      <c r="CB97" s="233">
        <v>20000000</v>
      </c>
      <c r="CC97" s="233"/>
      <c r="CD97" s="233"/>
      <c r="CE97" s="233"/>
      <c r="CF97" s="233"/>
      <c r="CG97" s="233"/>
      <c r="CH97" s="233"/>
      <c r="CI97" s="277">
        <f>SUM(CJ97:CK97)</f>
        <v>0</v>
      </c>
      <c r="CJ97" s="277">
        <f>SUM(CL97:CL97)</f>
        <v>0</v>
      </c>
      <c r="CK97" s="277">
        <f>SUM(CM97:CN97)</f>
        <v>0</v>
      </c>
      <c r="CL97" s="233"/>
      <c r="CM97" s="317"/>
      <c r="CN97" s="233"/>
      <c r="CO97" s="307" t="s">
        <v>184</v>
      </c>
      <c r="CP97" s="278">
        <f>CQ97+ER97+FV97+GB97</f>
        <v>17926276547</v>
      </c>
      <c r="CQ97" s="278">
        <f>CR97+CW97</f>
        <v>0</v>
      </c>
      <c r="CR97" s="278">
        <f>SUM(CS97:CV97)</f>
        <v>0</v>
      </c>
      <c r="CS97" s="283"/>
      <c r="CT97" s="283"/>
      <c r="CU97" s="283"/>
      <c r="CV97" s="283"/>
      <c r="CW97" s="278">
        <f>SUM(CX97:EQ97)</f>
        <v>0</v>
      </c>
      <c r="CX97" s="283"/>
      <c r="CY97" s="283"/>
      <c r="CZ97" s="283"/>
      <c r="DA97" s="283"/>
      <c r="DB97" s="283"/>
      <c r="DC97" s="283"/>
      <c r="DD97" s="283"/>
      <c r="DE97" s="283"/>
      <c r="DF97" s="283"/>
      <c r="DG97" s="283"/>
      <c r="DH97" s="283"/>
      <c r="DI97" s="283"/>
      <c r="DJ97" s="283"/>
      <c r="DK97" s="283"/>
      <c r="DL97" s="283"/>
      <c r="DM97" s="283"/>
      <c r="DN97" s="283"/>
      <c r="DO97" s="283"/>
      <c r="DP97" s="283"/>
      <c r="DQ97" s="283"/>
      <c r="DR97" s="283"/>
      <c r="DS97" s="283"/>
      <c r="DT97" s="283"/>
      <c r="DU97" s="283"/>
      <c r="DV97" s="283"/>
      <c r="DW97" s="283"/>
      <c r="DX97" s="283"/>
      <c r="DY97" s="283"/>
      <c r="DZ97" s="283"/>
      <c r="EA97" s="283"/>
      <c r="EB97" s="283"/>
      <c r="EC97" s="283"/>
      <c r="ED97" s="283"/>
      <c r="EE97" s="283"/>
      <c r="EF97" s="283"/>
      <c r="EG97" s="283"/>
      <c r="EH97" s="283"/>
      <c r="EI97" s="283"/>
      <c r="EJ97" s="283"/>
      <c r="EK97" s="283"/>
      <c r="EL97" s="283"/>
      <c r="EM97" s="283"/>
      <c r="EN97" s="283"/>
      <c r="EO97" s="283"/>
      <c r="EP97" s="283"/>
      <c r="EQ97" s="283"/>
      <c r="ER97" s="278">
        <f>SUM(ES97:ET97)</f>
        <v>0</v>
      </c>
      <c r="ES97" s="278">
        <f>SUM(EU97:EV97)+EW97+SUM(EY97:FA97)+FJ97+FR97</f>
        <v>0</v>
      </c>
      <c r="ET97" s="278">
        <f>EX97+SUM(FB97:FI97)+SUM(FK97:FQ97)+SUM(FS97:FU97)</f>
        <v>0</v>
      </c>
      <c r="EU97" s="283"/>
      <c r="EV97" s="283"/>
      <c r="EW97" s="283"/>
      <c r="EX97" s="283"/>
      <c r="EY97" s="283"/>
      <c r="EZ97" s="283"/>
      <c r="FA97" s="283"/>
      <c r="FB97" s="283"/>
      <c r="FC97" s="283"/>
      <c r="FD97" s="283"/>
      <c r="FE97" s="283"/>
      <c r="FF97" s="283"/>
      <c r="FG97" s="283"/>
      <c r="FH97" s="283"/>
      <c r="FI97" s="283"/>
      <c r="FJ97" s="283"/>
      <c r="FK97" s="283"/>
      <c r="FL97" s="283"/>
      <c r="FM97" s="283"/>
      <c r="FN97" s="283"/>
      <c r="FO97" s="283"/>
      <c r="FP97" s="283"/>
      <c r="FQ97" s="283"/>
      <c r="FR97" s="283"/>
      <c r="FS97" s="283"/>
      <c r="FT97" s="283"/>
      <c r="FU97" s="283"/>
      <c r="FV97" s="278">
        <f>SUM(FW97:FX97)</f>
        <v>0</v>
      </c>
      <c r="FW97" s="278">
        <f>SUM(FY97:FY97)</f>
        <v>0</v>
      </c>
      <c r="FX97" s="278">
        <f>SUM(FZ97:GA97)</f>
        <v>0</v>
      </c>
      <c r="FY97" s="283"/>
      <c r="FZ97" s="318"/>
      <c r="GA97" s="283"/>
      <c r="GB97" s="278">
        <f>854780444+1181595821+3055078345+10539222792+2275599145+20000000</f>
        <v>17926276547</v>
      </c>
      <c r="GC97" s="343">
        <f>CP97/C97</f>
        <v>0.77751326589261316</v>
      </c>
      <c r="GD97" s="343"/>
      <c r="GE97" s="343"/>
      <c r="GF97" s="343"/>
      <c r="GG97" s="343"/>
    </row>
    <row r="98" spans="1:189" s="300" customFormat="1" ht="17.25" customHeight="1">
      <c r="A98" s="311"/>
      <c r="B98" s="312" t="s">
        <v>172</v>
      </c>
      <c r="C98" s="313"/>
      <c r="D98" s="313"/>
      <c r="E98" s="314"/>
      <c r="F98" s="311"/>
      <c r="G98" s="311"/>
      <c r="H98" s="311"/>
      <c r="I98" s="311"/>
      <c r="J98" s="313"/>
      <c r="K98" s="311"/>
      <c r="L98" s="311"/>
      <c r="M98" s="311"/>
      <c r="N98" s="311"/>
      <c r="O98" s="311"/>
      <c r="P98" s="311"/>
      <c r="Q98" s="311"/>
      <c r="R98" s="311"/>
      <c r="S98" s="311"/>
      <c r="T98" s="311"/>
      <c r="U98" s="311"/>
      <c r="V98" s="311"/>
      <c r="W98" s="311"/>
      <c r="X98" s="311"/>
      <c r="Y98" s="311"/>
      <c r="Z98" s="311"/>
      <c r="AA98" s="311"/>
      <c r="AB98" s="311"/>
      <c r="AC98" s="311"/>
      <c r="AD98" s="311"/>
      <c r="AE98" s="311"/>
      <c r="AF98" s="311"/>
      <c r="AG98" s="311"/>
      <c r="AH98" s="311"/>
      <c r="AI98" s="311"/>
      <c r="AJ98" s="311"/>
      <c r="AK98" s="311"/>
      <c r="AL98" s="311"/>
      <c r="AM98" s="311"/>
      <c r="AN98" s="311"/>
      <c r="AO98" s="311"/>
      <c r="AP98" s="311"/>
      <c r="AQ98" s="311"/>
      <c r="AR98" s="311"/>
      <c r="AS98" s="311"/>
      <c r="AT98" s="311"/>
      <c r="AU98" s="311"/>
      <c r="AV98" s="311"/>
      <c r="AW98" s="311"/>
      <c r="AX98" s="311"/>
      <c r="AY98" s="311"/>
      <c r="AZ98" s="311"/>
      <c r="BA98" s="311"/>
      <c r="BB98" s="311"/>
      <c r="BC98" s="311"/>
      <c r="BD98" s="311"/>
      <c r="BE98" s="315"/>
      <c r="BF98" s="314"/>
      <c r="BG98" s="315"/>
      <c r="BH98" s="316"/>
      <c r="BI98" s="316"/>
      <c r="BJ98" s="316"/>
      <c r="BK98" s="316"/>
      <c r="BL98" s="316"/>
      <c r="BM98" s="316"/>
      <c r="BN98" s="316"/>
      <c r="BO98" s="316"/>
      <c r="BP98" s="316"/>
      <c r="BQ98" s="316"/>
      <c r="BR98" s="316"/>
      <c r="BS98" s="316"/>
      <c r="BT98" s="316"/>
      <c r="BU98" s="316"/>
      <c r="BV98" s="316"/>
      <c r="BW98" s="316"/>
      <c r="BX98" s="316"/>
      <c r="BY98" s="316"/>
      <c r="BZ98" s="316"/>
      <c r="CA98" s="316"/>
      <c r="CB98" s="316"/>
      <c r="CC98" s="316"/>
      <c r="CD98" s="316"/>
      <c r="CE98" s="316"/>
      <c r="CF98" s="316"/>
      <c r="CG98" s="316"/>
      <c r="CH98" s="316"/>
      <c r="CI98" s="314"/>
      <c r="CJ98" s="314"/>
      <c r="CK98" s="314"/>
      <c r="CL98" s="316"/>
      <c r="CM98" s="316"/>
      <c r="CN98" s="316"/>
      <c r="CO98" s="312" t="s">
        <v>172</v>
      </c>
      <c r="CP98" s="314">
        <f t="shared" ref="CP98:EQ98" si="180">CP99+CP100</f>
        <v>133115684926</v>
      </c>
      <c r="CQ98" s="314">
        <f t="shared" si="180"/>
        <v>25806938187</v>
      </c>
      <c r="CR98" s="314">
        <f t="shared" si="180"/>
        <v>5484676265</v>
      </c>
      <c r="CS98" s="316">
        <f t="shared" si="180"/>
        <v>1532082000</v>
      </c>
      <c r="CT98" s="316">
        <f t="shared" si="180"/>
        <v>2770998444</v>
      </c>
      <c r="CU98" s="316">
        <f t="shared" si="180"/>
        <v>1181595821</v>
      </c>
      <c r="CV98" s="316">
        <f t="shared" si="180"/>
        <v>0</v>
      </c>
      <c r="CW98" s="314">
        <f t="shared" si="180"/>
        <v>20322261922</v>
      </c>
      <c r="CX98" s="316">
        <f t="shared" si="180"/>
        <v>0</v>
      </c>
      <c r="CY98" s="316">
        <f t="shared" si="180"/>
        <v>0</v>
      </c>
      <c r="CZ98" s="316">
        <f t="shared" si="180"/>
        <v>1264496000</v>
      </c>
      <c r="DA98" s="316">
        <f t="shared" si="180"/>
        <v>288000000</v>
      </c>
      <c r="DB98" s="316">
        <f t="shared" si="180"/>
        <v>0</v>
      </c>
      <c r="DC98" s="316">
        <f t="shared" si="180"/>
        <v>0</v>
      </c>
      <c r="DD98" s="316">
        <f t="shared" si="180"/>
        <v>0</v>
      </c>
      <c r="DE98" s="316">
        <f>DE99+DE100</f>
        <v>0</v>
      </c>
      <c r="DF98" s="316">
        <f>DF99+DF100</f>
        <v>0</v>
      </c>
      <c r="DG98" s="316">
        <f>DG99+DG100</f>
        <v>0</v>
      </c>
      <c r="DH98" s="316">
        <f t="shared" si="180"/>
        <v>0</v>
      </c>
      <c r="DI98" s="316">
        <f t="shared" si="180"/>
        <v>0</v>
      </c>
      <c r="DJ98" s="316">
        <f t="shared" si="180"/>
        <v>0</v>
      </c>
      <c r="DK98" s="316">
        <f t="shared" si="180"/>
        <v>0</v>
      </c>
      <c r="DL98" s="316">
        <f t="shared" si="180"/>
        <v>0</v>
      </c>
      <c r="DM98" s="316">
        <f>DM99+DM100</f>
        <v>0</v>
      </c>
      <c r="DN98" s="316">
        <f t="shared" si="180"/>
        <v>0</v>
      </c>
      <c r="DO98" s="316">
        <f t="shared" si="180"/>
        <v>0</v>
      </c>
      <c r="DP98" s="316">
        <f t="shared" si="180"/>
        <v>320000000</v>
      </c>
      <c r="DQ98" s="316">
        <f t="shared" si="180"/>
        <v>0</v>
      </c>
      <c r="DR98" s="316">
        <f t="shared" si="180"/>
        <v>0</v>
      </c>
      <c r="DS98" s="316">
        <f t="shared" si="180"/>
        <v>0</v>
      </c>
      <c r="DT98" s="316">
        <f t="shared" si="180"/>
        <v>0</v>
      </c>
      <c r="DU98" s="316">
        <f t="shared" si="180"/>
        <v>841740000</v>
      </c>
      <c r="DV98" s="316">
        <f t="shared" si="180"/>
        <v>0</v>
      </c>
      <c r="DW98" s="316">
        <f t="shared" si="180"/>
        <v>0</v>
      </c>
      <c r="DX98" s="316">
        <f t="shared" si="180"/>
        <v>1750000000</v>
      </c>
      <c r="DY98" s="316">
        <f t="shared" si="180"/>
        <v>0</v>
      </c>
      <c r="DZ98" s="316">
        <f t="shared" si="180"/>
        <v>41222792</v>
      </c>
      <c r="EA98" s="316">
        <f t="shared" si="180"/>
        <v>0</v>
      </c>
      <c r="EB98" s="316">
        <f t="shared" si="180"/>
        <v>1325608000</v>
      </c>
      <c r="EC98" s="316">
        <f t="shared" si="180"/>
        <v>0</v>
      </c>
      <c r="ED98" s="316">
        <f t="shared" si="180"/>
        <v>0</v>
      </c>
      <c r="EE98" s="316">
        <f t="shared" si="180"/>
        <v>196599145</v>
      </c>
      <c r="EF98" s="316">
        <f t="shared" si="180"/>
        <v>0</v>
      </c>
      <c r="EG98" s="316">
        <f t="shared" si="180"/>
        <v>0</v>
      </c>
      <c r="EH98" s="316">
        <f t="shared" si="180"/>
        <v>0</v>
      </c>
      <c r="EI98" s="316">
        <f>EI99+EI100</f>
        <v>1020517640</v>
      </c>
      <c r="EJ98" s="316">
        <f>EJ99+EJ100</f>
        <v>5000000000</v>
      </c>
      <c r="EK98" s="316">
        <f t="shared" si="180"/>
        <v>0</v>
      </c>
      <c r="EL98" s="316">
        <f t="shared" si="180"/>
        <v>0</v>
      </c>
      <c r="EM98" s="316">
        <f t="shared" si="180"/>
        <v>0</v>
      </c>
      <c r="EN98" s="316">
        <f t="shared" si="180"/>
        <v>0</v>
      </c>
      <c r="EO98" s="316">
        <f t="shared" si="180"/>
        <v>0</v>
      </c>
      <c r="EP98" s="316">
        <f t="shared" si="180"/>
        <v>0</v>
      </c>
      <c r="EQ98" s="316">
        <f t="shared" si="180"/>
        <v>8274078345</v>
      </c>
      <c r="ER98" s="314">
        <f>ER99+ER100</f>
        <v>107308746739</v>
      </c>
      <c r="ES98" s="314">
        <f>ES99+ES100</f>
        <v>24661362000</v>
      </c>
      <c r="ET98" s="314">
        <f>ET99+ET100</f>
        <v>82647384739</v>
      </c>
      <c r="EU98" s="316">
        <f t="shared" ref="EU98:FO98" si="181">EU99+EU100</f>
        <v>139952000</v>
      </c>
      <c r="EV98" s="316">
        <f t="shared" si="181"/>
        <v>0</v>
      </c>
      <c r="EW98" s="316">
        <f t="shared" si="181"/>
        <v>0</v>
      </c>
      <c r="EX98" s="316">
        <f t="shared" si="181"/>
        <v>0</v>
      </c>
      <c r="EY98" s="316">
        <f>EY99+EY100</f>
        <v>812195000</v>
      </c>
      <c r="EZ98" s="316">
        <f>EZ99+EZ100</f>
        <v>13003975000</v>
      </c>
      <c r="FA98" s="316">
        <f t="shared" si="181"/>
        <v>8730516000</v>
      </c>
      <c r="FB98" s="316">
        <f t="shared" si="181"/>
        <v>259464000</v>
      </c>
      <c r="FC98" s="316">
        <f t="shared" si="181"/>
        <v>34277500453</v>
      </c>
      <c r="FD98" s="316">
        <f t="shared" si="181"/>
        <v>0</v>
      </c>
      <c r="FE98" s="316">
        <f t="shared" si="181"/>
        <v>16058956000</v>
      </c>
      <c r="FF98" s="316">
        <f t="shared" si="181"/>
        <v>67790000</v>
      </c>
      <c r="FG98" s="316">
        <f t="shared" si="181"/>
        <v>770743490</v>
      </c>
      <c r="FH98" s="316">
        <f t="shared" si="181"/>
        <v>751870820</v>
      </c>
      <c r="FI98" s="316">
        <f t="shared" si="181"/>
        <v>345121000</v>
      </c>
      <c r="FJ98" s="316">
        <f t="shared" si="181"/>
        <v>0</v>
      </c>
      <c r="FK98" s="316">
        <f t="shared" si="181"/>
        <v>1413871000</v>
      </c>
      <c r="FL98" s="316">
        <f t="shared" si="181"/>
        <v>15539000000</v>
      </c>
      <c r="FM98" s="316">
        <f t="shared" si="181"/>
        <v>6698850000</v>
      </c>
      <c r="FN98" s="316">
        <f t="shared" si="181"/>
        <v>5756036200</v>
      </c>
      <c r="FO98" s="316">
        <f t="shared" si="181"/>
        <v>20000000</v>
      </c>
      <c r="FP98" s="316">
        <f>FP99+FP100</f>
        <v>510850400</v>
      </c>
      <c r="FQ98" s="316">
        <f t="shared" ref="FQ98:FX98" si="182">FQ99+FQ100</f>
        <v>177271000</v>
      </c>
      <c r="FR98" s="316">
        <f t="shared" si="182"/>
        <v>1974724000</v>
      </c>
      <c r="FS98" s="316">
        <f t="shared" si="182"/>
        <v>0</v>
      </c>
      <c r="FT98" s="316">
        <f t="shared" si="182"/>
        <v>0</v>
      </c>
      <c r="FU98" s="316">
        <f t="shared" si="182"/>
        <v>60376</v>
      </c>
      <c r="FV98" s="314">
        <f t="shared" si="182"/>
        <v>0</v>
      </c>
      <c r="FW98" s="314">
        <f t="shared" si="182"/>
        <v>0</v>
      </c>
      <c r="FX98" s="314">
        <f t="shared" si="182"/>
        <v>0</v>
      </c>
      <c r="FY98" s="316">
        <f>FY99+FY100</f>
        <v>0</v>
      </c>
      <c r="FZ98" s="316">
        <f>FZ99+FZ100</f>
        <v>0</v>
      </c>
      <c r="GA98" s="316">
        <f>GA99+GA100</f>
        <v>0</v>
      </c>
      <c r="GB98" s="319"/>
      <c r="GC98" s="319"/>
      <c r="GD98" s="319"/>
      <c r="GE98" s="319"/>
      <c r="GF98" s="319"/>
      <c r="GG98" s="319"/>
    </row>
    <row r="99" spans="1:189" s="264" customFormat="1" ht="17.25" customHeight="1">
      <c r="A99" s="301"/>
      <c r="B99" s="271" t="s">
        <v>183</v>
      </c>
      <c r="C99" s="302"/>
      <c r="D99" s="302"/>
      <c r="E99" s="303"/>
      <c r="F99" s="304"/>
      <c r="G99" s="304"/>
      <c r="H99" s="304"/>
      <c r="I99" s="304"/>
      <c r="J99" s="302"/>
      <c r="K99" s="272"/>
      <c r="L99" s="272"/>
      <c r="M99" s="272"/>
      <c r="N99" s="272"/>
      <c r="O99" s="272"/>
      <c r="P99" s="272"/>
      <c r="Q99" s="272"/>
      <c r="R99" s="272"/>
      <c r="S99" s="272"/>
      <c r="T99" s="272"/>
      <c r="U99" s="272"/>
      <c r="V99" s="272"/>
      <c r="W99" s="272"/>
      <c r="X99" s="272"/>
      <c r="Y99" s="272"/>
      <c r="Z99" s="272"/>
      <c r="AA99" s="272"/>
      <c r="AB99" s="272"/>
      <c r="AC99" s="272"/>
      <c r="AD99" s="272"/>
      <c r="AE99" s="272"/>
      <c r="AF99" s="272"/>
      <c r="AG99" s="272"/>
      <c r="AH99" s="272"/>
      <c r="AI99" s="272"/>
      <c r="AJ99" s="272"/>
      <c r="AK99" s="272"/>
      <c r="AL99" s="272"/>
      <c r="AM99" s="272"/>
      <c r="AN99" s="272"/>
      <c r="AO99" s="272"/>
      <c r="AP99" s="272"/>
      <c r="AQ99" s="272"/>
      <c r="AR99" s="272"/>
      <c r="AS99" s="272"/>
      <c r="AT99" s="272"/>
      <c r="AU99" s="272"/>
      <c r="AV99" s="272"/>
      <c r="AW99" s="272"/>
      <c r="AX99" s="272"/>
      <c r="AY99" s="272"/>
      <c r="AZ99" s="272"/>
      <c r="BA99" s="272"/>
      <c r="BB99" s="272"/>
      <c r="BC99" s="272"/>
      <c r="BD99" s="272"/>
      <c r="BE99" s="305"/>
      <c r="BF99" s="303"/>
      <c r="BG99" s="305"/>
      <c r="BH99" s="272"/>
      <c r="BI99" s="272"/>
      <c r="BJ99" s="272"/>
      <c r="BK99" s="272"/>
      <c r="BL99" s="272"/>
      <c r="BM99" s="272"/>
      <c r="BN99" s="272"/>
      <c r="BO99" s="272"/>
      <c r="BP99" s="272"/>
      <c r="BQ99" s="272"/>
      <c r="BR99" s="272"/>
      <c r="BS99" s="272"/>
      <c r="BT99" s="272"/>
      <c r="BU99" s="272"/>
      <c r="BV99" s="272"/>
      <c r="BW99" s="272"/>
      <c r="BX99" s="272"/>
      <c r="BY99" s="272"/>
      <c r="BZ99" s="272"/>
      <c r="CA99" s="272"/>
      <c r="CB99" s="272"/>
      <c r="CC99" s="272"/>
      <c r="CD99" s="272"/>
      <c r="CE99" s="272"/>
      <c r="CF99" s="272"/>
      <c r="CG99" s="272"/>
      <c r="CH99" s="272"/>
      <c r="CI99" s="303"/>
      <c r="CJ99" s="303"/>
      <c r="CK99" s="303"/>
      <c r="CL99" s="272"/>
      <c r="CM99" s="272"/>
      <c r="CN99" s="272"/>
      <c r="CO99" s="272" t="s">
        <v>183</v>
      </c>
      <c r="CP99" s="303">
        <f>CQ99+ER99+FV99+GB99</f>
        <v>30146038265</v>
      </c>
      <c r="CQ99" s="303">
        <f>CR99+CW99</f>
        <v>5484676265</v>
      </c>
      <c r="CR99" s="303">
        <f>SUM(CS99:CV99)</f>
        <v>5484676265</v>
      </c>
      <c r="CS99" s="272">
        <v>1532082000</v>
      </c>
      <c r="CT99" s="272">
        <f>1916218000+854780444</f>
        <v>2770998444</v>
      </c>
      <c r="CU99" s="272">
        <v>1181595821</v>
      </c>
      <c r="CV99" s="272"/>
      <c r="CW99" s="303">
        <f>SUM(CX99:EQ99)</f>
        <v>0</v>
      </c>
      <c r="CX99" s="272"/>
      <c r="CY99" s="272"/>
      <c r="CZ99" s="272"/>
      <c r="DA99" s="272"/>
      <c r="DB99" s="272"/>
      <c r="DC99" s="272"/>
      <c r="DD99" s="272"/>
      <c r="DE99" s="272"/>
      <c r="DF99" s="272"/>
      <c r="DG99" s="272"/>
      <c r="DH99" s="272"/>
      <c r="DI99" s="272"/>
      <c r="DJ99" s="272"/>
      <c r="DK99" s="272"/>
      <c r="DL99" s="272"/>
      <c r="DM99" s="272"/>
      <c r="DN99" s="272"/>
      <c r="DO99" s="272"/>
      <c r="DP99" s="272"/>
      <c r="DQ99" s="272"/>
      <c r="DR99" s="272"/>
      <c r="DS99" s="272"/>
      <c r="DT99" s="272"/>
      <c r="DU99" s="272"/>
      <c r="DV99" s="272"/>
      <c r="DW99" s="272"/>
      <c r="DX99" s="272"/>
      <c r="DY99" s="272"/>
      <c r="DZ99" s="272"/>
      <c r="EA99" s="272"/>
      <c r="EB99" s="272"/>
      <c r="EC99" s="272"/>
      <c r="ED99" s="272"/>
      <c r="EE99" s="272"/>
      <c r="EF99" s="272"/>
      <c r="EG99" s="272"/>
      <c r="EH99" s="272"/>
      <c r="EI99" s="272"/>
      <c r="EJ99" s="272"/>
      <c r="EK99" s="272"/>
      <c r="EL99" s="272"/>
      <c r="EM99" s="272"/>
      <c r="EN99" s="272"/>
      <c r="EO99" s="272"/>
      <c r="EP99" s="272"/>
      <c r="EQ99" s="272"/>
      <c r="ER99" s="303">
        <f>SUM(ES99:ET99)</f>
        <v>24661362000</v>
      </c>
      <c r="ES99" s="303">
        <f>SUM(EU99:EV99)+EW99+SUM(EY99:FA99)+FJ99+FR99</f>
        <v>24661362000</v>
      </c>
      <c r="ET99" s="303">
        <f>EX99+SUM(FB99:FI99)+SUM(FK99:FQ99)+SUM(FS99:FU99)</f>
        <v>0</v>
      </c>
      <c r="EU99" s="272">
        <v>139952000</v>
      </c>
      <c r="EV99" s="272"/>
      <c r="EW99" s="272"/>
      <c r="EX99" s="272"/>
      <c r="EY99" s="272">
        <v>812195000</v>
      </c>
      <c r="EZ99" s="272">
        <v>13003975000</v>
      </c>
      <c r="FA99" s="272">
        <v>8730516000</v>
      </c>
      <c r="FB99" s="272"/>
      <c r="FC99" s="272"/>
      <c r="FD99" s="272"/>
      <c r="FE99" s="272"/>
      <c r="FF99" s="272"/>
      <c r="FG99" s="272"/>
      <c r="FH99" s="272"/>
      <c r="FI99" s="272"/>
      <c r="FJ99" s="272"/>
      <c r="FK99" s="272"/>
      <c r="FL99" s="272"/>
      <c r="FM99" s="272"/>
      <c r="FN99" s="272"/>
      <c r="FO99" s="272"/>
      <c r="FP99" s="272"/>
      <c r="FQ99" s="272"/>
      <c r="FR99" s="272">
        <v>1974724000</v>
      </c>
      <c r="FS99" s="272"/>
      <c r="FT99" s="272"/>
      <c r="FU99" s="272"/>
      <c r="FV99" s="303">
        <f>SUM(FW99:FX99)</f>
        <v>0</v>
      </c>
      <c r="FW99" s="303">
        <f>SUM(FY99:FY99)</f>
        <v>0</v>
      </c>
      <c r="FX99" s="303">
        <f>SUM(FZ99:GA99)</f>
        <v>0</v>
      </c>
      <c r="FY99" s="272"/>
      <c r="FZ99" s="272"/>
      <c r="GA99" s="272"/>
      <c r="GB99" s="319"/>
      <c r="GC99" s="319"/>
      <c r="GD99" s="319"/>
      <c r="GE99" s="319"/>
      <c r="GF99" s="319"/>
      <c r="GG99" s="319"/>
    </row>
    <row r="100" spans="1:189" s="264" customFormat="1" ht="17.25" customHeight="1">
      <c r="A100" s="301"/>
      <c r="B100" s="271" t="s">
        <v>184</v>
      </c>
      <c r="C100" s="302"/>
      <c r="D100" s="302"/>
      <c r="E100" s="303"/>
      <c r="F100" s="304"/>
      <c r="G100" s="304"/>
      <c r="H100" s="304"/>
      <c r="I100" s="304"/>
      <c r="J100" s="302"/>
      <c r="K100" s="272"/>
      <c r="L100" s="272"/>
      <c r="M100" s="272"/>
      <c r="N100" s="272"/>
      <c r="O100" s="272"/>
      <c r="P100" s="272"/>
      <c r="Q100" s="272"/>
      <c r="R100" s="272"/>
      <c r="S100" s="272"/>
      <c r="T100" s="272"/>
      <c r="U100" s="272"/>
      <c r="V100" s="272"/>
      <c r="W100" s="272"/>
      <c r="X100" s="272"/>
      <c r="Y100" s="272"/>
      <c r="Z100" s="272"/>
      <c r="AA100" s="272"/>
      <c r="AB100" s="272"/>
      <c r="AC100" s="272"/>
      <c r="AD100" s="272"/>
      <c r="AE100" s="272"/>
      <c r="AF100" s="272"/>
      <c r="AG100" s="272"/>
      <c r="AH100" s="272"/>
      <c r="AI100" s="272"/>
      <c r="AJ100" s="272"/>
      <c r="AK100" s="272"/>
      <c r="AL100" s="272"/>
      <c r="AM100" s="272"/>
      <c r="AN100" s="272"/>
      <c r="AO100" s="272"/>
      <c r="AP100" s="272"/>
      <c r="AQ100" s="272"/>
      <c r="AR100" s="272"/>
      <c r="AS100" s="272"/>
      <c r="AT100" s="272"/>
      <c r="AU100" s="272"/>
      <c r="AV100" s="272"/>
      <c r="AW100" s="272"/>
      <c r="AX100" s="272"/>
      <c r="AY100" s="272"/>
      <c r="AZ100" s="272"/>
      <c r="BA100" s="272"/>
      <c r="BB100" s="272"/>
      <c r="BC100" s="272"/>
      <c r="BD100" s="272"/>
      <c r="BE100" s="305"/>
      <c r="BF100" s="303"/>
      <c r="BG100" s="305"/>
      <c r="BH100" s="272"/>
      <c r="BI100" s="272"/>
      <c r="BJ100" s="272"/>
      <c r="BK100" s="272"/>
      <c r="BL100" s="272"/>
      <c r="BM100" s="272"/>
      <c r="BN100" s="272"/>
      <c r="BO100" s="272"/>
      <c r="BP100" s="272"/>
      <c r="BQ100" s="272"/>
      <c r="BR100" s="272"/>
      <c r="BS100" s="272"/>
      <c r="BT100" s="272"/>
      <c r="BU100" s="272"/>
      <c r="BV100" s="272"/>
      <c r="BW100" s="272"/>
      <c r="BX100" s="272"/>
      <c r="BY100" s="272"/>
      <c r="BZ100" s="272"/>
      <c r="CA100" s="272"/>
      <c r="CB100" s="272"/>
      <c r="CC100" s="272"/>
      <c r="CD100" s="272"/>
      <c r="CE100" s="272"/>
      <c r="CF100" s="272"/>
      <c r="CG100" s="272"/>
      <c r="CH100" s="272"/>
      <c r="CI100" s="303"/>
      <c r="CJ100" s="303"/>
      <c r="CK100" s="303"/>
      <c r="CL100" s="272"/>
      <c r="CM100" s="272"/>
      <c r="CN100" s="272"/>
      <c r="CO100" s="272" t="s">
        <v>184</v>
      </c>
      <c r="CP100" s="303">
        <f>CQ100+ER100+FV100+GB100</f>
        <v>102969646661</v>
      </c>
      <c r="CQ100" s="303">
        <f>CR100+CW100</f>
        <v>20322261922</v>
      </c>
      <c r="CR100" s="303">
        <f>SUM(CS100:CV100)</f>
        <v>0</v>
      </c>
      <c r="CS100" s="272"/>
      <c r="CT100" s="272"/>
      <c r="CU100" s="272"/>
      <c r="CV100" s="272"/>
      <c r="CW100" s="303">
        <f>SUM(CX100:EQ100)</f>
        <v>20322261922</v>
      </c>
      <c r="CX100" s="272"/>
      <c r="CY100" s="272"/>
      <c r="CZ100" s="272">
        <v>1264496000</v>
      </c>
      <c r="DA100" s="272">
        <v>288000000</v>
      </c>
      <c r="DB100" s="272"/>
      <c r="DC100" s="272"/>
      <c r="DD100" s="272"/>
      <c r="DE100" s="272"/>
      <c r="DF100" s="272"/>
      <c r="DG100" s="272"/>
      <c r="DH100" s="272"/>
      <c r="DI100" s="272"/>
      <c r="DJ100" s="272"/>
      <c r="DK100" s="272"/>
      <c r="DL100" s="272"/>
      <c r="DM100" s="272"/>
      <c r="DN100" s="272"/>
      <c r="DO100" s="272"/>
      <c r="DP100" s="272">
        <v>320000000</v>
      </c>
      <c r="DQ100" s="272"/>
      <c r="DR100" s="272"/>
      <c r="DS100" s="272"/>
      <c r="DT100" s="272"/>
      <c r="DU100" s="272">
        <v>841740000</v>
      </c>
      <c r="DV100" s="272"/>
      <c r="DW100" s="272"/>
      <c r="DX100" s="272">
        <v>1750000000</v>
      </c>
      <c r="DY100" s="272"/>
      <c r="DZ100" s="272">
        <v>41222792</v>
      </c>
      <c r="EA100" s="272"/>
      <c r="EB100" s="272">
        <v>1325608000</v>
      </c>
      <c r="EC100" s="272"/>
      <c r="ED100" s="272"/>
      <c r="EE100" s="272">
        <v>196599145</v>
      </c>
      <c r="EF100" s="272"/>
      <c r="EG100" s="272"/>
      <c r="EH100" s="272"/>
      <c r="EI100" s="272">
        <f>1019000000+1517640</f>
        <v>1020517640</v>
      </c>
      <c r="EJ100" s="272">
        <v>5000000000</v>
      </c>
      <c r="EK100" s="272"/>
      <c r="EL100" s="272"/>
      <c r="EM100" s="272"/>
      <c r="EN100" s="272"/>
      <c r="EO100" s="272"/>
      <c r="EP100" s="272"/>
      <c r="EQ100" s="272">
        <f>3055078345+3140000000+2079000000</f>
        <v>8274078345</v>
      </c>
      <c r="ER100" s="303">
        <f>SUM(ES100:ET100)</f>
        <v>82647384739</v>
      </c>
      <c r="ES100" s="303">
        <f>SUM(EU100:EV100)+EW100+SUM(EY100:FA100)+FJ100+FR100</f>
        <v>0</v>
      </c>
      <c r="ET100" s="303">
        <f>EX100+SUM(FB100:FI100)+SUM(FK100:FQ100)+SUM(FS100:FU100)</f>
        <v>82647384739</v>
      </c>
      <c r="EU100" s="272"/>
      <c r="EV100" s="272"/>
      <c r="EW100" s="272"/>
      <c r="EX100" s="272"/>
      <c r="EY100" s="272"/>
      <c r="EZ100" s="272"/>
      <c r="FA100" s="272"/>
      <c r="FB100" s="272">
        <f>126464000+133000000</f>
        <v>259464000</v>
      </c>
      <c r="FC100" s="272">
        <f>31472500453+2805000000</f>
        <v>34277500453</v>
      </c>
      <c r="FD100" s="272"/>
      <c r="FE100" s="272">
        <f>1328000000+1915724000+12815232000</f>
        <v>16058956000</v>
      </c>
      <c r="FF100" s="272">
        <v>67790000</v>
      </c>
      <c r="FG100" s="272">
        <v>770743490</v>
      </c>
      <c r="FH100" s="272">
        <f>191000000+560870820</f>
        <v>751870820</v>
      </c>
      <c r="FI100" s="272">
        <f>49375000+295746000</f>
        <v>345121000</v>
      </c>
      <c r="FJ100" s="272"/>
      <c r="FK100" s="272">
        <v>1413871000</v>
      </c>
      <c r="FL100" s="272">
        <v>15539000000</v>
      </c>
      <c r="FM100" s="272">
        <f>18850000+6680000000</f>
        <v>6698850000</v>
      </c>
      <c r="FN100" s="272">
        <f>2631236200+2643000000+481800000</f>
        <v>5756036200</v>
      </c>
      <c r="FO100" s="272">
        <v>20000000</v>
      </c>
      <c r="FP100" s="272">
        <f>8710000+502140400</f>
        <v>510850400</v>
      </c>
      <c r="FQ100" s="272">
        <v>177271000</v>
      </c>
      <c r="FR100" s="272"/>
      <c r="FS100" s="272"/>
      <c r="FT100" s="272"/>
      <c r="FU100" s="272">
        <v>60376</v>
      </c>
      <c r="FV100" s="303">
        <f>SUM(FW100:FX100)</f>
        <v>0</v>
      </c>
      <c r="FW100" s="303">
        <f>SUM(FY100:FY100)</f>
        <v>0</v>
      </c>
      <c r="FX100" s="303">
        <f>SUM(FZ100:GA100)</f>
        <v>0</v>
      </c>
      <c r="FY100" s="272"/>
      <c r="FZ100" s="272"/>
      <c r="GA100" s="272"/>
      <c r="GB100" s="319"/>
      <c r="GC100" s="319"/>
      <c r="GD100" s="319"/>
      <c r="GE100" s="319"/>
      <c r="GF100" s="319"/>
      <c r="GG100" s="319"/>
    </row>
    <row r="101" spans="1:189" s="300" customFormat="1" ht="17.25" customHeight="1">
      <c r="A101" s="296"/>
      <c r="B101" s="290" t="s">
        <v>136</v>
      </c>
      <c r="C101" s="297"/>
      <c r="D101" s="297"/>
      <c r="E101" s="298"/>
      <c r="F101" s="296"/>
      <c r="G101" s="296"/>
      <c r="H101" s="296"/>
      <c r="I101" s="296"/>
      <c r="J101" s="297"/>
      <c r="K101" s="296"/>
      <c r="L101" s="296"/>
      <c r="M101" s="296"/>
      <c r="N101" s="296"/>
      <c r="O101" s="296"/>
      <c r="P101" s="296"/>
      <c r="Q101" s="296"/>
      <c r="R101" s="296"/>
      <c r="S101" s="296"/>
      <c r="T101" s="296"/>
      <c r="U101" s="296"/>
      <c r="V101" s="296"/>
      <c r="W101" s="296"/>
      <c r="X101" s="296"/>
      <c r="Y101" s="296"/>
      <c r="Z101" s="296"/>
      <c r="AA101" s="296"/>
      <c r="AB101" s="296"/>
      <c r="AC101" s="296"/>
      <c r="AD101" s="296"/>
      <c r="AE101" s="296"/>
      <c r="AF101" s="296"/>
      <c r="AG101" s="296"/>
      <c r="AH101" s="296"/>
      <c r="AI101" s="296"/>
      <c r="AJ101" s="296"/>
      <c r="AK101" s="296"/>
      <c r="AL101" s="296"/>
      <c r="AM101" s="296"/>
      <c r="AN101" s="296"/>
      <c r="AO101" s="296"/>
      <c r="AP101" s="296"/>
      <c r="AQ101" s="296"/>
      <c r="AR101" s="296"/>
      <c r="AS101" s="296"/>
      <c r="AT101" s="296"/>
      <c r="AU101" s="296"/>
      <c r="AV101" s="296"/>
      <c r="AW101" s="296"/>
      <c r="AX101" s="296"/>
      <c r="AY101" s="296"/>
      <c r="AZ101" s="296"/>
      <c r="BA101" s="296"/>
      <c r="BB101" s="296"/>
      <c r="BC101" s="296"/>
      <c r="BD101" s="296"/>
      <c r="BE101" s="299"/>
      <c r="BF101" s="298"/>
      <c r="BG101" s="299"/>
      <c r="BH101" s="291"/>
      <c r="BI101" s="291"/>
      <c r="BJ101" s="291"/>
      <c r="BK101" s="291"/>
      <c r="BL101" s="291"/>
      <c r="BM101" s="291"/>
      <c r="BN101" s="291"/>
      <c r="BO101" s="291"/>
      <c r="BP101" s="291"/>
      <c r="BQ101" s="291"/>
      <c r="BR101" s="291"/>
      <c r="BS101" s="291"/>
      <c r="BT101" s="291"/>
      <c r="BU101" s="291"/>
      <c r="BV101" s="291"/>
      <c r="BW101" s="291"/>
      <c r="BX101" s="291"/>
      <c r="BY101" s="291"/>
      <c r="BZ101" s="291"/>
      <c r="CA101" s="291"/>
      <c r="CB101" s="291"/>
      <c r="CC101" s="291"/>
      <c r="CD101" s="291"/>
      <c r="CE101" s="291"/>
      <c r="CF101" s="291"/>
      <c r="CG101" s="291"/>
      <c r="CH101" s="291"/>
      <c r="CI101" s="298"/>
      <c r="CJ101" s="298"/>
      <c r="CK101" s="298"/>
      <c r="CL101" s="291"/>
      <c r="CM101" s="291"/>
      <c r="CN101" s="291"/>
      <c r="CO101" s="290" t="s">
        <v>136</v>
      </c>
      <c r="CP101" s="298">
        <f t="shared" ref="CP101:CV101" si="183">CP102+CP103</f>
        <v>8460125894</v>
      </c>
      <c r="CQ101" s="298">
        <f t="shared" si="183"/>
        <v>8460125894</v>
      </c>
      <c r="CR101" s="298">
        <f t="shared" si="183"/>
        <v>1294115321</v>
      </c>
      <c r="CS101" s="291">
        <f t="shared" si="183"/>
        <v>0</v>
      </c>
      <c r="CT101" s="291">
        <f t="shared" si="183"/>
        <v>1294115321</v>
      </c>
      <c r="CU101" s="291">
        <f t="shared" si="183"/>
        <v>0</v>
      </c>
      <c r="CV101" s="291">
        <f t="shared" si="183"/>
        <v>0</v>
      </c>
      <c r="CW101" s="298">
        <f>SUM(CX101:EU101)</f>
        <v>7166010573</v>
      </c>
      <c r="CX101" s="291">
        <f t="shared" ref="CX101:FG101" si="184">CX102+CX103</f>
        <v>0</v>
      </c>
      <c r="CY101" s="291">
        <f t="shared" si="184"/>
        <v>0</v>
      </c>
      <c r="CZ101" s="291">
        <f t="shared" si="184"/>
        <v>0</v>
      </c>
      <c r="DA101" s="291">
        <f t="shared" si="184"/>
        <v>0</v>
      </c>
      <c r="DB101" s="291">
        <f t="shared" si="184"/>
        <v>0</v>
      </c>
      <c r="DC101" s="291">
        <f t="shared" si="184"/>
        <v>0</v>
      </c>
      <c r="DD101" s="291">
        <f t="shared" si="184"/>
        <v>0</v>
      </c>
      <c r="DE101" s="291">
        <f t="shared" si="184"/>
        <v>0</v>
      </c>
      <c r="DF101" s="291">
        <f>DF102+DF103</f>
        <v>0</v>
      </c>
      <c r="DG101" s="291">
        <f t="shared" si="184"/>
        <v>0</v>
      </c>
      <c r="DH101" s="291">
        <f t="shared" si="184"/>
        <v>0</v>
      </c>
      <c r="DI101" s="291">
        <f t="shared" si="184"/>
        <v>0</v>
      </c>
      <c r="DJ101" s="291">
        <f t="shared" si="184"/>
        <v>0</v>
      </c>
      <c r="DK101" s="291">
        <f t="shared" si="184"/>
        <v>0</v>
      </c>
      <c r="DL101" s="291">
        <f>DL102+DL103</f>
        <v>0</v>
      </c>
      <c r="DM101" s="291">
        <f>DM102+DM103</f>
        <v>2188328982</v>
      </c>
      <c r="DN101" s="291">
        <f t="shared" si="184"/>
        <v>0</v>
      </c>
      <c r="DO101" s="291">
        <f t="shared" si="184"/>
        <v>284999400</v>
      </c>
      <c r="DP101" s="291">
        <f t="shared" si="184"/>
        <v>0</v>
      </c>
      <c r="DQ101" s="291">
        <f t="shared" si="184"/>
        <v>0</v>
      </c>
      <c r="DR101" s="291">
        <f t="shared" si="184"/>
        <v>0</v>
      </c>
      <c r="DS101" s="291">
        <f t="shared" si="184"/>
        <v>0</v>
      </c>
      <c r="DT101" s="291">
        <f t="shared" si="184"/>
        <v>0</v>
      </c>
      <c r="DU101" s="291">
        <f t="shared" si="184"/>
        <v>0</v>
      </c>
      <c r="DV101" s="291">
        <f t="shared" si="184"/>
        <v>0</v>
      </c>
      <c r="DW101" s="291">
        <f t="shared" si="184"/>
        <v>0</v>
      </c>
      <c r="DX101" s="291">
        <f>DX102+DX103</f>
        <v>0</v>
      </c>
      <c r="DY101" s="291">
        <f t="shared" si="184"/>
        <v>0</v>
      </c>
      <c r="DZ101" s="291">
        <f t="shared" si="184"/>
        <v>0</v>
      </c>
      <c r="EA101" s="291">
        <f t="shared" si="184"/>
        <v>0</v>
      </c>
      <c r="EB101" s="291">
        <f t="shared" si="184"/>
        <v>0</v>
      </c>
      <c r="EC101" s="291">
        <f t="shared" si="184"/>
        <v>0</v>
      </c>
      <c r="ED101" s="291">
        <f t="shared" si="184"/>
        <v>0</v>
      </c>
      <c r="EE101" s="291">
        <f t="shared" si="184"/>
        <v>2033048660</v>
      </c>
      <c r="EF101" s="291">
        <f t="shared" si="184"/>
        <v>0</v>
      </c>
      <c r="EG101" s="291">
        <f t="shared" si="184"/>
        <v>0</v>
      </c>
      <c r="EH101" s="291">
        <f t="shared" si="184"/>
        <v>0</v>
      </c>
      <c r="EI101" s="291">
        <f>EI102+EI103</f>
        <v>0</v>
      </c>
      <c r="EJ101" s="291">
        <f>EJ102+EJ103</f>
        <v>0</v>
      </c>
      <c r="EK101" s="291">
        <f t="shared" si="184"/>
        <v>0</v>
      </c>
      <c r="EL101" s="291">
        <f t="shared" si="184"/>
        <v>0</v>
      </c>
      <c r="EM101" s="291">
        <f t="shared" si="184"/>
        <v>0</v>
      </c>
      <c r="EN101" s="291">
        <f t="shared" si="184"/>
        <v>0</v>
      </c>
      <c r="EO101" s="291">
        <f t="shared" si="184"/>
        <v>0</v>
      </c>
      <c r="EP101" s="291">
        <f t="shared" si="184"/>
        <v>0</v>
      </c>
      <c r="EQ101" s="291">
        <f>EQ102+EQ103</f>
        <v>2659633531</v>
      </c>
      <c r="ER101" s="298">
        <f>ER102+ER103</f>
        <v>0</v>
      </c>
      <c r="ES101" s="298">
        <f>ES102+ES103</f>
        <v>0</v>
      </c>
      <c r="ET101" s="298">
        <f>ET102+ET103</f>
        <v>0</v>
      </c>
      <c r="EU101" s="291">
        <f t="shared" si="184"/>
        <v>0</v>
      </c>
      <c r="EV101" s="291">
        <f t="shared" si="184"/>
        <v>0</v>
      </c>
      <c r="EW101" s="291">
        <f t="shared" si="184"/>
        <v>0</v>
      </c>
      <c r="EX101" s="291">
        <f t="shared" si="184"/>
        <v>0</v>
      </c>
      <c r="EY101" s="291">
        <f>EY102+EY103</f>
        <v>0</v>
      </c>
      <c r="EZ101" s="291">
        <f>EZ102+EZ103</f>
        <v>0</v>
      </c>
      <c r="FA101" s="291">
        <f t="shared" si="184"/>
        <v>0</v>
      </c>
      <c r="FB101" s="291">
        <f t="shared" si="184"/>
        <v>0</v>
      </c>
      <c r="FC101" s="291">
        <f t="shared" si="184"/>
        <v>0</v>
      </c>
      <c r="FD101" s="291">
        <f t="shared" si="184"/>
        <v>0</v>
      </c>
      <c r="FE101" s="291">
        <f t="shared" si="184"/>
        <v>0</v>
      </c>
      <c r="FF101" s="291">
        <f t="shared" si="184"/>
        <v>0</v>
      </c>
      <c r="FG101" s="291">
        <f t="shared" si="184"/>
        <v>0</v>
      </c>
      <c r="FH101" s="291">
        <f t="shared" ref="FH101:FT101" si="185">FH102+FH103</f>
        <v>0</v>
      </c>
      <c r="FI101" s="291">
        <f t="shared" si="185"/>
        <v>0</v>
      </c>
      <c r="FJ101" s="291">
        <f t="shared" si="185"/>
        <v>0</v>
      </c>
      <c r="FK101" s="291">
        <f t="shared" si="185"/>
        <v>0</v>
      </c>
      <c r="FL101" s="291">
        <f t="shared" si="185"/>
        <v>0</v>
      </c>
      <c r="FM101" s="291">
        <f t="shared" si="185"/>
        <v>0</v>
      </c>
      <c r="FN101" s="291">
        <f t="shared" si="185"/>
        <v>0</v>
      </c>
      <c r="FO101" s="291">
        <f t="shared" si="185"/>
        <v>0</v>
      </c>
      <c r="FP101" s="291">
        <f t="shared" si="185"/>
        <v>0</v>
      </c>
      <c r="FQ101" s="291">
        <f t="shared" si="185"/>
        <v>0</v>
      </c>
      <c r="FR101" s="291">
        <f t="shared" si="185"/>
        <v>0</v>
      </c>
      <c r="FS101" s="291">
        <f t="shared" si="185"/>
        <v>0</v>
      </c>
      <c r="FT101" s="291">
        <f t="shared" si="185"/>
        <v>0</v>
      </c>
      <c r="FU101" s="291">
        <f>FU102+FU103</f>
        <v>0</v>
      </c>
      <c r="FV101" s="298">
        <f t="shared" ref="FV101:GA101" si="186">FV102+FV103</f>
        <v>0</v>
      </c>
      <c r="FW101" s="298">
        <f t="shared" si="186"/>
        <v>0</v>
      </c>
      <c r="FX101" s="298">
        <f t="shared" si="186"/>
        <v>0</v>
      </c>
      <c r="FY101" s="291">
        <f>FY102+FY103</f>
        <v>0</v>
      </c>
      <c r="FZ101" s="291">
        <f t="shared" si="186"/>
        <v>0</v>
      </c>
      <c r="GA101" s="291">
        <f t="shared" si="186"/>
        <v>0</v>
      </c>
      <c r="GB101" s="319"/>
      <c r="GC101" s="319"/>
      <c r="GD101" s="319"/>
      <c r="GE101" s="319"/>
      <c r="GF101" s="319"/>
      <c r="GG101" s="319"/>
    </row>
    <row r="102" spans="1:189" s="264" customFormat="1" ht="17.25" customHeight="1">
      <c r="A102" s="301"/>
      <c r="B102" s="271" t="s">
        <v>183</v>
      </c>
      <c r="C102" s="302"/>
      <c r="D102" s="302"/>
      <c r="E102" s="303"/>
      <c r="F102" s="304"/>
      <c r="G102" s="304"/>
      <c r="H102" s="304"/>
      <c r="I102" s="304"/>
      <c r="J102" s="302"/>
      <c r="K102" s="272"/>
      <c r="L102" s="272"/>
      <c r="M102" s="272"/>
      <c r="N102" s="272"/>
      <c r="O102" s="272"/>
      <c r="P102" s="272"/>
      <c r="Q102" s="272"/>
      <c r="R102" s="272"/>
      <c r="S102" s="272"/>
      <c r="T102" s="272"/>
      <c r="U102" s="272"/>
      <c r="V102" s="272"/>
      <c r="W102" s="272"/>
      <c r="X102" s="272"/>
      <c r="Y102" s="272"/>
      <c r="Z102" s="272"/>
      <c r="AA102" s="272"/>
      <c r="AB102" s="272"/>
      <c r="AC102" s="272"/>
      <c r="AD102" s="272"/>
      <c r="AE102" s="272"/>
      <c r="AF102" s="272"/>
      <c r="AG102" s="272"/>
      <c r="AH102" s="272"/>
      <c r="AI102" s="272"/>
      <c r="AJ102" s="272"/>
      <c r="AK102" s="272"/>
      <c r="AL102" s="272"/>
      <c r="AM102" s="272"/>
      <c r="AN102" s="272"/>
      <c r="AO102" s="272"/>
      <c r="AP102" s="272"/>
      <c r="AQ102" s="272"/>
      <c r="AR102" s="272"/>
      <c r="AS102" s="272"/>
      <c r="AT102" s="272"/>
      <c r="AU102" s="272"/>
      <c r="AV102" s="272"/>
      <c r="AW102" s="272"/>
      <c r="AX102" s="272"/>
      <c r="AY102" s="272"/>
      <c r="AZ102" s="272"/>
      <c r="BA102" s="272"/>
      <c r="BB102" s="272"/>
      <c r="BC102" s="272"/>
      <c r="BD102" s="272"/>
      <c r="BE102" s="305"/>
      <c r="BF102" s="303"/>
      <c r="BG102" s="305"/>
      <c r="BH102" s="272"/>
      <c r="BI102" s="272"/>
      <c r="BJ102" s="272"/>
      <c r="BK102" s="272"/>
      <c r="BL102" s="272"/>
      <c r="BM102" s="272"/>
      <c r="BN102" s="272"/>
      <c r="BO102" s="272"/>
      <c r="BP102" s="272"/>
      <c r="BQ102" s="272"/>
      <c r="BR102" s="272"/>
      <c r="BS102" s="272"/>
      <c r="BT102" s="272"/>
      <c r="BU102" s="272"/>
      <c r="BV102" s="272"/>
      <c r="BW102" s="272"/>
      <c r="BX102" s="272"/>
      <c r="BY102" s="272"/>
      <c r="BZ102" s="272"/>
      <c r="CA102" s="272"/>
      <c r="CB102" s="272"/>
      <c r="CC102" s="272"/>
      <c r="CD102" s="272"/>
      <c r="CE102" s="272"/>
      <c r="CF102" s="272"/>
      <c r="CG102" s="272"/>
      <c r="CH102" s="272"/>
      <c r="CI102" s="303"/>
      <c r="CJ102" s="303"/>
      <c r="CK102" s="303"/>
      <c r="CL102" s="272"/>
      <c r="CM102" s="272"/>
      <c r="CN102" s="272"/>
      <c r="CO102" s="272" t="s">
        <v>183</v>
      </c>
      <c r="CP102" s="303">
        <f>CQ102+EV102+FK102+GB102</f>
        <v>1294115321</v>
      </c>
      <c r="CQ102" s="303">
        <f>CR102+CW102</f>
        <v>1294115321</v>
      </c>
      <c r="CR102" s="303">
        <f>SUM(CS102:CV102)</f>
        <v>1294115321</v>
      </c>
      <c r="CS102" s="272">
        <f t="shared" ref="CS102:CV103" si="187">F12-CS12-CS99</f>
        <v>0</v>
      </c>
      <c r="CT102" s="272">
        <f t="shared" si="187"/>
        <v>1294115321</v>
      </c>
      <c r="CU102" s="272">
        <f t="shared" si="187"/>
        <v>0</v>
      </c>
      <c r="CV102" s="272">
        <f t="shared" si="187"/>
        <v>0</v>
      </c>
      <c r="CW102" s="303">
        <f>SUM(CX102:EQ102)</f>
        <v>0</v>
      </c>
      <c r="CX102" s="272">
        <f t="shared" ref="CX102:DG103" si="188">K12-CX12-CX99</f>
        <v>0</v>
      </c>
      <c r="CY102" s="272">
        <f t="shared" si="188"/>
        <v>0</v>
      </c>
      <c r="CZ102" s="272">
        <f t="shared" si="188"/>
        <v>0</v>
      </c>
      <c r="DA102" s="272">
        <f t="shared" si="188"/>
        <v>0</v>
      </c>
      <c r="DB102" s="272">
        <f t="shared" si="188"/>
        <v>0</v>
      </c>
      <c r="DC102" s="272">
        <f t="shared" si="188"/>
        <v>0</v>
      </c>
      <c r="DD102" s="272">
        <f t="shared" si="188"/>
        <v>0</v>
      </c>
      <c r="DE102" s="272">
        <f t="shared" si="188"/>
        <v>0</v>
      </c>
      <c r="DF102" s="272">
        <f t="shared" si="188"/>
        <v>0</v>
      </c>
      <c r="DG102" s="272">
        <f t="shared" si="188"/>
        <v>0</v>
      </c>
      <c r="DH102" s="272">
        <f t="shared" ref="DH102:DQ103" si="189">U12-DH12-DH99</f>
        <v>0</v>
      </c>
      <c r="DI102" s="272">
        <f t="shared" si="189"/>
        <v>0</v>
      </c>
      <c r="DJ102" s="272">
        <f t="shared" si="189"/>
        <v>0</v>
      </c>
      <c r="DK102" s="272">
        <f t="shared" si="189"/>
        <v>0</v>
      </c>
      <c r="DL102" s="272">
        <f t="shared" si="189"/>
        <v>0</v>
      </c>
      <c r="DM102" s="272">
        <f t="shared" si="189"/>
        <v>0</v>
      </c>
      <c r="DN102" s="272">
        <f t="shared" si="189"/>
        <v>0</v>
      </c>
      <c r="DO102" s="272">
        <f t="shared" si="189"/>
        <v>0</v>
      </c>
      <c r="DP102" s="272">
        <f t="shared" si="189"/>
        <v>0</v>
      </c>
      <c r="DQ102" s="272">
        <f t="shared" si="189"/>
        <v>0</v>
      </c>
      <c r="DR102" s="272">
        <f t="shared" ref="DR102:EA103" si="190">AE12-DR12-DR99</f>
        <v>0</v>
      </c>
      <c r="DS102" s="272">
        <f t="shared" si="190"/>
        <v>0</v>
      </c>
      <c r="DT102" s="272">
        <f t="shared" si="190"/>
        <v>0</v>
      </c>
      <c r="DU102" s="272">
        <f t="shared" si="190"/>
        <v>0</v>
      </c>
      <c r="DV102" s="272">
        <f t="shared" si="190"/>
        <v>0</v>
      </c>
      <c r="DW102" s="272">
        <f t="shared" si="190"/>
        <v>0</v>
      </c>
      <c r="DX102" s="272">
        <f t="shared" si="190"/>
        <v>0</v>
      </c>
      <c r="DY102" s="272">
        <f t="shared" si="190"/>
        <v>0</v>
      </c>
      <c r="DZ102" s="272">
        <f t="shared" si="190"/>
        <v>0</v>
      </c>
      <c r="EA102" s="272">
        <f t="shared" si="190"/>
        <v>0</v>
      </c>
      <c r="EB102" s="272">
        <f t="shared" ref="EB102:EK103" si="191">AO12-EB12-EB99</f>
        <v>0</v>
      </c>
      <c r="EC102" s="272">
        <f t="shared" si="191"/>
        <v>0</v>
      </c>
      <c r="ED102" s="272">
        <f t="shared" si="191"/>
        <v>0</v>
      </c>
      <c r="EE102" s="272">
        <f t="shared" si="191"/>
        <v>0</v>
      </c>
      <c r="EF102" s="272">
        <f t="shared" si="191"/>
        <v>0</v>
      </c>
      <c r="EG102" s="272">
        <f t="shared" si="191"/>
        <v>0</v>
      </c>
      <c r="EH102" s="272">
        <f t="shared" si="191"/>
        <v>0</v>
      </c>
      <c r="EI102" s="272">
        <f t="shared" si="191"/>
        <v>0</v>
      </c>
      <c r="EJ102" s="272">
        <f t="shared" si="191"/>
        <v>0</v>
      </c>
      <c r="EK102" s="272">
        <f t="shared" si="191"/>
        <v>0</v>
      </c>
      <c r="EL102" s="272">
        <f t="shared" ref="EL102:EQ103" si="192">AY12-EL12-EL99</f>
        <v>0</v>
      </c>
      <c r="EM102" s="272">
        <f t="shared" si="192"/>
        <v>0</v>
      </c>
      <c r="EN102" s="272">
        <f t="shared" si="192"/>
        <v>0</v>
      </c>
      <c r="EO102" s="272">
        <f t="shared" si="192"/>
        <v>0</v>
      </c>
      <c r="EP102" s="272">
        <f t="shared" si="192"/>
        <v>0</v>
      </c>
      <c r="EQ102" s="272">
        <f t="shared" si="192"/>
        <v>0</v>
      </c>
      <c r="ER102" s="303">
        <f>SUM(ES102:ET102)</f>
        <v>0</v>
      </c>
      <c r="ES102" s="303">
        <f>SUM(EU102:EV102)+EW102+SUM(EY102:FA102)+FJ102+FR102</f>
        <v>0</v>
      </c>
      <c r="ET102" s="303">
        <f>EX102+SUM(FB102:FI102)+SUM(FK102:FQ102)+SUM(FS102:FU102)</f>
        <v>0</v>
      </c>
      <c r="EU102" s="272">
        <f t="shared" ref="EU102:FD103" si="193">BH12-EU12-EU99</f>
        <v>0</v>
      </c>
      <c r="EV102" s="272">
        <f t="shared" si="193"/>
        <v>0</v>
      </c>
      <c r="EW102" s="272">
        <f t="shared" si="193"/>
        <v>0</v>
      </c>
      <c r="EX102" s="272">
        <f t="shared" si="193"/>
        <v>0</v>
      </c>
      <c r="EY102" s="272">
        <f t="shared" si="193"/>
        <v>0</v>
      </c>
      <c r="EZ102" s="272">
        <f t="shared" si="193"/>
        <v>0</v>
      </c>
      <c r="FA102" s="272">
        <f t="shared" si="193"/>
        <v>0</v>
      </c>
      <c r="FB102" s="272">
        <f t="shared" si="193"/>
        <v>0</v>
      </c>
      <c r="FC102" s="272">
        <f t="shared" si="193"/>
        <v>0</v>
      </c>
      <c r="FD102" s="272">
        <f t="shared" si="193"/>
        <v>0</v>
      </c>
      <c r="FE102" s="272">
        <f t="shared" ref="FE102:FN103" si="194">BR12-FE12-FE99</f>
        <v>0</v>
      </c>
      <c r="FF102" s="272">
        <f t="shared" si="194"/>
        <v>0</v>
      </c>
      <c r="FG102" s="272">
        <f t="shared" si="194"/>
        <v>0</v>
      </c>
      <c r="FH102" s="272">
        <f t="shared" si="194"/>
        <v>0</v>
      </c>
      <c r="FI102" s="272">
        <f t="shared" si="194"/>
        <v>0</v>
      </c>
      <c r="FJ102" s="272">
        <f t="shared" si="194"/>
        <v>0</v>
      </c>
      <c r="FK102" s="272">
        <f t="shared" si="194"/>
        <v>0</v>
      </c>
      <c r="FL102" s="272">
        <f t="shared" si="194"/>
        <v>0</v>
      </c>
      <c r="FM102" s="272">
        <f t="shared" si="194"/>
        <v>0</v>
      </c>
      <c r="FN102" s="272">
        <f t="shared" si="194"/>
        <v>0</v>
      </c>
      <c r="FO102" s="272">
        <f t="shared" ref="FO102:FX103" si="195">CB12-FO12-FO99</f>
        <v>0</v>
      </c>
      <c r="FP102" s="272">
        <f t="shared" si="195"/>
        <v>0</v>
      </c>
      <c r="FQ102" s="272">
        <f t="shared" si="195"/>
        <v>0</v>
      </c>
      <c r="FR102" s="272">
        <f t="shared" si="195"/>
        <v>0</v>
      </c>
      <c r="FS102" s="272">
        <f t="shared" si="195"/>
        <v>0</v>
      </c>
      <c r="FT102" s="272">
        <f t="shared" si="195"/>
        <v>0</v>
      </c>
      <c r="FU102" s="272">
        <f t="shared" si="195"/>
        <v>0</v>
      </c>
      <c r="FV102" s="303">
        <f t="shared" si="195"/>
        <v>0</v>
      </c>
      <c r="FW102" s="303">
        <f t="shared" si="195"/>
        <v>0</v>
      </c>
      <c r="FX102" s="303">
        <f t="shared" si="195"/>
        <v>0</v>
      </c>
      <c r="FY102" s="272">
        <f t="shared" ref="FY102:GA103" si="196">CL12-FY12-FY99</f>
        <v>0</v>
      </c>
      <c r="FZ102" s="272">
        <f t="shared" si="196"/>
        <v>0</v>
      </c>
      <c r="GA102" s="272">
        <f t="shared" si="196"/>
        <v>0</v>
      </c>
      <c r="GB102" s="319"/>
      <c r="GC102" s="319"/>
      <c r="GD102" s="319"/>
      <c r="GE102" s="319"/>
      <c r="GF102" s="319"/>
      <c r="GG102" s="319"/>
    </row>
    <row r="103" spans="1:189" s="264" customFormat="1" ht="17.25" customHeight="1">
      <c r="A103" s="306"/>
      <c r="B103" s="307" t="s">
        <v>184</v>
      </c>
      <c r="C103" s="308"/>
      <c r="D103" s="308"/>
      <c r="E103" s="278"/>
      <c r="F103" s="309"/>
      <c r="G103" s="309"/>
      <c r="H103" s="309"/>
      <c r="I103" s="309"/>
      <c r="J103" s="308"/>
      <c r="K103" s="283"/>
      <c r="L103" s="283"/>
      <c r="M103" s="283"/>
      <c r="N103" s="283"/>
      <c r="O103" s="283"/>
      <c r="P103" s="283"/>
      <c r="Q103" s="283"/>
      <c r="R103" s="283"/>
      <c r="S103" s="283"/>
      <c r="T103" s="283"/>
      <c r="U103" s="283"/>
      <c r="V103" s="283"/>
      <c r="W103" s="283"/>
      <c r="X103" s="283"/>
      <c r="Y103" s="283"/>
      <c r="Z103" s="283"/>
      <c r="AA103" s="283"/>
      <c r="AB103" s="283"/>
      <c r="AC103" s="283"/>
      <c r="AD103" s="283"/>
      <c r="AE103" s="283"/>
      <c r="AF103" s="283"/>
      <c r="AG103" s="283"/>
      <c r="AH103" s="283"/>
      <c r="AI103" s="283"/>
      <c r="AJ103" s="283"/>
      <c r="AK103" s="283"/>
      <c r="AL103" s="283"/>
      <c r="AM103" s="283"/>
      <c r="AN103" s="283"/>
      <c r="AO103" s="283"/>
      <c r="AP103" s="283"/>
      <c r="AQ103" s="283"/>
      <c r="AR103" s="283"/>
      <c r="AS103" s="283"/>
      <c r="AT103" s="283"/>
      <c r="AU103" s="283"/>
      <c r="AV103" s="283"/>
      <c r="AW103" s="283"/>
      <c r="AX103" s="283"/>
      <c r="AY103" s="283"/>
      <c r="AZ103" s="283"/>
      <c r="BA103" s="283"/>
      <c r="BB103" s="283"/>
      <c r="BC103" s="283"/>
      <c r="BD103" s="283"/>
      <c r="BE103" s="310"/>
      <c r="BF103" s="278"/>
      <c r="BG103" s="310"/>
      <c r="BH103" s="283"/>
      <c r="BI103" s="283"/>
      <c r="BJ103" s="283"/>
      <c r="BK103" s="283"/>
      <c r="BL103" s="283"/>
      <c r="BM103" s="283"/>
      <c r="BN103" s="283"/>
      <c r="BO103" s="283"/>
      <c r="BP103" s="283"/>
      <c r="BQ103" s="283"/>
      <c r="BR103" s="283"/>
      <c r="BS103" s="283"/>
      <c r="BT103" s="283"/>
      <c r="BU103" s="283"/>
      <c r="BV103" s="283"/>
      <c r="BW103" s="283"/>
      <c r="BX103" s="283"/>
      <c r="BY103" s="283"/>
      <c r="BZ103" s="283"/>
      <c r="CA103" s="283"/>
      <c r="CB103" s="283"/>
      <c r="CC103" s="283"/>
      <c r="CD103" s="283"/>
      <c r="CE103" s="283"/>
      <c r="CF103" s="283"/>
      <c r="CG103" s="283"/>
      <c r="CH103" s="283"/>
      <c r="CI103" s="278"/>
      <c r="CJ103" s="278"/>
      <c r="CK103" s="278"/>
      <c r="CL103" s="283"/>
      <c r="CM103" s="283"/>
      <c r="CN103" s="283"/>
      <c r="CO103" s="283" t="s">
        <v>184</v>
      </c>
      <c r="CP103" s="278">
        <f>CQ103+EV103+FK103+GB103</f>
        <v>7166010573</v>
      </c>
      <c r="CQ103" s="278">
        <f>CR103+CW103</f>
        <v>7166010573</v>
      </c>
      <c r="CR103" s="278">
        <f>SUM(CS103:CV103)</f>
        <v>0</v>
      </c>
      <c r="CS103" s="283">
        <f t="shared" si="187"/>
        <v>0</v>
      </c>
      <c r="CT103" s="283">
        <f t="shared" si="187"/>
        <v>0</v>
      </c>
      <c r="CU103" s="283">
        <f t="shared" si="187"/>
        <v>0</v>
      </c>
      <c r="CV103" s="283">
        <f t="shared" si="187"/>
        <v>0</v>
      </c>
      <c r="CW103" s="278">
        <f>SUM(CX103:EQ103)</f>
        <v>7166010573</v>
      </c>
      <c r="CX103" s="283">
        <f t="shared" si="188"/>
        <v>0</v>
      </c>
      <c r="CY103" s="283">
        <f t="shared" si="188"/>
        <v>0</v>
      </c>
      <c r="CZ103" s="283">
        <f t="shared" si="188"/>
        <v>0</v>
      </c>
      <c r="DA103" s="283">
        <f t="shared" si="188"/>
        <v>0</v>
      </c>
      <c r="DB103" s="283">
        <f t="shared" si="188"/>
        <v>0</v>
      </c>
      <c r="DC103" s="283">
        <f t="shared" si="188"/>
        <v>0</v>
      </c>
      <c r="DD103" s="283">
        <f t="shared" si="188"/>
        <v>0</v>
      </c>
      <c r="DE103" s="283">
        <f t="shared" si="188"/>
        <v>0</v>
      </c>
      <c r="DF103" s="283">
        <f t="shared" si="188"/>
        <v>0</v>
      </c>
      <c r="DG103" s="283">
        <f t="shared" si="188"/>
        <v>0</v>
      </c>
      <c r="DH103" s="283">
        <f t="shared" si="189"/>
        <v>0</v>
      </c>
      <c r="DI103" s="283">
        <f t="shared" si="189"/>
        <v>0</v>
      </c>
      <c r="DJ103" s="283">
        <f t="shared" si="189"/>
        <v>0</v>
      </c>
      <c r="DK103" s="283">
        <f t="shared" si="189"/>
        <v>0</v>
      </c>
      <c r="DL103" s="283">
        <f t="shared" si="189"/>
        <v>0</v>
      </c>
      <c r="DM103" s="283">
        <f t="shared" si="189"/>
        <v>2188328982</v>
      </c>
      <c r="DN103" s="283">
        <f t="shared" si="189"/>
        <v>0</v>
      </c>
      <c r="DO103" s="283">
        <f t="shared" si="189"/>
        <v>284999400</v>
      </c>
      <c r="DP103" s="283">
        <f t="shared" si="189"/>
        <v>0</v>
      </c>
      <c r="DQ103" s="283">
        <f t="shared" si="189"/>
        <v>0</v>
      </c>
      <c r="DR103" s="283">
        <f t="shared" si="190"/>
        <v>0</v>
      </c>
      <c r="DS103" s="283">
        <f t="shared" si="190"/>
        <v>0</v>
      </c>
      <c r="DT103" s="283">
        <f t="shared" si="190"/>
        <v>0</v>
      </c>
      <c r="DU103" s="283">
        <f t="shared" si="190"/>
        <v>0</v>
      </c>
      <c r="DV103" s="283">
        <f t="shared" si="190"/>
        <v>0</v>
      </c>
      <c r="DW103" s="283">
        <f t="shared" si="190"/>
        <v>0</v>
      </c>
      <c r="DX103" s="283">
        <f t="shared" si="190"/>
        <v>0</v>
      </c>
      <c r="DY103" s="283">
        <f t="shared" si="190"/>
        <v>0</v>
      </c>
      <c r="DZ103" s="283">
        <f t="shared" si="190"/>
        <v>0</v>
      </c>
      <c r="EA103" s="283">
        <f t="shared" si="190"/>
        <v>0</v>
      </c>
      <c r="EB103" s="283">
        <f t="shared" si="191"/>
        <v>0</v>
      </c>
      <c r="EC103" s="283">
        <f t="shared" si="191"/>
        <v>0</v>
      </c>
      <c r="ED103" s="283">
        <f t="shared" si="191"/>
        <v>0</v>
      </c>
      <c r="EE103" s="283">
        <f t="shared" si="191"/>
        <v>2033048660</v>
      </c>
      <c r="EF103" s="283">
        <f t="shared" si="191"/>
        <v>0</v>
      </c>
      <c r="EG103" s="283">
        <f t="shared" si="191"/>
        <v>0</v>
      </c>
      <c r="EH103" s="283">
        <f t="shared" si="191"/>
        <v>0</v>
      </c>
      <c r="EI103" s="283">
        <f t="shared" si="191"/>
        <v>0</v>
      </c>
      <c r="EJ103" s="283">
        <f t="shared" si="191"/>
        <v>0</v>
      </c>
      <c r="EK103" s="283">
        <f t="shared" si="191"/>
        <v>0</v>
      </c>
      <c r="EL103" s="283">
        <f t="shared" si="192"/>
        <v>0</v>
      </c>
      <c r="EM103" s="283">
        <f t="shared" si="192"/>
        <v>0</v>
      </c>
      <c r="EN103" s="283">
        <f t="shared" si="192"/>
        <v>0</v>
      </c>
      <c r="EO103" s="283">
        <f t="shared" si="192"/>
        <v>0</v>
      </c>
      <c r="EP103" s="283">
        <f t="shared" si="192"/>
        <v>0</v>
      </c>
      <c r="EQ103" s="283">
        <f t="shared" si="192"/>
        <v>2659633531</v>
      </c>
      <c r="ER103" s="278">
        <f>SUM(ES103:ET103)</f>
        <v>0</v>
      </c>
      <c r="ES103" s="278">
        <f>SUM(EU103:EV103)+EW103+SUM(EY103:FA103)+FJ103+FR103</f>
        <v>0</v>
      </c>
      <c r="ET103" s="278">
        <f>EX103+SUM(FB103:FI103)+SUM(FK103:FQ103)+SUM(FS103:FU103)</f>
        <v>0</v>
      </c>
      <c r="EU103" s="283">
        <f t="shared" si="193"/>
        <v>0</v>
      </c>
      <c r="EV103" s="283">
        <f t="shared" si="193"/>
        <v>0</v>
      </c>
      <c r="EW103" s="283">
        <f t="shared" si="193"/>
        <v>0</v>
      </c>
      <c r="EX103" s="283">
        <f t="shared" si="193"/>
        <v>0</v>
      </c>
      <c r="EY103" s="283">
        <f t="shared" si="193"/>
        <v>0</v>
      </c>
      <c r="EZ103" s="283">
        <f t="shared" si="193"/>
        <v>0</v>
      </c>
      <c r="FA103" s="283">
        <f t="shared" si="193"/>
        <v>0</v>
      </c>
      <c r="FB103" s="283">
        <f t="shared" si="193"/>
        <v>0</v>
      </c>
      <c r="FC103" s="283">
        <f t="shared" si="193"/>
        <v>0</v>
      </c>
      <c r="FD103" s="283">
        <f t="shared" si="193"/>
        <v>0</v>
      </c>
      <c r="FE103" s="283">
        <f t="shared" si="194"/>
        <v>0</v>
      </c>
      <c r="FF103" s="283">
        <f t="shared" si="194"/>
        <v>0</v>
      </c>
      <c r="FG103" s="283">
        <f t="shared" si="194"/>
        <v>0</v>
      </c>
      <c r="FH103" s="283">
        <f t="shared" si="194"/>
        <v>0</v>
      </c>
      <c r="FI103" s="283">
        <f t="shared" si="194"/>
        <v>0</v>
      </c>
      <c r="FJ103" s="283">
        <f t="shared" si="194"/>
        <v>0</v>
      </c>
      <c r="FK103" s="283">
        <f t="shared" si="194"/>
        <v>0</v>
      </c>
      <c r="FL103" s="283">
        <f t="shared" si="194"/>
        <v>0</v>
      </c>
      <c r="FM103" s="283">
        <f t="shared" si="194"/>
        <v>0</v>
      </c>
      <c r="FN103" s="283">
        <f t="shared" si="194"/>
        <v>0</v>
      </c>
      <c r="FO103" s="283">
        <f t="shared" si="195"/>
        <v>0</v>
      </c>
      <c r="FP103" s="283">
        <f t="shared" si="195"/>
        <v>0</v>
      </c>
      <c r="FQ103" s="283">
        <f t="shared" si="195"/>
        <v>0</v>
      </c>
      <c r="FR103" s="283">
        <f t="shared" si="195"/>
        <v>0</v>
      </c>
      <c r="FS103" s="283">
        <f t="shared" si="195"/>
        <v>0</v>
      </c>
      <c r="FT103" s="283">
        <f t="shared" si="195"/>
        <v>0</v>
      </c>
      <c r="FU103" s="283">
        <f t="shared" si="195"/>
        <v>0</v>
      </c>
      <c r="FV103" s="278">
        <f t="shared" si="195"/>
        <v>0</v>
      </c>
      <c r="FW103" s="278">
        <f t="shared" si="195"/>
        <v>0</v>
      </c>
      <c r="FX103" s="278">
        <f t="shared" si="195"/>
        <v>0</v>
      </c>
      <c r="FY103" s="283">
        <f t="shared" si="196"/>
        <v>0</v>
      </c>
      <c r="FZ103" s="283">
        <f t="shared" si="196"/>
        <v>0</v>
      </c>
      <c r="GA103" s="283">
        <f t="shared" si="196"/>
        <v>0</v>
      </c>
      <c r="GB103" s="319"/>
      <c r="GC103" s="319"/>
      <c r="GD103" s="319"/>
      <c r="GE103" s="319"/>
      <c r="GF103" s="319"/>
      <c r="GG103" s="319"/>
    </row>
    <row r="104" spans="1:189" s="92" customFormat="1" ht="17.25" customHeight="1">
      <c r="A104" s="154"/>
      <c r="B104" s="155"/>
      <c r="C104" s="202"/>
      <c r="D104" s="202"/>
      <c r="E104" s="203"/>
      <c r="F104" s="156"/>
      <c r="G104" s="156"/>
      <c r="H104" s="156"/>
      <c r="I104" s="156"/>
      <c r="J104" s="202"/>
      <c r="K104" s="157"/>
      <c r="L104" s="157"/>
      <c r="M104" s="157"/>
      <c r="N104" s="157"/>
      <c r="O104" s="157"/>
      <c r="P104" s="157"/>
      <c r="Q104" s="157"/>
      <c r="R104" s="157"/>
      <c r="S104" s="157"/>
      <c r="T104" s="157"/>
      <c r="U104" s="157"/>
      <c r="V104" s="157"/>
      <c r="W104" s="157"/>
      <c r="X104" s="157"/>
      <c r="Y104" s="157"/>
      <c r="Z104" s="157"/>
      <c r="AA104" s="157"/>
      <c r="AB104" s="157"/>
      <c r="AC104" s="157"/>
      <c r="AD104" s="157"/>
      <c r="AE104" s="157"/>
      <c r="AF104" s="157"/>
      <c r="AG104" s="157"/>
      <c r="AH104" s="157"/>
      <c r="AI104" s="157"/>
      <c r="AJ104" s="157"/>
      <c r="AK104" s="157"/>
      <c r="AL104" s="157"/>
      <c r="AM104" s="157"/>
      <c r="AN104" s="157"/>
      <c r="AO104" s="157"/>
      <c r="AP104" s="157"/>
      <c r="AQ104" s="157"/>
      <c r="AR104" s="157"/>
      <c r="AS104" s="157"/>
      <c r="AT104" s="157"/>
      <c r="AU104" s="157"/>
      <c r="AV104" s="157"/>
      <c r="AW104" s="157"/>
      <c r="AX104" s="157"/>
      <c r="AY104" s="157"/>
      <c r="AZ104" s="157"/>
      <c r="BA104" s="157"/>
      <c r="BB104" s="157"/>
      <c r="BC104" s="157"/>
      <c r="BD104" s="157"/>
      <c r="BE104" s="204"/>
      <c r="BF104" s="204"/>
      <c r="BG104" s="204"/>
      <c r="BH104" s="157"/>
      <c r="BI104" s="157"/>
      <c r="BJ104" s="157"/>
      <c r="BK104" s="157"/>
      <c r="BL104" s="157"/>
      <c r="BM104" s="157"/>
      <c r="BN104" s="157"/>
      <c r="BO104" s="157"/>
      <c r="BP104" s="157"/>
      <c r="BQ104" s="157"/>
      <c r="BR104" s="157"/>
      <c r="BS104" s="157"/>
      <c r="BT104" s="157"/>
      <c r="BU104" s="157"/>
      <c r="BV104" s="157"/>
      <c r="BW104" s="157"/>
      <c r="BX104" s="157"/>
      <c r="BY104" s="157"/>
      <c r="BZ104" s="157"/>
      <c r="CA104" s="157"/>
      <c r="CB104" s="157"/>
      <c r="CC104" s="157"/>
      <c r="CD104" s="157"/>
      <c r="CE104" s="157"/>
      <c r="CF104" s="157"/>
      <c r="CG104" s="157"/>
      <c r="CH104" s="157"/>
      <c r="CI104" s="203"/>
      <c r="CJ104" s="203"/>
      <c r="CK104" s="203"/>
      <c r="CL104" s="157"/>
      <c r="CM104" s="157"/>
      <c r="CN104" s="157"/>
      <c r="CO104" s="293"/>
      <c r="CP104" s="336"/>
      <c r="CQ104" s="336"/>
      <c r="CR104" s="336"/>
      <c r="CS104" s="293"/>
      <c r="CT104" s="293"/>
      <c r="CU104" s="293"/>
      <c r="CV104" s="293"/>
      <c r="CW104" s="336"/>
      <c r="CX104" s="293"/>
      <c r="CY104" s="293"/>
      <c r="CZ104" s="293"/>
      <c r="DA104" s="293"/>
      <c r="DB104" s="293"/>
      <c r="DC104" s="293"/>
      <c r="DD104" s="293"/>
      <c r="DE104" s="293"/>
      <c r="DF104" s="293"/>
      <c r="DG104" s="293"/>
      <c r="DH104" s="293"/>
      <c r="DI104" s="293"/>
      <c r="DJ104" s="293"/>
      <c r="DK104" s="293"/>
      <c r="DL104" s="293"/>
      <c r="DM104" s="293"/>
      <c r="DN104" s="293"/>
      <c r="DO104" s="293"/>
      <c r="DP104" s="293"/>
      <c r="DQ104" s="293"/>
      <c r="DR104" s="293"/>
      <c r="DS104" s="293"/>
      <c r="DT104" s="293"/>
      <c r="DU104" s="293"/>
      <c r="DV104" s="293"/>
      <c r="DW104" s="293"/>
      <c r="DX104" s="293"/>
      <c r="DY104" s="293"/>
      <c r="DZ104" s="293"/>
      <c r="EA104" s="293"/>
      <c r="EB104" s="293"/>
      <c r="EC104" s="293"/>
      <c r="ED104" s="293"/>
      <c r="EE104" s="293"/>
      <c r="EF104" s="293"/>
      <c r="EG104" s="293"/>
      <c r="EH104" s="293"/>
      <c r="EI104" s="293"/>
      <c r="EJ104" s="293"/>
      <c r="EK104" s="293"/>
      <c r="EL104" s="293"/>
      <c r="EM104" s="293"/>
      <c r="EN104" s="293"/>
      <c r="EO104" s="293"/>
      <c r="EP104" s="293"/>
      <c r="EQ104" s="293"/>
      <c r="ER104" s="336"/>
      <c r="ES104" s="336"/>
      <c r="ET104" s="336"/>
      <c r="EU104" s="293"/>
      <c r="EV104" s="293"/>
      <c r="EW104" s="293"/>
      <c r="EX104" s="293"/>
      <c r="EY104" s="293"/>
      <c r="EZ104" s="293"/>
      <c r="FA104" s="293"/>
      <c r="FB104" s="293"/>
      <c r="FC104" s="293"/>
      <c r="FD104" s="293"/>
      <c r="FE104" s="293"/>
      <c r="FF104" s="293"/>
      <c r="FG104" s="293"/>
      <c r="FH104" s="293"/>
      <c r="FI104" s="293"/>
      <c r="FJ104" s="293"/>
      <c r="FK104" s="293"/>
      <c r="FL104" s="293"/>
      <c r="FM104" s="293"/>
      <c r="FN104" s="293"/>
      <c r="FO104" s="293"/>
      <c r="FP104" s="293"/>
      <c r="FQ104" s="293"/>
      <c r="FR104" s="293"/>
      <c r="FS104" s="293"/>
      <c r="FT104" s="293"/>
      <c r="FU104" s="293"/>
      <c r="FV104" s="336"/>
      <c r="FW104" s="336"/>
      <c r="FX104" s="336"/>
      <c r="FY104" s="293"/>
      <c r="FZ104" s="293"/>
      <c r="GA104" s="293"/>
      <c r="GB104" s="319"/>
      <c r="GC104" s="319"/>
      <c r="GD104" s="319"/>
      <c r="GE104" s="319"/>
      <c r="GF104" s="319"/>
      <c r="GG104" s="319"/>
    </row>
    <row r="105" spans="1:189" s="89" customFormat="1" ht="14.25" customHeight="1">
      <c r="A105" s="105"/>
      <c r="B105" s="106"/>
      <c r="C105" s="205">
        <v>125611939829</v>
      </c>
      <c r="D105" s="205"/>
      <c r="E105" s="205"/>
      <c r="J105" s="205"/>
      <c r="M105" s="89">
        <f>SUM(M13:U13)</f>
        <v>457406663509</v>
      </c>
      <c r="V105" s="89">
        <f>SUM(V13:Z13)</f>
        <v>6424398100</v>
      </c>
      <c r="AA105" s="89">
        <f>SUM(AA13:AA13)</f>
        <v>184571400</v>
      </c>
      <c r="AC105" s="89">
        <f>+AC13</f>
        <v>1972350420</v>
      </c>
      <c r="AF105" s="89">
        <f>SUM(AF13:AI13)</f>
        <v>55882071576</v>
      </c>
      <c r="AJ105" s="89">
        <f>SUM(AJ13:AL13)</f>
        <v>12042134547</v>
      </c>
      <c r="AM105" s="89">
        <f>AM13+AN13</f>
        <v>9668205792</v>
      </c>
      <c r="AO105" s="89">
        <f>+AO13</f>
        <v>24061571000</v>
      </c>
      <c r="AP105" s="89">
        <f>AP13</f>
        <v>1314429823</v>
      </c>
      <c r="AQ105" s="89">
        <f>SUM(AQ13:AY13)</f>
        <v>25235148957</v>
      </c>
      <c r="BA105" s="89">
        <f>BA13-BA14-BA65</f>
        <v>30217281873</v>
      </c>
      <c r="BE105" s="205"/>
      <c r="BF105" s="205"/>
      <c r="BG105" s="205"/>
      <c r="CI105" s="205"/>
      <c r="CJ105" s="205"/>
      <c r="CK105" s="205"/>
      <c r="CN105" s="294"/>
      <c r="CP105" s="319">
        <f>C105</f>
        <v>125611939829</v>
      </c>
      <c r="CQ105" s="337"/>
      <c r="CR105" s="319">
        <f>CR12-CR93</f>
        <v>46799464409</v>
      </c>
      <c r="CS105" s="292">
        <f>CS12-CS93</f>
        <v>30741533000</v>
      </c>
      <c r="CT105" s="292">
        <f>CT12-CT93</f>
        <v>12303977000</v>
      </c>
      <c r="CU105" s="292">
        <f>CU12-CU93</f>
        <v>2589357000</v>
      </c>
      <c r="CV105" s="292">
        <f>CV12-CV93</f>
        <v>1164597409</v>
      </c>
      <c r="CW105" s="319">
        <f>CW13-CW94</f>
        <v>639788127876</v>
      </c>
      <c r="CX105" s="292">
        <f t="shared" ref="CX105:EP105" si="197">CX13-CX94</f>
        <v>6991600000</v>
      </c>
      <c r="CY105" s="292">
        <f t="shared" si="197"/>
        <v>3249020000</v>
      </c>
      <c r="CZ105" s="292">
        <f>CZ13-CZ94</f>
        <v>381712057509</v>
      </c>
      <c r="DA105" s="292">
        <f t="shared" si="197"/>
        <v>28029225000</v>
      </c>
      <c r="DB105" s="292">
        <f t="shared" si="197"/>
        <v>1615790000</v>
      </c>
      <c r="DC105" s="292">
        <f t="shared" si="197"/>
        <v>29515801000</v>
      </c>
      <c r="DD105" s="292">
        <f t="shared" si="197"/>
        <v>5060180000</v>
      </c>
      <c r="DE105" s="292">
        <f t="shared" si="197"/>
        <v>7279200000</v>
      </c>
      <c r="DF105" s="292">
        <f t="shared" si="197"/>
        <v>1096200000</v>
      </c>
      <c r="DG105" s="292">
        <f t="shared" si="197"/>
        <v>1524000000</v>
      </c>
      <c r="DH105" s="292">
        <f t="shared" si="197"/>
        <v>21714000</v>
      </c>
      <c r="DI105" s="292">
        <f t="shared" si="197"/>
        <v>0</v>
      </c>
      <c r="DJ105" s="292">
        <f t="shared" si="197"/>
        <v>193800000</v>
      </c>
      <c r="DK105" s="292">
        <f t="shared" si="197"/>
        <v>0</v>
      </c>
      <c r="DL105" s="292">
        <f t="shared" si="197"/>
        <v>47080000</v>
      </c>
      <c r="DM105" s="292">
        <f>DM13-DM94</f>
        <v>3995189118</v>
      </c>
      <c r="DN105" s="292">
        <f t="shared" si="197"/>
        <v>184571400</v>
      </c>
      <c r="DO105" s="292">
        <f t="shared" si="197"/>
        <v>315080670</v>
      </c>
      <c r="DP105" s="292">
        <f t="shared" si="197"/>
        <v>1652350420</v>
      </c>
      <c r="DQ105" s="292">
        <f t="shared" si="197"/>
        <v>3658549728</v>
      </c>
      <c r="DR105" s="292">
        <f t="shared" si="197"/>
        <v>616506600</v>
      </c>
      <c r="DS105" s="292">
        <f t="shared" si="197"/>
        <v>5645407000</v>
      </c>
      <c r="DT105" s="292">
        <f t="shared" si="197"/>
        <v>103600000</v>
      </c>
      <c r="DU105" s="292">
        <f t="shared" si="197"/>
        <v>45329040000</v>
      </c>
      <c r="DV105" s="292">
        <f t="shared" si="197"/>
        <v>3962284576</v>
      </c>
      <c r="DW105" s="292">
        <f t="shared" si="197"/>
        <v>3758526000</v>
      </c>
      <c r="DX105" s="292">
        <f t="shared" si="197"/>
        <v>5117032927</v>
      </c>
      <c r="DY105" s="292">
        <f t="shared" si="197"/>
        <v>1388629280</v>
      </c>
      <c r="DZ105" s="292">
        <f t="shared" si="197"/>
        <v>3217746000</v>
      </c>
      <c r="EA105" s="292">
        <f t="shared" si="197"/>
        <v>6409237000</v>
      </c>
      <c r="EB105" s="292">
        <f t="shared" si="197"/>
        <v>22735963000</v>
      </c>
      <c r="EC105" s="292">
        <f t="shared" si="197"/>
        <v>1314429823</v>
      </c>
      <c r="ED105" s="292">
        <f t="shared" si="197"/>
        <v>700000000</v>
      </c>
      <c r="EE105" s="292">
        <f t="shared" si="197"/>
        <v>0</v>
      </c>
      <c r="EF105" s="292">
        <f t="shared" si="197"/>
        <v>920222000</v>
      </c>
      <c r="EG105" s="292">
        <f t="shared" si="197"/>
        <v>3429191152</v>
      </c>
      <c r="EH105" s="292">
        <f t="shared" si="197"/>
        <v>1174088000</v>
      </c>
      <c r="EI105" s="292">
        <f t="shared" si="197"/>
        <v>5611482360</v>
      </c>
      <c r="EJ105" s="292">
        <f t="shared" si="197"/>
        <v>0</v>
      </c>
      <c r="EK105" s="292">
        <f t="shared" si="197"/>
        <v>1318740824</v>
      </c>
      <c r="EL105" s="292">
        <f t="shared" si="197"/>
        <v>1821683710</v>
      </c>
      <c r="EM105" s="292">
        <f t="shared" si="197"/>
        <v>4420850000</v>
      </c>
      <c r="EN105" s="292">
        <f t="shared" si="197"/>
        <v>44022614329</v>
      </c>
      <c r="EO105" s="292">
        <f t="shared" si="197"/>
        <v>459444450</v>
      </c>
      <c r="EP105" s="292">
        <f t="shared" si="197"/>
        <v>170000000</v>
      </c>
      <c r="EQ105" s="292">
        <f>EQ13-EQ94</f>
        <v>0</v>
      </c>
      <c r="ER105" s="319"/>
      <c r="ES105" s="319">
        <f>ES12-ES93</f>
        <v>82420412000</v>
      </c>
      <c r="ET105" s="319">
        <f>ET13-ET94</f>
        <v>59753329013</v>
      </c>
      <c r="EU105" s="292">
        <f>EU12-EU93</f>
        <v>0</v>
      </c>
      <c r="EV105" s="292">
        <f>EV12-EV93</f>
        <v>0</v>
      </c>
      <c r="EW105" s="292">
        <f>EW12-EW93</f>
        <v>0</v>
      </c>
      <c r="EX105" s="292">
        <f>EX13-EX94</f>
        <v>0</v>
      </c>
      <c r="EY105" s="292">
        <f>EY12-EY93</f>
        <v>2687805000</v>
      </c>
      <c r="EZ105" s="292">
        <f>EZ12-EZ93</f>
        <v>39996025000</v>
      </c>
      <c r="FA105" s="292">
        <f>FA12-FA93</f>
        <v>31769484000</v>
      </c>
      <c r="FB105" s="292">
        <f t="shared" ref="FB105:FI105" si="198">FB13-FB94</f>
        <v>4191536000</v>
      </c>
      <c r="FC105" s="292">
        <f t="shared" si="198"/>
        <v>34884499547</v>
      </c>
      <c r="FD105" s="292">
        <f t="shared" si="198"/>
        <v>0</v>
      </c>
      <c r="FE105" s="292">
        <f t="shared" si="198"/>
        <v>1323768000</v>
      </c>
      <c r="FF105" s="292">
        <f t="shared" si="198"/>
        <v>685210000</v>
      </c>
      <c r="FG105" s="292">
        <f t="shared" si="198"/>
        <v>340256510</v>
      </c>
      <c r="FH105" s="292">
        <f t="shared" si="198"/>
        <v>255129180</v>
      </c>
      <c r="FI105" s="292">
        <f t="shared" si="198"/>
        <v>1783879000</v>
      </c>
      <c r="FJ105" s="292">
        <f>FJ12-FJ93</f>
        <v>0</v>
      </c>
      <c r="FK105" s="292">
        <f t="shared" ref="FK105:FQ105" si="199">FK13-FK94</f>
        <v>9300129000</v>
      </c>
      <c r="FL105" s="292">
        <f t="shared" si="199"/>
        <v>0</v>
      </c>
      <c r="FM105" s="292">
        <f t="shared" si="199"/>
        <v>1796150000</v>
      </c>
      <c r="FN105" s="292">
        <f t="shared" si="199"/>
        <v>1785544700</v>
      </c>
      <c r="FO105" s="292">
        <f t="shared" si="199"/>
        <v>0</v>
      </c>
      <c r="FP105" s="292">
        <f t="shared" si="199"/>
        <v>2066149600</v>
      </c>
      <c r="FQ105" s="292">
        <f t="shared" si="199"/>
        <v>1104127476</v>
      </c>
      <c r="FR105" s="292">
        <f>FR12-FR93</f>
        <v>7967098000</v>
      </c>
      <c r="FS105" s="292">
        <f t="shared" ref="FS105:FX105" si="200">FS13-FS94</f>
        <v>0</v>
      </c>
      <c r="FT105" s="292">
        <f t="shared" si="200"/>
        <v>200000000</v>
      </c>
      <c r="FU105" s="292">
        <f t="shared" si="200"/>
        <v>36950000</v>
      </c>
      <c r="FV105" s="319">
        <f t="shared" si="200"/>
        <v>95000000</v>
      </c>
      <c r="FW105" s="319">
        <f t="shared" si="200"/>
        <v>0</v>
      </c>
      <c r="FX105" s="319">
        <f t="shared" si="200"/>
        <v>95000000</v>
      </c>
      <c r="FY105" s="292">
        <f>FY12-FY93</f>
        <v>0</v>
      </c>
      <c r="FZ105" s="292">
        <f>FZ13-FZ94</f>
        <v>0</v>
      </c>
      <c r="GA105" s="292">
        <f>GA13-GA94</f>
        <v>95000000</v>
      </c>
      <c r="GB105" s="319"/>
      <c r="GC105" s="319"/>
      <c r="GD105" s="319"/>
      <c r="GE105" s="319"/>
      <c r="GF105" s="319"/>
      <c r="GG105" s="319"/>
    </row>
    <row r="106" spans="1:189" s="89" customFormat="1" ht="14.25" customHeight="1">
      <c r="A106" s="105"/>
      <c r="B106" s="131"/>
      <c r="C106" s="205">
        <f>+C11+C105</f>
        <v>1098844570253</v>
      </c>
      <c r="D106" s="205"/>
      <c r="E106" s="205"/>
      <c r="J106" s="205"/>
      <c r="BE106" s="205"/>
      <c r="BF106" s="205"/>
      <c r="BG106" s="205"/>
      <c r="CI106" s="205"/>
      <c r="CJ106" s="205"/>
      <c r="CK106" s="205"/>
      <c r="CN106" s="320"/>
      <c r="CO106" s="90"/>
      <c r="CP106" s="319">
        <f>+CP105+CP11</f>
        <v>1090384444359</v>
      </c>
      <c r="CQ106" s="337"/>
      <c r="CR106" s="205"/>
      <c r="CS106" s="292"/>
      <c r="CT106" s="292"/>
      <c r="CU106" s="292"/>
      <c r="CV106" s="292"/>
      <c r="CW106" s="319"/>
      <c r="CX106" s="292"/>
      <c r="CY106" s="292"/>
      <c r="CZ106" s="292"/>
      <c r="DA106" s="292"/>
      <c r="DB106" s="292"/>
      <c r="DC106" s="292"/>
      <c r="DD106" s="292"/>
      <c r="DE106" s="292"/>
      <c r="DF106" s="292"/>
      <c r="DG106" s="292"/>
      <c r="DH106" s="292"/>
      <c r="DI106" s="292"/>
      <c r="DJ106" s="292"/>
      <c r="DK106" s="292"/>
      <c r="DL106" s="292"/>
      <c r="DM106" s="292"/>
      <c r="DN106" s="292"/>
      <c r="DO106" s="292"/>
      <c r="DP106" s="292"/>
      <c r="DQ106" s="292"/>
      <c r="DR106" s="292"/>
      <c r="DS106" s="292"/>
      <c r="DT106" s="292"/>
      <c r="DU106" s="292"/>
      <c r="DV106" s="292"/>
      <c r="DW106" s="292"/>
      <c r="DX106" s="292"/>
      <c r="DY106" s="292"/>
      <c r="DZ106" s="292"/>
      <c r="EA106" s="292"/>
      <c r="EB106" s="292"/>
      <c r="EC106" s="292"/>
      <c r="ED106" s="292"/>
      <c r="EE106" s="292"/>
      <c r="EF106" s="292"/>
      <c r="EG106" s="292"/>
      <c r="EH106" s="292"/>
      <c r="EI106" s="292"/>
      <c r="EJ106" s="292"/>
      <c r="EK106" s="292"/>
      <c r="EL106" s="292"/>
      <c r="EM106" s="292"/>
      <c r="EN106" s="292"/>
      <c r="EO106" s="292"/>
      <c r="EP106" s="292"/>
      <c r="EQ106" s="292"/>
      <c r="ER106" s="319"/>
      <c r="ES106" s="319"/>
      <c r="ET106" s="319"/>
      <c r="EU106" s="292"/>
      <c r="EV106" s="292"/>
      <c r="EW106" s="292"/>
      <c r="EX106" s="292"/>
      <c r="EY106" s="292"/>
      <c r="EZ106" s="292"/>
      <c r="FA106" s="292"/>
      <c r="FB106" s="292"/>
      <c r="FC106" s="292"/>
      <c r="FD106" s="292"/>
      <c r="FE106" s="292"/>
      <c r="FF106" s="292"/>
      <c r="FG106" s="292"/>
      <c r="FH106" s="292"/>
      <c r="FI106" s="292"/>
      <c r="FJ106" s="292"/>
      <c r="FK106" s="292"/>
      <c r="FL106" s="292"/>
      <c r="FM106" s="292"/>
      <c r="FN106" s="292"/>
      <c r="FO106" s="292"/>
      <c r="FP106" s="292"/>
      <c r="FQ106" s="292"/>
      <c r="FR106" s="292"/>
      <c r="FS106" s="292"/>
      <c r="FT106" s="292"/>
      <c r="FU106" s="292"/>
      <c r="FV106" s="319"/>
      <c r="FW106" s="319"/>
      <c r="FX106" s="319"/>
      <c r="FY106" s="292"/>
      <c r="FZ106" s="292"/>
      <c r="GA106" s="292"/>
      <c r="GB106" s="319"/>
      <c r="GC106" s="319"/>
      <c r="GD106" s="319"/>
      <c r="GE106" s="319"/>
      <c r="GF106" s="319"/>
      <c r="GG106" s="319"/>
    </row>
    <row r="107" spans="1:189" s="89" customFormat="1" ht="14.25" customHeight="1">
      <c r="A107" s="105"/>
      <c r="B107" s="106"/>
      <c r="C107" s="319">
        <v>1098844570253</v>
      </c>
      <c r="D107" s="205"/>
      <c r="E107" s="205"/>
      <c r="J107" s="205"/>
      <c r="BE107" s="205"/>
      <c r="BF107" s="205"/>
      <c r="BG107" s="205"/>
      <c r="CI107" s="205"/>
      <c r="CJ107" s="205"/>
      <c r="CK107" s="205"/>
      <c r="CN107" s="320"/>
      <c r="CO107" s="90"/>
      <c r="CP107" s="319">
        <v>1090384444359</v>
      </c>
      <c r="CQ107" s="337"/>
      <c r="CR107" s="205"/>
      <c r="CS107" s="292"/>
      <c r="CT107" s="292"/>
      <c r="CU107" s="292"/>
      <c r="CV107" s="292"/>
      <c r="CW107" s="319"/>
      <c r="CX107" s="292"/>
      <c r="CY107" s="292"/>
      <c r="CZ107" s="292">
        <f>SUM(CZ13:DH13)-SUM(CZ94:DH94)</f>
        <v>455854167509</v>
      </c>
      <c r="DA107" s="292"/>
      <c r="DB107" s="292"/>
      <c r="DC107" s="292"/>
      <c r="DD107" s="292"/>
      <c r="DE107" s="292"/>
      <c r="DF107" s="292"/>
      <c r="DG107" s="292"/>
      <c r="DH107" s="292"/>
      <c r="DI107" s="292">
        <f>SUM(DI13:DM13)-SUM(DI94:DM94)</f>
        <v>4236069118</v>
      </c>
      <c r="DJ107" s="292"/>
      <c r="DK107" s="292"/>
      <c r="DL107" s="292"/>
      <c r="DM107" s="292"/>
      <c r="DN107" s="292">
        <f>DN13-DN94</f>
        <v>184571400</v>
      </c>
      <c r="DO107" s="292">
        <f>DO13-DO94</f>
        <v>315080670</v>
      </c>
      <c r="DP107" s="292">
        <f>DP13-DP94</f>
        <v>1652350420</v>
      </c>
      <c r="DQ107" s="292">
        <f>DQ13-DQ94</f>
        <v>3658549728</v>
      </c>
      <c r="DR107" s="292">
        <f>DR13-DR94</f>
        <v>616506600</v>
      </c>
      <c r="DS107" s="292">
        <f>SUM(DS13:DV13)-SUM(DS94:DV94)</f>
        <v>55040331576</v>
      </c>
      <c r="DT107" s="292"/>
      <c r="DU107" s="292"/>
      <c r="DV107" s="292"/>
      <c r="DW107" s="292">
        <f>SUM(DW13:DY13)-SUM(DW94:DY94)</f>
        <v>10264188207</v>
      </c>
      <c r="DX107" s="292"/>
      <c r="DY107" s="292"/>
      <c r="DZ107" s="292">
        <f>DZ13+EA13-DZ94-EA94</f>
        <v>9626983000</v>
      </c>
      <c r="EA107" s="292"/>
      <c r="EB107" s="292">
        <f>EB13-EB94</f>
        <v>22735963000</v>
      </c>
      <c r="EC107" s="292">
        <f>EC13-EC94</f>
        <v>1314429823</v>
      </c>
      <c r="ED107" s="292">
        <f>SUM(ED13:EL13)-SUM(ED94:EL94)</f>
        <v>14975408046</v>
      </c>
      <c r="EE107" s="292"/>
      <c r="EF107" s="292"/>
      <c r="EG107" s="292"/>
      <c r="EH107" s="292"/>
      <c r="EI107" s="292"/>
      <c r="EJ107" s="292"/>
      <c r="EK107" s="292"/>
      <c r="EL107" s="292"/>
      <c r="EM107" s="292">
        <f>EM13-EM94</f>
        <v>4420850000</v>
      </c>
      <c r="EN107" s="292">
        <f>EN13-EN14-EN65</f>
        <v>30217281873</v>
      </c>
      <c r="EO107" s="292">
        <f>EO13-EO94</f>
        <v>459444450</v>
      </c>
      <c r="EP107" s="292">
        <f>EP13-EP94</f>
        <v>170000000</v>
      </c>
      <c r="EQ107" s="292">
        <f>EQ13-EQ94</f>
        <v>0</v>
      </c>
      <c r="ER107" s="319"/>
      <c r="ES107" s="319"/>
      <c r="ET107" s="319"/>
      <c r="EU107" s="292"/>
      <c r="EV107" s="292"/>
      <c r="EW107" s="292"/>
      <c r="EX107" s="292"/>
      <c r="EY107" s="292">
        <f>+SUM(EY105:FA105)</f>
        <v>74453314000</v>
      </c>
      <c r="EZ107" s="292"/>
      <c r="FA107" s="292"/>
      <c r="FB107" s="292">
        <f>+SUM(FB105:FI105)</f>
        <v>43464278237</v>
      </c>
      <c r="FC107" s="292"/>
      <c r="FD107" s="292"/>
      <c r="FE107" s="292"/>
      <c r="FF107" s="292"/>
      <c r="FG107" s="292"/>
      <c r="FH107" s="292"/>
      <c r="FI107" s="292"/>
      <c r="FJ107" s="292"/>
      <c r="FK107" s="292">
        <f>SUM(FK105:FQ105)</f>
        <v>16052100776</v>
      </c>
      <c r="FL107" s="292"/>
      <c r="FM107" s="292"/>
      <c r="FN107" s="292"/>
      <c r="FO107" s="292"/>
      <c r="FP107" s="292"/>
      <c r="FQ107" s="292"/>
      <c r="FR107" s="292"/>
      <c r="FS107" s="292"/>
      <c r="FT107" s="292"/>
      <c r="FU107" s="292"/>
      <c r="FV107" s="319"/>
      <c r="FW107" s="319"/>
      <c r="FX107" s="319"/>
      <c r="FY107" s="292"/>
      <c r="FZ107" s="292"/>
      <c r="GA107" s="292"/>
      <c r="GB107" s="319"/>
      <c r="GC107" s="319"/>
      <c r="GD107" s="319"/>
      <c r="GE107" s="319"/>
      <c r="GF107" s="319"/>
      <c r="GG107" s="319"/>
    </row>
    <row r="108" spans="1:189" s="89" customFormat="1" ht="14.25" customHeight="1">
      <c r="A108" s="105"/>
      <c r="B108" s="106"/>
      <c r="C108" s="201">
        <f>C106-C107</f>
        <v>0</v>
      </c>
      <c r="D108" s="205"/>
      <c r="E108" s="205"/>
      <c r="J108" s="205"/>
      <c r="BE108" s="205"/>
      <c r="BF108" s="205"/>
      <c r="BG108" s="205"/>
      <c r="CI108" s="205"/>
      <c r="CJ108" s="205"/>
      <c r="CK108" s="205"/>
      <c r="CO108" s="90"/>
      <c r="CP108" s="330">
        <f>CP106-CP107</f>
        <v>0</v>
      </c>
      <c r="CQ108" s="205"/>
      <c r="CR108" s="205"/>
      <c r="CS108" s="292"/>
      <c r="CT108" s="292"/>
      <c r="CU108" s="292"/>
      <c r="CV108" s="292"/>
      <c r="CW108" s="319"/>
      <c r="CX108" s="292"/>
      <c r="CY108" s="292"/>
      <c r="CZ108" s="292"/>
      <c r="DA108" s="292"/>
      <c r="DB108" s="292"/>
      <c r="DC108" s="292"/>
      <c r="DD108" s="292"/>
      <c r="DE108" s="292"/>
      <c r="DF108" s="292"/>
      <c r="DG108" s="292"/>
      <c r="DH108" s="292"/>
      <c r="DI108" s="292"/>
      <c r="DJ108" s="292"/>
      <c r="DK108" s="292"/>
      <c r="DL108" s="292"/>
      <c r="DM108" s="292"/>
      <c r="DN108" s="292"/>
      <c r="DO108" s="292"/>
      <c r="DP108" s="292"/>
      <c r="DQ108" s="292"/>
      <c r="DR108" s="292"/>
      <c r="DS108" s="292"/>
      <c r="DT108" s="292"/>
      <c r="DU108" s="292"/>
      <c r="DV108" s="292"/>
      <c r="DW108" s="292"/>
      <c r="DX108" s="292"/>
      <c r="DY108" s="292"/>
      <c r="DZ108" s="292"/>
      <c r="EA108" s="292"/>
      <c r="EB108" s="292"/>
      <c r="EC108" s="292"/>
      <c r="ED108" s="292"/>
      <c r="EE108" s="292"/>
      <c r="EF108" s="292"/>
      <c r="EG108" s="292"/>
      <c r="EH108" s="292"/>
      <c r="EI108" s="292"/>
      <c r="EJ108" s="292"/>
      <c r="EK108" s="292"/>
      <c r="EL108" s="292"/>
      <c r="EM108" s="292"/>
      <c r="EN108" s="292"/>
      <c r="EO108" s="292"/>
      <c r="EP108" s="292"/>
      <c r="EQ108" s="292"/>
      <c r="ER108" s="319"/>
      <c r="ES108" s="319"/>
      <c r="ET108" s="319"/>
      <c r="EU108" s="292"/>
      <c r="EV108" s="292"/>
      <c r="EW108" s="292"/>
      <c r="EX108" s="292"/>
      <c r="EY108" s="292"/>
      <c r="EZ108" s="292"/>
      <c r="FA108" s="292"/>
      <c r="FB108" s="292"/>
      <c r="FC108" s="292"/>
      <c r="FD108" s="292"/>
      <c r="FE108" s="292"/>
      <c r="FF108" s="292"/>
      <c r="FG108" s="292"/>
      <c r="FH108" s="292"/>
      <c r="FI108" s="292"/>
      <c r="FJ108" s="292"/>
      <c r="FK108" s="292"/>
      <c r="FL108" s="292"/>
      <c r="FM108" s="292"/>
      <c r="FN108" s="292"/>
      <c r="FO108" s="292"/>
      <c r="FP108" s="292"/>
      <c r="FQ108" s="292"/>
      <c r="FR108" s="292"/>
      <c r="FS108" s="292"/>
      <c r="FT108" s="292"/>
      <c r="FU108" s="292"/>
      <c r="FV108" s="319"/>
      <c r="FW108" s="319"/>
      <c r="FX108" s="319"/>
      <c r="FY108" s="292"/>
      <c r="FZ108" s="292"/>
      <c r="GA108" s="292"/>
      <c r="GB108" s="319"/>
      <c r="GC108" s="319"/>
      <c r="GD108" s="319"/>
      <c r="GE108" s="319"/>
      <c r="GF108" s="319"/>
      <c r="GG108" s="319"/>
    </row>
    <row r="109" spans="1:189" s="146" customFormat="1" ht="12" customHeight="1">
      <c r="A109" s="151"/>
      <c r="B109" s="152"/>
      <c r="C109" s="201"/>
      <c r="D109" s="201"/>
      <c r="E109" s="201"/>
      <c r="J109" s="201"/>
      <c r="BE109" s="201"/>
      <c r="BF109" s="201"/>
      <c r="BG109" s="201"/>
      <c r="CI109" s="201"/>
      <c r="CJ109" s="201"/>
      <c r="CK109" s="201"/>
      <c r="CO109" s="329"/>
      <c r="CP109" s="330"/>
      <c r="CQ109" s="330"/>
      <c r="CR109" s="330"/>
      <c r="CS109" s="285"/>
      <c r="CT109" s="285"/>
      <c r="CU109" s="285"/>
      <c r="CV109" s="285"/>
      <c r="CW109" s="330"/>
      <c r="CX109" s="285"/>
      <c r="CY109" s="285"/>
      <c r="CZ109" s="285"/>
      <c r="DA109" s="285"/>
      <c r="DB109" s="285"/>
      <c r="DC109" s="285"/>
      <c r="DD109" s="285"/>
      <c r="DE109" s="285"/>
      <c r="DF109" s="285"/>
      <c r="DG109" s="285"/>
      <c r="DH109" s="285"/>
      <c r="DI109" s="285"/>
      <c r="DJ109" s="285"/>
      <c r="DK109" s="285"/>
      <c r="DL109" s="285"/>
      <c r="DM109" s="285"/>
      <c r="DN109" s="285"/>
      <c r="DO109" s="285"/>
      <c r="DP109" s="285"/>
      <c r="DQ109" s="285"/>
      <c r="DR109" s="285"/>
      <c r="DS109" s="285"/>
      <c r="DT109" s="285"/>
      <c r="DU109" s="285"/>
      <c r="DV109" s="285"/>
      <c r="DW109" s="285"/>
      <c r="DX109" s="285"/>
      <c r="DY109" s="285"/>
      <c r="DZ109" s="285"/>
      <c r="EA109" s="285"/>
      <c r="EB109" s="285"/>
      <c r="EC109" s="285"/>
      <c r="ED109" s="285"/>
      <c r="EE109" s="285"/>
      <c r="EF109" s="285"/>
      <c r="EG109" s="285"/>
      <c r="EH109" s="285"/>
      <c r="EI109" s="285"/>
      <c r="EJ109" s="285"/>
      <c r="EK109" s="285"/>
      <c r="EL109" s="285"/>
      <c r="EM109" s="285"/>
      <c r="EN109" s="285"/>
      <c r="EO109" s="285"/>
      <c r="EP109" s="285"/>
      <c r="EQ109" s="285"/>
      <c r="ER109" s="330"/>
      <c r="ES109" s="330"/>
      <c r="ET109" s="330"/>
      <c r="EU109" s="285"/>
      <c r="EV109" s="285"/>
      <c r="EW109" s="285"/>
      <c r="EX109" s="285"/>
      <c r="EY109" s="285"/>
      <c r="EZ109" s="285"/>
      <c r="FA109" s="285"/>
      <c r="FB109" s="285"/>
      <c r="FC109" s="285"/>
      <c r="FD109" s="285"/>
      <c r="FE109" s="285"/>
      <c r="FF109" s="285"/>
      <c r="FG109" s="285"/>
      <c r="FH109" s="285"/>
      <c r="FI109" s="285"/>
      <c r="FJ109" s="285"/>
      <c r="FK109" s="285"/>
      <c r="FL109" s="285"/>
      <c r="FM109" s="285"/>
      <c r="FN109" s="285"/>
      <c r="FO109" s="285"/>
      <c r="FP109" s="285"/>
      <c r="FQ109" s="285"/>
      <c r="FR109" s="285"/>
      <c r="FS109" s="285"/>
      <c r="FT109" s="285"/>
      <c r="FU109" s="285"/>
      <c r="FV109" s="330"/>
      <c r="FW109" s="330"/>
      <c r="FX109" s="330"/>
      <c r="FY109" s="285"/>
      <c r="FZ109" s="285"/>
      <c r="GA109" s="285"/>
      <c r="GB109" s="330"/>
      <c r="GC109" s="330"/>
      <c r="GD109" s="330"/>
      <c r="GE109" s="330"/>
      <c r="GF109" s="330"/>
      <c r="GG109" s="330"/>
    </row>
    <row r="110" spans="1:189" s="146" customFormat="1" ht="18.75" customHeight="1">
      <c r="A110" s="151"/>
      <c r="B110" s="152"/>
      <c r="C110" s="201"/>
      <c r="D110" s="201"/>
      <c r="E110" s="201"/>
      <c r="J110" s="201"/>
      <c r="BE110" s="201"/>
      <c r="BF110" s="201"/>
      <c r="BG110" s="201"/>
      <c r="CI110" s="201"/>
      <c r="CJ110" s="201"/>
      <c r="CK110" s="201"/>
      <c r="CO110" s="329" t="s">
        <v>136</v>
      </c>
      <c r="CP110" s="330">
        <f>C11-CP11</f>
        <v>8460125894</v>
      </c>
      <c r="CQ110" s="330"/>
      <c r="CR110" s="330"/>
      <c r="CS110" s="285"/>
      <c r="CT110" s="285"/>
      <c r="CU110" s="285"/>
      <c r="CV110" s="285"/>
      <c r="CW110" s="330"/>
      <c r="CX110" s="285"/>
      <c r="CY110" s="285"/>
      <c r="CZ110" s="285"/>
      <c r="DA110" s="285"/>
      <c r="DB110" s="285"/>
      <c r="DC110" s="285"/>
      <c r="DD110" s="285"/>
      <c r="DE110" s="285"/>
      <c r="DF110" s="285"/>
      <c r="DG110" s="285"/>
      <c r="DH110" s="285"/>
      <c r="DI110" s="285"/>
      <c r="DJ110" s="285"/>
      <c r="DK110" s="285"/>
      <c r="DL110" s="285"/>
      <c r="DM110" s="285"/>
      <c r="DN110" s="285"/>
      <c r="DO110" s="285"/>
      <c r="DP110" s="285"/>
      <c r="DQ110" s="285"/>
      <c r="DR110" s="285"/>
      <c r="DS110" s="285"/>
      <c r="DT110" s="285"/>
      <c r="DU110" s="285"/>
      <c r="DV110" s="285"/>
      <c r="DW110" s="285"/>
      <c r="DX110" s="285"/>
      <c r="DY110" s="285"/>
      <c r="DZ110" s="285"/>
      <c r="EA110" s="285"/>
      <c r="EB110" s="285"/>
      <c r="EC110" s="285"/>
      <c r="ED110" s="285"/>
      <c r="EE110" s="285"/>
      <c r="EF110" s="285"/>
      <c r="EG110" s="285"/>
      <c r="EH110" s="285"/>
      <c r="EI110" s="285"/>
      <c r="EJ110" s="285"/>
      <c r="EK110" s="285"/>
      <c r="EL110" s="285"/>
      <c r="EM110" s="285"/>
      <c r="EN110" s="285"/>
      <c r="EO110" s="285"/>
      <c r="EP110" s="285"/>
      <c r="EQ110" s="285"/>
      <c r="ER110" s="330"/>
      <c r="ES110" s="330"/>
      <c r="ET110" s="330"/>
      <c r="EU110" s="285"/>
      <c r="EV110" s="285"/>
      <c r="EW110" s="285"/>
      <c r="EX110" s="285"/>
      <c r="EY110" s="285"/>
      <c r="EZ110" s="285"/>
      <c r="FA110" s="285"/>
      <c r="FB110" s="285"/>
      <c r="FC110" s="285"/>
      <c r="FD110" s="285"/>
      <c r="FE110" s="285"/>
      <c r="FF110" s="285"/>
      <c r="FG110" s="285"/>
      <c r="FH110" s="285"/>
      <c r="FI110" s="285"/>
      <c r="FJ110" s="285"/>
      <c r="FK110" s="285"/>
      <c r="FL110" s="285"/>
      <c r="FM110" s="285"/>
      <c r="FN110" s="285"/>
      <c r="FO110" s="285"/>
      <c r="FP110" s="285"/>
      <c r="FQ110" s="285"/>
      <c r="FR110" s="285"/>
      <c r="FS110" s="285"/>
      <c r="FT110" s="285"/>
      <c r="FU110" s="285"/>
      <c r="FV110" s="330"/>
      <c r="FW110" s="330"/>
      <c r="FX110" s="330"/>
      <c r="FY110" s="285"/>
      <c r="FZ110" s="285"/>
      <c r="GA110" s="285"/>
      <c r="GB110" s="330"/>
      <c r="GC110" s="330"/>
      <c r="GD110" s="330"/>
      <c r="GE110" s="330"/>
      <c r="GF110" s="330"/>
      <c r="GG110" s="330"/>
    </row>
    <row r="111" spans="1:189" s="146" customFormat="1" ht="18.75" customHeight="1">
      <c r="A111" s="151"/>
      <c r="B111" s="152"/>
      <c r="C111" s="201"/>
      <c r="D111" s="201"/>
      <c r="E111" s="201"/>
      <c r="J111" s="201"/>
      <c r="BE111" s="201"/>
      <c r="BF111" s="201"/>
      <c r="BG111" s="201"/>
      <c r="CI111" s="201"/>
      <c r="CJ111" s="201"/>
      <c r="CK111" s="201"/>
      <c r="CO111" s="295"/>
      <c r="CP111" s="330"/>
      <c r="CQ111" s="330"/>
      <c r="CR111" s="330"/>
      <c r="CS111" s="285"/>
      <c r="CT111" s="285"/>
      <c r="CU111" s="285"/>
      <c r="CV111" s="285"/>
      <c r="CW111" s="330"/>
      <c r="CX111" s="285"/>
      <c r="CY111" s="285"/>
      <c r="CZ111" s="285"/>
      <c r="DA111" s="285"/>
      <c r="DB111" s="285"/>
      <c r="DC111" s="285"/>
      <c r="DD111" s="285"/>
      <c r="DE111" s="285"/>
      <c r="DF111" s="285"/>
      <c r="DG111" s="285"/>
      <c r="DH111" s="285"/>
      <c r="DI111" s="285"/>
      <c r="DJ111" s="285"/>
      <c r="DK111" s="285"/>
      <c r="DL111" s="285"/>
      <c r="DM111" s="285"/>
      <c r="DN111" s="285"/>
      <c r="DO111" s="285"/>
      <c r="DP111" s="285"/>
      <c r="DQ111" s="285"/>
      <c r="DR111" s="285"/>
      <c r="DS111" s="285"/>
      <c r="DT111" s="285"/>
      <c r="DU111" s="285"/>
      <c r="DV111" s="285"/>
      <c r="DW111" s="285"/>
      <c r="DX111" s="285"/>
      <c r="DY111" s="285"/>
      <c r="DZ111" s="285"/>
      <c r="EA111" s="285"/>
      <c r="EB111" s="285"/>
      <c r="EC111" s="285"/>
      <c r="ED111" s="285"/>
      <c r="EE111" s="285"/>
      <c r="EF111" s="285"/>
      <c r="EG111" s="285"/>
      <c r="EH111" s="285"/>
      <c r="EI111" s="285"/>
      <c r="EJ111" s="285"/>
      <c r="EK111" s="285"/>
      <c r="EL111" s="285"/>
      <c r="EM111" s="285"/>
      <c r="EN111" s="285"/>
      <c r="EO111" s="285"/>
      <c r="EP111" s="285"/>
      <c r="EQ111" s="285"/>
      <c r="ER111" s="330"/>
      <c r="ES111" s="330"/>
      <c r="ET111" s="330"/>
      <c r="EU111" s="285"/>
      <c r="EV111" s="285"/>
      <c r="EW111" s="285"/>
      <c r="EX111" s="285"/>
      <c r="EY111" s="285"/>
      <c r="EZ111" s="285"/>
      <c r="FA111" s="285"/>
      <c r="FB111" s="285"/>
      <c r="FC111" s="285"/>
      <c r="FD111" s="285"/>
      <c r="FE111" s="285"/>
      <c r="FF111" s="285"/>
      <c r="FG111" s="285"/>
      <c r="FH111" s="285"/>
      <c r="FI111" s="285"/>
      <c r="FJ111" s="285"/>
      <c r="FK111" s="285"/>
      <c r="FL111" s="285"/>
      <c r="FM111" s="285"/>
      <c r="FN111" s="285"/>
      <c r="FO111" s="285"/>
      <c r="FP111" s="285"/>
      <c r="FQ111" s="285"/>
      <c r="FR111" s="285"/>
      <c r="FS111" s="285"/>
      <c r="FT111" s="285"/>
      <c r="FU111" s="285"/>
      <c r="FV111" s="330"/>
      <c r="FW111" s="330"/>
      <c r="FX111" s="330"/>
      <c r="FY111" s="285"/>
      <c r="FZ111" s="285"/>
      <c r="GA111" s="285"/>
      <c r="GB111" s="330"/>
      <c r="GC111" s="330"/>
      <c r="GD111" s="330"/>
      <c r="GE111" s="330"/>
      <c r="GF111" s="330"/>
      <c r="GG111" s="330"/>
    </row>
    <row r="112" spans="1:189" s="146" customFormat="1" ht="18.75" customHeight="1">
      <c r="A112" s="151"/>
      <c r="B112" s="152"/>
      <c r="C112" s="201"/>
      <c r="D112" s="201"/>
      <c r="E112" s="201"/>
      <c r="J112" s="201"/>
      <c r="BE112" s="201"/>
      <c r="BF112" s="201"/>
      <c r="BG112" s="201"/>
      <c r="CI112" s="201"/>
      <c r="CJ112" s="201"/>
      <c r="CK112" s="201"/>
      <c r="CO112" s="295"/>
      <c r="CP112" s="330"/>
      <c r="CQ112" s="330"/>
      <c r="CR112" s="330"/>
      <c r="CS112" s="285"/>
      <c r="CT112" s="285"/>
      <c r="CU112" s="285"/>
      <c r="CV112" s="285"/>
      <c r="CW112" s="330"/>
      <c r="CX112" s="285"/>
      <c r="CY112" s="285"/>
      <c r="CZ112" s="285"/>
      <c r="DA112" s="285"/>
      <c r="DB112" s="285"/>
      <c r="DC112" s="285"/>
      <c r="DD112" s="285"/>
      <c r="DE112" s="285"/>
      <c r="DF112" s="285"/>
      <c r="DG112" s="285"/>
      <c r="DH112" s="285"/>
      <c r="DI112" s="285"/>
      <c r="DJ112" s="285"/>
      <c r="DK112" s="285"/>
      <c r="DL112" s="285"/>
      <c r="DM112" s="285"/>
      <c r="DN112" s="285"/>
      <c r="DO112" s="285"/>
      <c r="DP112" s="285"/>
      <c r="DQ112" s="285"/>
      <c r="DR112" s="285"/>
      <c r="DS112" s="285"/>
      <c r="DT112" s="285"/>
      <c r="DU112" s="285"/>
      <c r="DV112" s="285"/>
      <c r="DW112" s="285"/>
      <c r="DX112" s="285"/>
      <c r="DY112" s="285"/>
      <c r="DZ112" s="285"/>
      <c r="EA112" s="285"/>
      <c r="EB112" s="285"/>
      <c r="EC112" s="285"/>
      <c r="ED112" s="285"/>
      <c r="EE112" s="285"/>
      <c r="EF112" s="285"/>
      <c r="EG112" s="285"/>
      <c r="EH112" s="285"/>
      <c r="EI112" s="285"/>
      <c r="EJ112" s="285"/>
      <c r="EK112" s="285"/>
      <c r="EL112" s="285"/>
      <c r="EM112" s="285"/>
      <c r="EN112" s="285"/>
      <c r="EO112" s="285"/>
      <c r="EP112" s="285"/>
      <c r="EQ112" s="285"/>
      <c r="ER112" s="330"/>
      <c r="ES112" s="330"/>
      <c r="ET112" s="330"/>
      <c r="EU112" s="285"/>
      <c r="EV112" s="285"/>
      <c r="EW112" s="285"/>
      <c r="EX112" s="285"/>
      <c r="EY112" s="285"/>
      <c r="EZ112" s="285"/>
      <c r="FA112" s="285"/>
      <c r="FB112" s="285"/>
      <c r="FC112" s="285"/>
      <c r="FD112" s="285"/>
      <c r="FE112" s="285"/>
      <c r="FF112" s="285"/>
      <c r="FG112" s="285"/>
      <c r="FH112" s="285"/>
      <c r="FI112" s="285"/>
      <c r="FJ112" s="285"/>
      <c r="FK112" s="285"/>
      <c r="FL112" s="285"/>
      <c r="FM112" s="285"/>
      <c r="FN112" s="285"/>
      <c r="FO112" s="285"/>
      <c r="FP112" s="285"/>
      <c r="FQ112" s="285"/>
      <c r="FR112" s="285"/>
      <c r="FS112" s="285"/>
      <c r="FT112" s="285"/>
      <c r="FU112" s="285"/>
      <c r="FV112" s="330"/>
      <c r="FW112" s="330"/>
      <c r="FX112" s="330"/>
      <c r="FY112" s="285"/>
      <c r="FZ112" s="285"/>
      <c r="GA112" s="285"/>
      <c r="GB112" s="330"/>
      <c r="GC112" s="330"/>
      <c r="GD112" s="330"/>
      <c r="GE112" s="330"/>
      <c r="GF112" s="330"/>
      <c r="GG112" s="330"/>
    </row>
    <row r="113" spans="1:189" s="146" customFormat="1" ht="18.75" customHeight="1">
      <c r="A113" s="151"/>
      <c r="B113" s="152"/>
      <c r="C113" s="201"/>
      <c r="D113" s="201"/>
      <c r="E113" s="201"/>
      <c r="J113" s="201"/>
      <c r="BE113" s="201"/>
      <c r="BF113" s="201"/>
      <c r="BG113" s="201"/>
      <c r="CI113" s="201"/>
      <c r="CJ113" s="201"/>
      <c r="CK113" s="201"/>
      <c r="CO113" s="295"/>
      <c r="CP113" s="330"/>
      <c r="CQ113" s="330"/>
      <c r="CR113" s="330"/>
      <c r="CS113" s="285"/>
      <c r="CT113" s="285"/>
      <c r="CU113" s="285"/>
      <c r="CV113" s="285"/>
      <c r="CW113" s="330"/>
      <c r="CX113" s="285"/>
      <c r="CY113" s="285"/>
      <c r="CZ113" s="285"/>
      <c r="DA113" s="285"/>
      <c r="DB113" s="285"/>
      <c r="DC113" s="285"/>
      <c r="DD113" s="285"/>
      <c r="DE113" s="285"/>
      <c r="DF113" s="285"/>
      <c r="DG113" s="285"/>
      <c r="DH113" s="285"/>
      <c r="DI113" s="285"/>
      <c r="DJ113" s="285"/>
      <c r="DK113" s="285"/>
      <c r="DL113" s="285"/>
      <c r="DM113" s="285"/>
      <c r="DN113" s="285"/>
      <c r="DO113" s="285"/>
      <c r="DP113" s="285"/>
      <c r="DQ113" s="285"/>
      <c r="DR113" s="285"/>
      <c r="DS113" s="285"/>
      <c r="DT113" s="285"/>
      <c r="DU113" s="285"/>
      <c r="DV113" s="285"/>
      <c r="DW113" s="285"/>
      <c r="DX113" s="285"/>
      <c r="DY113" s="285"/>
      <c r="DZ113" s="285"/>
      <c r="EA113" s="285"/>
      <c r="EB113" s="285"/>
      <c r="EC113" s="285"/>
      <c r="ED113" s="285"/>
      <c r="EE113" s="285"/>
      <c r="EF113" s="285"/>
      <c r="EG113" s="285"/>
      <c r="EH113" s="285"/>
      <c r="EI113" s="285"/>
      <c r="EJ113" s="285"/>
      <c r="EK113" s="285"/>
      <c r="EL113" s="285"/>
      <c r="EM113" s="285"/>
      <c r="EN113" s="285"/>
      <c r="EO113" s="285"/>
      <c r="EP113" s="285"/>
      <c r="EQ113" s="285"/>
      <c r="ER113" s="330"/>
      <c r="ES113" s="330"/>
      <c r="ET113" s="330"/>
      <c r="EU113" s="285"/>
      <c r="EV113" s="285"/>
      <c r="EW113" s="285"/>
      <c r="EX113" s="285"/>
      <c r="EY113" s="285"/>
      <c r="EZ113" s="285"/>
      <c r="FA113" s="285"/>
      <c r="FB113" s="285"/>
      <c r="FC113" s="285"/>
      <c r="FD113" s="285"/>
      <c r="FE113" s="285"/>
      <c r="FF113" s="285"/>
      <c r="FG113" s="285"/>
      <c r="FH113" s="285"/>
      <c r="FI113" s="285"/>
      <c r="FJ113" s="285"/>
      <c r="FK113" s="285"/>
      <c r="FL113" s="285"/>
      <c r="FM113" s="285"/>
      <c r="FN113" s="285"/>
      <c r="FO113" s="285"/>
      <c r="FP113" s="285"/>
      <c r="FQ113" s="285"/>
      <c r="FR113" s="285"/>
      <c r="FS113" s="285"/>
      <c r="FT113" s="285"/>
      <c r="FU113" s="285"/>
      <c r="FV113" s="330"/>
      <c r="FW113" s="330"/>
      <c r="FX113" s="330"/>
      <c r="FY113" s="285"/>
      <c r="FZ113" s="285"/>
      <c r="GA113" s="285"/>
      <c r="GB113" s="330"/>
      <c r="GC113" s="330"/>
      <c r="GD113" s="330"/>
      <c r="GE113" s="330"/>
      <c r="GF113" s="330"/>
      <c r="GG113" s="330"/>
    </row>
    <row r="114" spans="1:189" s="146" customFormat="1" ht="18.75" customHeight="1">
      <c r="A114" s="151"/>
      <c r="B114" s="152"/>
      <c r="C114" s="201"/>
      <c r="D114" s="201"/>
      <c r="E114" s="201"/>
      <c r="J114" s="201"/>
      <c r="BE114" s="201"/>
      <c r="BF114" s="201"/>
      <c r="BG114" s="201"/>
      <c r="CI114" s="201"/>
      <c r="CJ114" s="201"/>
      <c r="CK114" s="201"/>
      <c r="CO114" s="295"/>
      <c r="CP114" s="330"/>
      <c r="CQ114" s="330"/>
      <c r="CR114" s="330"/>
      <c r="CS114" s="285"/>
      <c r="CT114" s="285"/>
      <c r="CU114" s="285"/>
      <c r="CV114" s="285"/>
      <c r="CW114" s="330"/>
      <c r="CX114" s="285"/>
      <c r="CY114" s="285"/>
      <c r="CZ114" s="285"/>
      <c r="DA114" s="285"/>
      <c r="DB114" s="285"/>
      <c r="DC114" s="285"/>
      <c r="DD114" s="285"/>
      <c r="DE114" s="285"/>
      <c r="DF114" s="285"/>
      <c r="DG114" s="285"/>
      <c r="DH114" s="285"/>
      <c r="DI114" s="285"/>
      <c r="DJ114" s="285"/>
      <c r="DK114" s="285"/>
      <c r="DL114" s="285"/>
      <c r="DM114" s="285"/>
      <c r="DN114" s="285"/>
      <c r="DO114" s="285"/>
      <c r="DP114" s="285"/>
      <c r="DQ114" s="285"/>
      <c r="DR114" s="285"/>
      <c r="DS114" s="285"/>
      <c r="DT114" s="285"/>
      <c r="DU114" s="285"/>
      <c r="DV114" s="285"/>
      <c r="DW114" s="285"/>
      <c r="DX114" s="285"/>
      <c r="DY114" s="285"/>
      <c r="DZ114" s="285"/>
      <c r="EA114" s="285"/>
      <c r="EB114" s="285"/>
      <c r="EC114" s="285"/>
      <c r="ED114" s="285"/>
      <c r="EE114" s="285"/>
      <c r="EF114" s="285"/>
      <c r="EG114" s="285"/>
      <c r="EH114" s="285"/>
      <c r="EI114" s="285"/>
      <c r="EJ114" s="285"/>
      <c r="EK114" s="285"/>
      <c r="EL114" s="285"/>
      <c r="EM114" s="285"/>
      <c r="EN114" s="285"/>
      <c r="EO114" s="285"/>
      <c r="EP114" s="285"/>
      <c r="EQ114" s="285"/>
      <c r="ER114" s="330"/>
      <c r="ES114" s="330"/>
      <c r="ET114" s="330"/>
      <c r="EU114" s="285"/>
      <c r="EV114" s="285"/>
      <c r="EW114" s="285"/>
      <c r="EX114" s="285"/>
      <c r="EY114" s="285"/>
      <c r="EZ114" s="285"/>
      <c r="FA114" s="285"/>
      <c r="FB114" s="285"/>
      <c r="FC114" s="285"/>
      <c r="FD114" s="285"/>
      <c r="FE114" s="285"/>
      <c r="FF114" s="285"/>
      <c r="FG114" s="285"/>
      <c r="FH114" s="285"/>
      <c r="FI114" s="285"/>
      <c r="FJ114" s="285"/>
      <c r="FK114" s="285"/>
      <c r="FL114" s="285"/>
      <c r="FM114" s="285"/>
      <c r="FN114" s="285"/>
      <c r="FO114" s="285"/>
      <c r="FP114" s="285"/>
      <c r="FQ114" s="285"/>
      <c r="FR114" s="285"/>
      <c r="FS114" s="285"/>
      <c r="FT114" s="285"/>
      <c r="FU114" s="285"/>
      <c r="FV114" s="330"/>
      <c r="FW114" s="330"/>
      <c r="FX114" s="330"/>
      <c r="FY114" s="285"/>
      <c r="FZ114" s="285"/>
      <c r="GA114" s="285"/>
      <c r="GB114" s="330"/>
      <c r="GC114" s="330"/>
      <c r="GD114" s="330"/>
      <c r="GE114" s="330"/>
      <c r="GF114" s="330"/>
      <c r="GG114" s="330"/>
    </row>
    <row r="115" spans="1:189" s="146" customFormat="1" ht="18.75" customHeight="1">
      <c r="A115" s="151"/>
      <c r="B115" s="152"/>
      <c r="C115" s="201"/>
      <c r="D115" s="201"/>
      <c r="E115" s="201"/>
      <c r="J115" s="201"/>
      <c r="BE115" s="201"/>
      <c r="BF115" s="201"/>
      <c r="BG115" s="201"/>
      <c r="CI115" s="201"/>
      <c r="CJ115" s="201"/>
      <c r="CK115" s="201"/>
      <c r="CO115" s="295"/>
      <c r="CP115" s="330"/>
      <c r="CQ115" s="330"/>
      <c r="CR115" s="330"/>
      <c r="CS115" s="285"/>
      <c r="CT115" s="285"/>
      <c r="CU115" s="285"/>
      <c r="CV115" s="285"/>
      <c r="CW115" s="330"/>
      <c r="CX115" s="285"/>
      <c r="CY115" s="285"/>
      <c r="CZ115" s="285"/>
      <c r="DA115" s="285"/>
      <c r="DB115" s="285"/>
      <c r="DC115" s="285"/>
      <c r="DD115" s="285"/>
      <c r="DE115" s="285"/>
      <c r="DF115" s="285"/>
      <c r="DG115" s="285"/>
      <c r="DH115" s="285"/>
      <c r="DI115" s="285"/>
      <c r="DJ115" s="285"/>
      <c r="DK115" s="285"/>
      <c r="DL115" s="285"/>
      <c r="DM115" s="285"/>
      <c r="DN115" s="285"/>
      <c r="DO115" s="285"/>
      <c r="DP115" s="285"/>
      <c r="DQ115" s="285"/>
      <c r="DR115" s="285"/>
      <c r="DS115" s="285"/>
      <c r="DT115" s="285"/>
      <c r="DU115" s="285"/>
      <c r="DV115" s="285"/>
      <c r="DW115" s="285"/>
      <c r="DX115" s="285"/>
      <c r="DY115" s="285"/>
      <c r="DZ115" s="285"/>
      <c r="EA115" s="285"/>
      <c r="EB115" s="285"/>
      <c r="EC115" s="285"/>
      <c r="ED115" s="285"/>
      <c r="EE115" s="285"/>
      <c r="EF115" s="285"/>
      <c r="EG115" s="285"/>
      <c r="EH115" s="285"/>
      <c r="EI115" s="285"/>
      <c r="EJ115" s="285"/>
      <c r="EK115" s="285"/>
      <c r="EL115" s="285"/>
      <c r="EM115" s="285"/>
      <c r="EN115" s="285"/>
      <c r="EO115" s="285"/>
      <c r="EP115" s="285"/>
      <c r="EQ115" s="285"/>
      <c r="ER115" s="330"/>
      <c r="ES115" s="330"/>
      <c r="ET115" s="330"/>
      <c r="EU115" s="285"/>
      <c r="EV115" s="285"/>
      <c r="EW115" s="285"/>
      <c r="EX115" s="285"/>
      <c r="EY115" s="285"/>
      <c r="EZ115" s="285"/>
      <c r="FA115" s="285"/>
      <c r="FB115" s="285"/>
      <c r="FC115" s="285"/>
      <c r="FD115" s="285"/>
      <c r="FE115" s="285"/>
      <c r="FF115" s="285"/>
      <c r="FG115" s="285"/>
      <c r="FH115" s="285"/>
      <c r="FI115" s="285"/>
      <c r="FJ115" s="285"/>
      <c r="FK115" s="285"/>
      <c r="FL115" s="285"/>
      <c r="FM115" s="285"/>
      <c r="FN115" s="285"/>
      <c r="FO115" s="285"/>
      <c r="FP115" s="285"/>
      <c r="FQ115" s="285"/>
      <c r="FR115" s="285"/>
      <c r="FS115" s="285"/>
      <c r="FT115" s="285"/>
      <c r="FU115" s="285"/>
      <c r="FV115" s="330"/>
      <c r="FW115" s="330"/>
      <c r="FX115" s="330"/>
      <c r="FY115" s="285"/>
      <c r="FZ115" s="285"/>
      <c r="GA115" s="285"/>
      <c r="GB115" s="330"/>
      <c r="GC115" s="330"/>
      <c r="GD115" s="330"/>
      <c r="GE115" s="330"/>
      <c r="GF115" s="330"/>
      <c r="GG115" s="330"/>
    </row>
    <row r="116" spans="1:189" s="146" customFormat="1" ht="18.75" customHeight="1">
      <c r="A116" s="151"/>
      <c r="B116" s="152"/>
      <c r="C116" s="201"/>
      <c r="D116" s="201"/>
      <c r="E116" s="201"/>
      <c r="J116" s="201"/>
      <c r="BE116" s="201"/>
      <c r="BF116" s="201"/>
      <c r="BG116" s="201"/>
      <c r="CI116" s="201"/>
      <c r="CJ116" s="201"/>
      <c r="CK116" s="201"/>
      <c r="CO116" s="295"/>
      <c r="CP116" s="330"/>
      <c r="CQ116" s="330"/>
      <c r="CR116" s="330"/>
      <c r="CS116" s="285"/>
      <c r="CT116" s="285"/>
      <c r="CU116" s="285"/>
      <c r="CV116" s="285"/>
      <c r="CW116" s="330"/>
      <c r="CX116" s="285"/>
      <c r="CY116" s="285"/>
      <c r="CZ116" s="285"/>
      <c r="DA116" s="285"/>
      <c r="DB116" s="285"/>
      <c r="DC116" s="285"/>
      <c r="DD116" s="285"/>
      <c r="DE116" s="285"/>
      <c r="DF116" s="285"/>
      <c r="DG116" s="285"/>
      <c r="DH116" s="285"/>
      <c r="DI116" s="285"/>
      <c r="DJ116" s="285"/>
      <c r="DK116" s="285"/>
      <c r="DL116" s="285"/>
      <c r="DM116" s="285"/>
      <c r="DN116" s="285"/>
      <c r="DO116" s="285"/>
      <c r="DP116" s="285"/>
      <c r="DQ116" s="285"/>
      <c r="DR116" s="285"/>
      <c r="DS116" s="285"/>
      <c r="DT116" s="285"/>
      <c r="DU116" s="285"/>
      <c r="DV116" s="285"/>
      <c r="DW116" s="285"/>
      <c r="DX116" s="285"/>
      <c r="DY116" s="285"/>
      <c r="DZ116" s="285"/>
      <c r="EA116" s="285"/>
      <c r="EB116" s="285"/>
      <c r="EC116" s="285"/>
      <c r="ED116" s="285"/>
      <c r="EE116" s="285"/>
      <c r="EF116" s="285"/>
      <c r="EG116" s="285"/>
      <c r="EH116" s="285"/>
      <c r="EI116" s="285"/>
      <c r="EJ116" s="285"/>
      <c r="EK116" s="285"/>
      <c r="EL116" s="285"/>
      <c r="EM116" s="285"/>
      <c r="EN116" s="285"/>
      <c r="EO116" s="285"/>
      <c r="EP116" s="285"/>
      <c r="EQ116" s="285"/>
      <c r="ER116" s="330"/>
      <c r="ES116" s="330"/>
      <c r="ET116" s="330"/>
      <c r="EU116" s="285"/>
      <c r="EV116" s="285"/>
      <c r="EW116" s="285"/>
      <c r="EX116" s="285"/>
      <c r="EY116" s="285"/>
      <c r="EZ116" s="285"/>
      <c r="FA116" s="285"/>
      <c r="FB116" s="285"/>
      <c r="FC116" s="285"/>
      <c r="FD116" s="285"/>
      <c r="FE116" s="285"/>
      <c r="FF116" s="285"/>
      <c r="FG116" s="285"/>
      <c r="FH116" s="285"/>
      <c r="FI116" s="285"/>
      <c r="FJ116" s="285"/>
      <c r="FK116" s="285"/>
      <c r="FL116" s="285"/>
      <c r="FM116" s="285"/>
      <c r="FN116" s="285"/>
      <c r="FO116" s="285"/>
      <c r="FP116" s="285"/>
      <c r="FQ116" s="285"/>
      <c r="FR116" s="285"/>
      <c r="FS116" s="285"/>
      <c r="FT116" s="285"/>
      <c r="FU116" s="285"/>
      <c r="FV116" s="330"/>
      <c r="FW116" s="330"/>
      <c r="FX116" s="330"/>
      <c r="FY116" s="285"/>
      <c r="FZ116" s="285"/>
      <c r="GA116" s="285"/>
      <c r="GB116" s="330"/>
      <c r="GC116" s="330"/>
      <c r="GD116" s="330"/>
      <c r="GE116" s="330"/>
      <c r="GF116" s="330"/>
      <c r="GG116" s="330"/>
    </row>
    <row r="117" spans="1:189" s="146" customFormat="1" ht="18.75" customHeight="1">
      <c r="A117" s="151"/>
      <c r="B117" s="152"/>
      <c r="C117" s="201"/>
      <c r="D117" s="201"/>
      <c r="E117" s="201"/>
      <c r="J117" s="201"/>
      <c r="BE117" s="201"/>
      <c r="BF117" s="201"/>
      <c r="BG117" s="201"/>
      <c r="CI117" s="201"/>
      <c r="CJ117" s="201"/>
      <c r="CK117" s="201"/>
      <c r="CO117" s="295"/>
      <c r="CP117" s="330"/>
      <c r="CQ117" s="330"/>
      <c r="CR117" s="330"/>
      <c r="CS117" s="285"/>
      <c r="CT117" s="285"/>
      <c r="CU117" s="285"/>
      <c r="CV117" s="285"/>
      <c r="CW117" s="330"/>
      <c r="CX117" s="285"/>
      <c r="CY117" s="285"/>
      <c r="CZ117" s="285"/>
      <c r="DA117" s="285"/>
      <c r="DB117" s="285"/>
      <c r="DC117" s="285"/>
      <c r="DD117" s="285"/>
      <c r="DE117" s="285"/>
      <c r="DF117" s="285"/>
      <c r="DG117" s="285"/>
      <c r="DH117" s="285"/>
      <c r="DI117" s="285"/>
      <c r="DJ117" s="285"/>
      <c r="DK117" s="285"/>
      <c r="DL117" s="285"/>
      <c r="DM117" s="285"/>
      <c r="DN117" s="285"/>
      <c r="DO117" s="285"/>
      <c r="DP117" s="285"/>
      <c r="DQ117" s="285"/>
      <c r="DR117" s="285"/>
      <c r="DS117" s="285"/>
      <c r="DT117" s="285"/>
      <c r="DU117" s="285"/>
      <c r="DV117" s="285"/>
      <c r="DW117" s="285"/>
      <c r="DX117" s="285"/>
      <c r="DY117" s="285"/>
      <c r="DZ117" s="285"/>
      <c r="EA117" s="285"/>
      <c r="EB117" s="285"/>
      <c r="EC117" s="285"/>
      <c r="ED117" s="285"/>
      <c r="EE117" s="285"/>
      <c r="EF117" s="285"/>
      <c r="EG117" s="285"/>
      <c r="EH117" s="285"/>
      <c r="EI117" s="285"/>
      <c r="EJ117" s="285"/>
      <c r="EK117" s="285"/>
      <c r="EL117" s="285"/>
      <c r="EM117" s="285"/>
      <c r="EN117" s="285"/>
      <c r="EO117" s="285"/>
      <c r="EP117" s="285"/>
      <c r="EQ117" s="285"/>
      <c r="ER117" s="330"/>
      <c r="ES117" s="330"/>
      <c r="ET117" s="330"/>
      <c r="EU117" s="285"/>
      <c r="EV117" s="285"/>
      <c r="EW117" s="285"/>
      <c r="EX117" s="285"/>
      <c r="EY117" s="285"/>
      <c r="EZ117" s="285"/>
      <c r="FA117" s="285"/>
      <c r="FB117" s="285"/>
      <c r="FC117" s="285"/>
      <c r="FD117" s="285"/>
      <c r="FE117" s="285"/>
      <c r="FF117" s="285"/>
      <c r="FG117" s="285"/>
      <c r="FH117" s="285"/>
      <c r="FI117" s="285"/>
      <c r="FJ117" s="285"/>
      <c r="FK117" s="285"/>
      <c r="FL117" s="285"/>
      <c r="FM117" s="285"/>
      <c r="FN117" s="285"/>
      <c r="FO117" s="285"/>
      <c r="FP117" s="285"/>
      <c r="FQ117" s="285"/>
      <c r="FR117" s="285"/>
      <c r="FS117" s="285"/>
      <c r="FT117" s="285"/>
      <c r="FU117" s="285"/>
      <c r="FV117" s="330"/>
      <c r="FW117" s="330"/>
      <c r="FX117" s="330"/>
      <c r="FY117" s="285"/>
      <c r="FZ117" s="285"/>
      <c r="GA117" s="285"/>
      <c r="GB117" s="330"/>
      <c r="GC117" s="330"/>
      <c r="GD117" s="330"/>
      <c r="GE117" s="330"/>
      <c r="GF117" s="330"/>
      <c r="GG117" s="330"/>
    </row>
    <row r="118" spans="1:189" s="146" customFormat="1" ht="18.75" customHeight="1">
      <c r="A118" s="151"/>
      <c r="B118" s="152"/>
      <c r="C118" s="201"/>
      <c r="D118" s="201"/>
      <c r="E118" s="201"/>
      <c r="J118" s="201"/>
      <c r="BE118" s="201"/>
      <c r="BF118" s="201"/>
      <c r="BG118" s="201"/>
      <c r="CI118" s="201"/>
      <c r="CJ118" s="201"/>
      <c r="CK118" s="201"/>
      <c r="CO118" s="295"/>
      <c r="CP118" s="330"/>
      <c r="CQ118" s="330"/>
      <c r="CR118" s="330"/>
      <c r="CS118" s="285"/>
      <c r="CT118" s="285"/>
      <c r="CU118" s="285"/>
      <c r="CV118" s="285"/>
      <c r="CW118" s="330"/>
      <c r="CX118" s="285"/>
      <c r="CY118" s="285"/>
      <c r="CZ118" s="285"/>
      <c r="DA118" s="285"/>
      <c r="DB118" s="285"/>
      <c r="DC118" s="285"/>
      <c r="DD118" s="285"/>
      <c r="DE118" s="285"/>
      <c r="DF118" s="285"/>
      <c r="DG118" s="285"/>
      <c r="DH118" s="285"/>
      <c r="DI118" s="285"/>
      <c r="DJ118" s="285"/>
      <c r="DK118" s="285"/>
      <c r="DL118" s="285"/>
      <c r="DM118" s="285"/>
      <c r="DN118" s="285"/>
      <c r="DO118" s="285"/>
      <c r="DP118" s="285"/>
      <c r="DQ118" s="285"/>
      <c r="DR118" s="285"/>
      <c r="DS118" s="285"/>
      <c r="DT118" s="285"/>
      <c r="DU118" s="285"/>
      <c r="DV118" s="285"/>
      <c r="DW118" s="285"/>
      <c r="DX118" s="285"/>
      <c r="DY118" s="285"/>
      <c r="DZ118" s="285"/>
      <c r="EA118" s="285"/>
      <c r="EB118" s="285"/>
      <c r="EC118" s="285"/>
      <c r="ED118" s="285"/>
      <c r="EE118" s="285"/>
      <c r="EF118" s="285"/>
      <c r="EG118" s="285"/>
      <c r="EH118" s="285"/>
      <c r="EI118" s="285"/>
      <c r="EJ118" s="285"/>
      <c r="EK118" s="285"/>
      <c r="EL118" s="285"/>
      <c r="EM118" s="285"/>
      <c r="EN118" s="285"/>
      <c r="EO118" s="285"/>
      <c r="EP118" s="285"/>
      <c r="EQ118" s="285"/>
      <c r="ER118" s="330"/>
      <c r="ES118" s="330"/>
      <c r="ET118" s="330"/>
      <c r="EU118" s="285"/>
      <c r="EV118" s="285"/>
      <c r="EW118" s="285"/>
      <c r="EX118" s="285"/>
      <c r="EY118" s="285"/>
      <c r="EZ118" s="285"/>
      <c r="FA118" s="285"/>
      <c r="FB118" s="285"/>
      <c r="FC118" s="285"/>
      <c r="FD118" s="285"/>
      <c r="FE118" s="285"/>
      <c r="FF118" s="285"/>
      <c r="FG118" s="285"/>
      <c r="FH118" s="285"/>
      <c r="FI118" s="285"/>
      <c r="FJ118" s="285"/>
      <c r="FK118" s="285"/>
      <c r="FL118" s="285"/>
      <c r="FM118" s="285"/>
      <c r="FN118" s="285"/>
      <c r="FO118" s="285"/>
      <c r="FP118" s="285"/>
      <c r="FQ118" s="285"/>
      <c r="FR118" s="285"/>
      <c r="FS118" s="285"/>
      <c r="FT118" s="285"/>
      <c r="FU118" s="285"/>
      <c r="FV118" s="330"/>
      <c r="FW118" s="330"/>
      <c r="FX118" s="330"/>
      <c r="FY118" s="285"/>
      <c r="FZ118" s="285"/>
      <c r="GA118" s="285"/>
      <c r="GB118" s="330"/>
      <c r="GC118" s="330"/>
      <c r="GD118" s="330"/>
      <c r="GE118" s="330"/>
      <c r="GF118" s="330"/>
      <c r="GG118" s="330"/>
    </row>
    <row r="119" spans="1:189" s="146" customFormat="1" ht="18.75" customHeight="1">
      <c r="A119" s="151"/>
      <c r="B119" s="152"/>
      <c r="C119" s="201"/>
      <c r="D119" s="201"/>
      <c r="E119" s="201"/>
      <c r="J119" s="201"/>
      <c r="BE119" s="201"/>
      <c r="BF119" s="201"/>
      <c r="BG119" s="201"/>
      <c r="CI119" s="201"/>
      <c r="CJ119" s="201"/>
      <c r="CK119" s="201"/>
      <c r="CO119" s="295"/>
      <c r="CP119" s="330"/>
      <c r="CQ119" s="330"/>
      <c r="CR119" s="330"/>
      <c r="CS119" s="285"/>
      <c r="CT119" s="285"/>
      <c r="CU119" s="285"/>
      <c r="CV119" s="285"/>
      <c r="CW119" s="330"/>
      <c r="CX119" s="285"/>
      <c r="CY119" s="285"/>
      <c r="CZ119" s="285"/>
      <c r="DA119" s="285"/>
      <c r="DB119" s="285"/>
      <c r="DC119" s="285"/>
      <c r="DD119" s="285"/>
      <c r="DE119" s="285"/>
      <c r="DF119" s="285"/>
      <c r="DG119" s="285"/>
      <c r="DH119" s="285"/>
      <c r="DI119" s="285"/>
      <c r="DJ119" s="285"/>
      <c r="DK119" s="285"/>
      <c r="DL119" s="285"/>
      <c r="DM119" s="285"/>
      <c r="DN119" s="285"/>
      <c r="DO119" s="285"/>
      <c r="DP119" s="285"/>
      <c r="DQ119" s="285"/>
      <c r="DR119" s="285"/>
      <c r="DS119" s="285"/>
      <c r="DT119" s="285"/>
      <c r="DU119" s="285"/>
      <c r="DV119" s="285"/>
      <c r="DW119" s="285"/>
      <c r="DX119" s="285"/>
      <c r="DY119" s="285"/>
      <c r="DZ119" s="285"/>
      <c r="EA119" s="285"/>
      <c r="EB119" s="285"/>
      <c r="EC119" s="285"/>
      <c r="ED119" s="285"/>
      <c r="EE119" s="285"/>
      <c r="EF119" s="285"/>
      <c r="EG119" s="285"/>
      <c r="EH119" s="285"/>
      <c r="EI119" s="285"/>
      <c r="EJ119" s="285"/>
      <c r="EK119" s="285"/>
      <c r="EL119" s="285"/>
      <c r="EM119" s="285"/>
      <c r="EN119" s="285"/>
      <c r="EO119" s="285"/>
      <c r="EP119" s="285"/>
      <c r="EQ119" s="285"/>
      <c r="ER119" s="330"/>
      <c r="ES119" s="330"/>
      <c r="ET119" s="330"/>
      <c r="EU119" s="285"/>
      <c r="EV119" s="285"/>
      <c r="EW119" s="285"/>
      <c r="EX119" s="285"/>
      <c r="EY119" s="285"/>
      <c r="EZ119" s="285"/>
      <c r="FA119" s="285"/>
      <c r="FB119" s="285"/>
      <c r="FC119" s="285"/>
      <c r="FD119" s="285"/>
      <c r="FE119" s="285"/>
      <c r="FF119" s="285"/>
      <c r="FG119" s="285"/>
      <c r="FH119" s="285"/>
      <c r="FI119" s="285"/>
      <c r="FJ119" s="285"/>
      <c r="FK119" s="285"/>
      <c r="FL119" s="285"/>
      <c r="FM119" s="285"/>
      <c r="FN119" s="285"/>
      <c r="FO119" s="285"/>
      <c r="FP119" s="285"/>
      <c r="FQ119" s="285"/>
      <c r="FR119" s="285"/>
      <c r="FS119" s="285"/>
      <c r="FT119" s="285"/>
      <c r="FU119" s="285"/>
      <c r="FV119" s="330"/>
      <c r="FW119" s="330"/>
      <c r="FX119" s="330"/>
      <c r="FY119" s="285"/>
      <c r="FZ119" s="285"/>
      <c r="GA119" s="285"/>
      <c r="GB119" s="330"/>
      <c r="GC119" s="330"/>
      <c r="GD119" s="330"/>
      <c r="GE119" s="330"/>
      <c r="GF119" s="330"/>
      <c r="GG119" s="330"/>
    </row>
    <row r="120" spans="1:189" s="146" customFormat="1" ht="18.75" customHeight="1">
      <c r="A120" s="151"/>
      <c r="B120" s="152"/>
      <c r="C120" s="201"/>
      <c r="D120" s="201"/>
      <c r="E120" s="201"/>
      <c r="J120" s="201"/>
      <c r="BE120" s="201"/>
      <c r="BF120" s="201"/>
      <c r="BG120" s="201"/>
      <c r="CI120" s="201"/>
      <c r="CJ120" s="201"/>
      <c r="CK120" s="201"/>
      <c r="CO120" s="295"/>
      <c r="CP120" s="330"/>
      <c r="CQ120" s="330"/>
      <c r="CR120" s="330"/>
      <c r="CS120" s="285"/>
      <c r="CT120" s="285"/>
      <c r="CU120" s="285"/>
      <c r="CV120" s="285"/>
      <c r="CW120" s="330"/>
      <c r="CX120" s="285"/>
      <c r="CY120" s="285"/>
      <c r="CZ120" s="285"/>
      <c r="DA120" s="285"/>
      <c r="DB120" s="285"/>
      <c r="DC120" s="285"/>
      <c r="DD120" s="285"/>
      <c r="DE120" s="285"/>
      <c r="DF120" s="285"/>
      <c r="DG120" s="285"/>
      <c r="DH120" s="285"/>
      <c r="DI120" s="285"/>
      <c r="DJ120" s="285"/>
      <c r="DK120" s="285"/>
      <c r="DL120" s="285"/>
      <c r="DM120" s="285"/>
      <c r="DN120" s="285"/>
      <c r="DO120" s="285"/>
      <c r="DP120" s="285"/>
      <c r="DQ120" s="285"/>
      <c r="DR120" s="285"/>
      <c r="DS120" s="285"/>
      <c r="DT120" s="285"/>
      <c r="DU120" s="285"/>
      <c r="DV120" s="285"/>
      <c r="DW120" s="285"/>
      <c r="DX120" s="285"/>
      <c r="DY120" s="285"/>
      <c r="DZ120" s="285"/>
      <c r="EA120" s="285"/>
      <c r="EB120" s="285"/>
      <c r="EC120" s="285"/>
      <c r="ED120" s="285"/>
      <c r="EE120" s="285"/>
      <c r="EF120" s="285"/>
      <c r="EG120" s="285"/>
      <c r="EH120" s="285"/>
      <c r="EI120" s="285"/>
      <c r="EJ120" s="285"/>
      <c r="EK120" s="285"/>
      <c r="EL120" s="285"/>
      <c r="EM120" s="285"/>
      <c r="EN120" s="285"/>
      <c r="EO120" s="285"/>
      <c r="EP120" s="285"/>
      <c r="EQ120" s="285"/>
      <c r="ER120" s="330"/>
      <c r="ES120" s="330"/>
      <c r="ET120" s="330"/>
      <c r="EU120" s="285"/>
      <c r="EV120" s="285"/>
      <c r="EW120" s="285"/>
      <c r="EX120" s="285"/>
      <c r="EY120" s="285"/>
      <c r="EZ120" s="285"/>
      <c r="FA120" s="285"/>
      <c r="FB120" s="285"/>
      <c r="FC120" s="285"/>
      <c r="FD120" s="285"/>
      <c r="FE120" s="285"/>
      <c r="FF120" s="285"/>
      <c r="FG120" s="285"/>
      <c r="FH120" s="285"/>
      <c r="FI120" s="285"/>
      <c r="FJ120" s="285"/>
      <c r="FK120" s="285"/>
      <c r="FL120" s="285"/>
      <c r="FM120" s="285"/>
      <c r="FN120" s="285"/>
      <c r="FO120" s="285"/>
      <c r="FP120" s="285"/>
      <c r="FQ120" s="285"/>
      <c r="FR120" s="285"/>
      <c r="FS120" s="285"/>
      <c r="FT120" s="285"/>
      <c r="FU120" s="285"/>
      <c r="FV120" s="330"/>
      <c r="FW120" s="330"/>
      <c r="FX120" s="330"/>
      <c r="FY120" s="285"/>
      <c r="FZ120" s="285"/>
      <c r="GA120" s="285"/>
      <c r="GB120" s="330"/>
      <c r="GC120" s="330"/>
      <c r="GD120" s="330"/>
      <c r="GE120" s="330"/>
      <c r="GF120" s="330"/>
      <c r="GG120" s="330"/>
    </row>
    <row r="121" spans="1:189" s="146" customFormat="1" ht="18.75" customHeight="1">
      <c r="A121" s="151"/>
      <c r="B121" s="152"/>
      <c r="C121" s="201"/>
      <c r="D121" s="201"/>
      <c r="E121" s="201"/>
      <c r="J121" s="201"/>
      <c r="BE121" s="201"/>
      <c r="BF121" s="201"/>
      <c r="BG121" s="201"/>
      <c r="CI121" s="201"/>
      <c r="CJ121" s="201"/>
      <c r="CK121" s="201"/>
      <c r="CO121" s="295"/>
      <c r="CP121" s="330"/>
      <c r="CQ121" s="330"/>
      <c r="CR121" s="330"/>
      <c r="CS121" s="285"/>
      <c r="CT121" s="285"/>
      <c r="CU121" s="285"/>
      <c r="CV121" s="285"/>
      <c r="CW121" s="330"/>
      <c r="CX121" s="285"/>
      <c r="CY121" s="285"/>
      <c r="CZ121" s="285"/>
      <c r="DA121" s="285"/>
      <c r="DB121" s="285"/>
      <c r="DC121" s="285"/>
      <c r="DD121" s="285"/>
      <c r="DE121" s="285"/>
      <c r="DF121" s="285"/>
      <c r="DG121" s="285"/>
      <c r="DH121" s="285"/>
      <c r="DI121" s="285"/>
      <c r="DJ121" s="285"/>
      <c r="DK121" s="285"/>
      <c r="DL121" s="285"/>
      <c r="DM121" s="285"/>
      <c r="DN121" s="285"/>
      <c r="DO121" s="285"/>
      <c r="DP121" s="285"/>
      <c r="DQ121" s="285"/>
      <c r="DR121" s="285"/>
      <c r="DS121" s="285"/>
      <c r="DT121" s="285"/>
      <c r="DU121" s="285"/>
      <c r="DV121" s="285"/>
      <c r="DW121" s="285"/>
      <c r="DX121" s="285"/>
      <c r="DY121" s="285"/>
      <c r="DZ121" s="285"/>
      <c r="EA121" s="285"/>
      <c r="EB121" s="285"/>
      <c r="EC121" s="285"/>
      <c r="ED121" s="285"/>
      <c r="EE121" s="285"/>
      <c r="EF121" s="285"/>
      <c r="EG121" s="285"/>
      <c r="EH121" s="285"/>
      <c r="EI121" s="285"/>
      <c r="EJ121" s="285"/>
      <c r="EK121" s="285"/>
      <c r="EL121" s="285"/>
      <c r="EM121" s="285"/>
      <c r="EN121" s="285"/>
      <c r="EO121" s="285"/>
      <c r="EP121" s="285"/>
      <c r="EQ121" s="285"/>
      <c r="ER121" s="330"/>
      <c r="ES121" s="330"/>
      <c r="ET121" s="330"/>
      <c r="EU121" s="285"/>
      <c r="EV121" s="285"/>
      <c r="EW121" s="285"/>
      <c r="EX121" s="285"/>
      <c r="EY121" s="285"/>
      <c r="EZ121" s="285"/>
      <c r="FA121" s="285"/>
      <c r="FB121" s="285"/>
      <c r="FC121" s="285"/>
      <c r="FD121" s="285"/>
      <c r="FE121" s="285"/>
      <c r="FF121" s="285"/>
      <c r="FG121" s="285"/>
      <c r="FH121" s="285"/>
      <c r="FI121" s="285"/>
      <c r="FJ121" s="285"/>
      <c r="FK121" s="285"/>
      <c r="FL121" s="285"/>
      <c r="FM121" s="285"/>
      <c r="FN121" s="285"/>
      <c r="FO121" s="285"/>
      <c r="FP121" s="285"/>
      <c r="FQ121" s="285"/>
      <c r="FR121" s="285"/>
      <c r="FS121" s="285"/>
      <c r="FT121" s="285"/>
      <c r="FU121" s="285"/>
      <c r="FV121" s="330"/>
      <c r="FW121" s="330"/>
      <c r="FX121" s="330"/>
      <c r="FY121" s="285"/>
      <c r="FZ121" s="285"/>
      <c r="GA121" s="285"/>
      <c r="GB121" s="330"/>
      <c r="GC121" s="330"/>
      <c r="GD121" s="330"/>
      <c r="GE121" s="330"/>
      <c r="GF121" s="330"/>
      <c r="GG121" s="330"/>
    </row>
    <row r="122" spans="1:189" s="146" customFormat="1" ht="18.75" customHeight="1">
      <c r="A122" s="151"/>
      <c r="B122" s="152"/>
      <c r="C122" s="201"/>
      <c r="D122" s="201"/>
      <c r="E122" s="201"/>
      <c r="J122" s="201"/>
      <c r="BE122" s="201"/>
      <c r="BF122" s="201"/>
      <c r="BG122" s="201"/>
      <c r="CI122" s="201"/>
      <c r="CJ122" s="201"/>
      <c r="CK122" s="201"/>
      <c r="CO122" s="295"/>
      <c r="CP122" s="330"/>
      <c r="CQ122" s="330"/>
      <c r="CR122" s="330"/>
      <c r="CS122" s="285"/>
      <c r="CT122" s="285"/>
      <c r="CU122" s="285"/>
      <c r="CV122" s="285"/>
      <c r="CW122" s="330"/>
      <c r="CX122" s="285"/>
      <c r="CY122" s="285"/>
      <c r="CZ122" s="285"/>
      <c r="DA122" s="285"/>
      <c r="DB122" s="285"/>
      <c r="DC122" s="285"/>
      <c r="DD122" s="285"/>
      <c r="DE122" s="285"/>
      <c r="DF122" s="285"/>
      <c r="DG122" s="285"/>
      <c r="DH122" s="285"/>
      <c r="DI122" s="285"/>
      <c r="DJ122" s="285"/>
      <c r="DK122" s="285"/>
      <c r="DL122" s="285"/>
      <c r="DM122" s="285"/>
      <c r="DN122" s="285"/>
      <c r="DO122" s="285"/>
      <c r="DP122" s="285"/>
      <c r="DQ122" s="285"/>
      <c r="DR122" s="285"/>
      <c r="DS122" s="285"/>
      <c r="DT122" s="285"/>
      <c r="DU122" s="285"/>
      <c r="DV122" s="285"/>
      <c r="DW122" s="285"/>
      <c r="DX122" s="285"/>
      <c r="DY122" s="285"/>
      <c r="DZ122" s="285"/>
      <c r="EA122" s="285"/>
      <c r="EB122" s="285"/>
      <c r="EC122" s="285"/>
      <c r="ED122" s="285"/>
      <c r="EE122" s="285"/>
      <c r="EF122" s="285"/>
      <c r="EG122" s="285"/>
      <c r="EH122" s="285"/>
      <c r="EI122" s="285"/>
      <c r="EJ122" s="285"/>
      <c r="EK122" s="285"/>
      <c r="EL122" s="285"/>
      <c r="EM122" s="285"/>
      <c r="EN122" s="285"/>
      <c r="EO122" s="285"/>
      <c r="EP122" s="285"/>
      <c r="EQ122" s="285"/>
      <c r="ER122" s="330"/>
      <c r="ES122" s="330"/>
      <c r="ET122" s="330"/>
      <c r="EU122" s="285"/>
      <c r="EV122" s="285"/>
      <c r="EW122" s="285"/>
      <c r="EX122" s="285"/>
      <c r="EY122" s="285"/>
      <c r="EZ122" s="285"/>
      <c r="FA122" s="285"/>
      <c r="FB122" s="285"/>
      <c r="FC122" s="285"/>
      <c r="FD122" s="285"/>
      <c r="FE122" s="285"/>
      <c r="FF122" s="285"/>
      <c r="FG122" s="285"/>
      <c r="FH122" s="285"/>
      <c r="FI122" s="285"/>
      <c r="FJ122" s="285"/>
      <c r="FK122" s="285"/>
      <c r="FL122" s="285"/>
      <c r="FM122" s="285"/>
      <c r="FN122" s="285"/>
      <c r="FO122" s="285"/>
      <c r="FP122" s="285"/>
      <c r="FQ122" s="285"/>
      <c r="FR122" s="285"/>
      <c r="FS122" s="285"/>
      <c r="FT122" s="285"/>
      <c r="FU122" s="285"/>
      <c r="FV122" s="330"/>
      <c r="FW122" s="330"/>
      <c r="FX122" s="330"/>
      <c r="FY122" s="285"/>
      <c r="FZ122" s="285"/>
      <c r="GA122" s="285"/>
      <c r="GB122" s="330"/>
      <c r="GC122" s="330"/>
      <c r="GD122" s="330"/>
      <c r="GE122" s="330"/>
      <c r="GF122" s="330"/>
      <c r="GG122" s="330"/>
    </row>
    <row r="123" spans="1:189" s="146" customFormat="1" ht="18.75" customHeight="1">
      <c r="A123" s="151"/>
      <c r="B123" s="152"/>
      <c r="C123" s="201"/>
      <c r="D123" s="201"/>
      <c r="E123" s="201"/>
      <c r="J123" s="201"/>
      <c r="BE123" s="201"/>
      <c r="BF123" s="201"/>
      <c r="BG123" s="201"/>
      <c r="CI123" s="201"/>
      <c r="CJ123" s="201"/>
      <c r="CK123" s="201"/>
      <c r="CO123" s="295"/>
      <c r="CP123" s="330"/>
      <c r="CQ123" s="330"/>
      <c r="CR123" s="330"/>
      <c r="CS123" s="285"/>
      <c r="CT123" s="285"/>
      <c r="CU123" s="285"/>
      <c r="CV123" s="285"/>
      <c r="CW123" s="330"/>
      <c r="CX123" s="285"/>
      <c r="CY123" s="285"/>
      <c r="CZ123" s="285"/>
      <c r="DA123" s="285"/>
      <c r="DB123" s="285"/>
      <c r="DC123" s="285"/>
      <c r="DD123" s="285"/>
      <c r="DE123" s="285"/>
      <c r="DF123" s="285"/>
      <c r="DG123" s="285"/>
      <c r="DH123" s="285"/>
      <c r="DI123" s="285"/>
      <c r="DJ123" s="285"/>
      <c r="DK123" s="285"/>
      <c r="DL123" s="285"/>
      <c r="DM123" s="285"/>
      <c r="DN123" s="285"/>
      <c r="DO123" s="285"/>
      <c r="DP123" s="285"/>
      <c r="DQ123" s="285"/>
      <c r="DR123" s="285"/>
      <c r="DS123" s="285"/>
      <c r="DT123" s="285"/>
      <c r="DU123" s="285"/>
      <c r="DV123" s="285"/>
      <c r="DW123" s="285"/>
      <c r="DX123" s="285"/>
      <c r="DY123" s="285"/>
      <c r="DZ123" s="285"/>
      <c r="EA123" s="285"/>
      <c r="EB123" s="285"/>
      <c r="EC123" s="285"/>
      <c r="ED123" s="285"/>
      <c r="EE123" s="285"/>
      <c r="EF123" s="285"/>
      <c r="EG123" s="285"/>
      <c r="EH123" s="285"/>
      <c r="EI123" s="285"/>
      <c r="EJ123" s="285"/>
      <c r="EK123" s="285"/>
      <c r="EL123" s="285"/>
      <c r="EM123" s="285"/>
      <c r="EN123" s="285"/>
      <c r="EO123" s="285"/>
      <c r="EP123" s="285"/>
      <c r="EQ123" s="285"/>
      <c r="ER123" s="330"/>
      <c r="ES123" s="330"/>
      <c r="ET123" s="330"/>
      <c r="EU123" s="285"/>
      <c r="EV123" s="285"/>
      <c r="EW123" s="285"/>
      <c r="EX123" s="285"/>
      <c r="EY123" s="285"/>
      <c r="EZ123" s="285"/>
      <c r="FA123" s="285"/>
      <c r="FB123" s="285"/>
      <c r="FC123" s="285"/>
      <c r="FD123" s="285"/>
      <c r="FE123" s="285"/>
      <c r="FF123" s="285"/>
      <c r="FG123" s="285"/>
      <c r="FH123" s="285"/>
      <c r="FI123" s="285"/>
      <c r="FJ123" s="285"/>
      <c r="FK123" s="285"/>
      <c r="FL123" s="285"/>
      <c r="FM123" s="285"/>
      <c r="FN123" s="285"/>
      <c r="FO123" s="285"/>
      <c r="FP123" s="285"/>
      <c r="FQ123" s="285"/>
      <c r="FR123" s="285"/>
      <c r="FS123" s="285"/>
      <c r="FT123" s="285"/>
      <c r="FU123" s="285"/>
      <c r="FV123" s="330"/>
      <c r="FW123" s="330"/>
      <c r="FX123" s="330"/>
      <c r="FY123" s="285"/>
      <c r="FZ123" s="285"/>
      <c r="GA123" s="285"/>
      <c r="GB123" s="330"/>
      <c r="GC123" s="330"/>
      <c r="GD123" s="330"/>
      <c r="GE123" s="330"/>
      <c r="GF123" s="330"/>
      <c r="GG123" s="330"/>
    </row>
    <row r="124" spans="1:189" s="146" customFormat="1" ht="18.75" customHeight="1">
      <c r="A124" s="151"/>
      <c r="B124" s="152"/>
      <c r="C124" s="201"/>
      <c r="D124" s="201"/>
      <c r="E124" s="201"/>
      <c r="J124" s="201"/>
      <c r="BE124" s="201"/>
      <c r="BF124" s="201"/>
      <c r="BG124" s="201"/>
      <c r="CI124" s="201"/>
      <c r="CJ124" s="201"/>
      <c r="CK124" s="201"/>
      <c r="CO124" s="295"/>
      <c r="CP124" s="330"/>
      <c r="CQ124" s="330"/>
      <c r="CR124" s="330"/>
      <c r="CS124" s="285"/>
      <c r="CT124" s="285"/>
      <c r="CU124" s="285"/>
      <c r="CV124" s="285"/>
      <c r="CW124" s="330"/>
      <c r="CX124" s="285"/>
      <c r="CY124" s="285"/>
      <c r="CZ124" s="285"/>
      <c r="DA124" s="285"/>
      <c r="DB124" s="285"/>
      <c r="DC124" s="285"/>
      <c r="DD124" s="285"/>
      <c r="DE124" s="285"/>
      <c r="DF124" s="285"/>
      <c r="DG124" s="285"/>
      <c r="DH124" s="285"/>
      <c r="DI124" s="285"/>
      <c r="DJ124" s="285"/>
      <c r="DK124" s="285"/>
      <c r="DL124" s="285"/>
      <c r="DM124" s="285"/>
      <c r="DN124" s="285"/>
      <c r="DO124" s="285"/>
      <c r="DP124" s="285"/>
      <c r="DQ124" s="285"/>
      <c r="DR124" s="285"/>
      <c r="DS124" s="285"/>
      <c r="DT124" s="285"/>
      <c r="DU124" s="285"/>
      <c r="DV124" s="285"/>
      <c r="DW124" s="285"/>
      <c r="DX124" s="285"/>
      <c r="DY124" s="285"/>
      <c r="DZ124" s="285"/>
      <c r="EA124" s="285"/>
      <c r="EB124" s="285"/>
      <c r="EC124" s="285"/>
      <c r="ED124" s="285"/>
      <c r="EE124" s="285"/>
      <c r="EF124" s="285"/>
      <c r="EG124" s="285"/>
      <c r="EH124" s="285"/>
      <c r="EI124" s="285"/>
      <c r="EJ124" s="285"/>
      <c r="EK124" s="285"/>
      <c r="EL124" s="285"/>
      <c r="EM124" s="285"/>
      <c r="EN124" s="285"/>
      <c r="EO124" s="285"/>
      <c r="EP124" s="285"/>
      <c r="EQ124" s="285"/>
      <c r="ER124" s="330"/>
      <c r="ES124" s="330"/>
      <c r="ET124" s="330"/>
      <c r="EU124" s="285"/>
      <c r="EV124" s="285"/>
      <c r="EW124" s="285"/>
      <c r="EX124" s="285"/>
      <c r="EY124" s="285"/>
      <c r="EZ124" s="285"/>
      <c r="FA124" s="285"/>
      <c r="FB124" s="285"/>
      <c r="FC124" s="285"/>
      <c r="FD124" s="285"/>
      <c r="FE124" s="285"/>
      <c r="FF124" s="285"/>
      <c r="FG124" s="285"/>
      <c r="FH124" s="285"/>
      <c r="FI124" s="285"/>
      <c r="FJ124" s="285"/>
      <c r="FK124" s="285"/>
      <c r="FL124" s="285"/>
      <c r="FM124" s="285"/>
      <c r="FN124" s="285"/>
      <c r="FO124" s="285"/>
      <c r="FP124" s="285"/>
      <c r="FQ124" s="285"/>
      <c r="FR124" s="285"/>
      <c r="FS124" s="285"/>
      <c r="FT124" s="285"/>
      <c r="FU124" s="285"/>
      <c r="FV124" s="330"/>
      <c r="FW124" s="330"/>
      <c r="FX124" s="330"/>
      <c r="FY124" s="285"/>
      <c r="FZ124" s="285"/>
      <c r="GA124" s="285"/>
      <c r="GB124" s="330"/>
      <c r="GC124" s="330"/>
      <c r="GD124" s="330"/>
      <c r="GE124" s="330"/>
      <c r="GF124" s="330"/>
      <c r="GG124" s="330"/>
    </row>
    <row r="125" spans="1:189" s="146" customFormat="1" ht="18.75" customHeight="1">
      <c r="A125" s="151"/>
      <c r="B125" s="152"/>
      <c r="C125" s="201"/>
      <c r="D125" s="201"/>
      <c r="E125" s="201"/>
      <c r="J125" s="201"/>
      <c r="BE125" s="201"/>
      <c r="BF125" s="201"/>
      <c r="BG125" s="201"/>
      <c r="CI125" s="201"/>
      <c r="CJ125" s="201"/>
      <c r="CK125" s="201"/>
      <c r="CO125" s="295"/>
      <c r="CP125" s="330"/>
      <c r="CQ125" s="330"/>
      <c r="CR125" s="330"/>
      <c r="CS125" s="285"/>
      <c r="CT125" s="285"/>
      <c r="CU125" s="285"/>
      <c r="CV125" s="285"/>
      <c r="CW125" s="330"/>
      <c r="CX125" s="285"/>
      <c r="CY125" s="285"/>
      <c r="CZ125" s="285"/>
      <c r="DA125" s="285"/>
      <c r="DB125" s="285"/>
      <c r="DC125" s="285"/>
      <c r="DD125" s="285"/>
      <c r="DE125" s="285"/>
      <c r="DF125" s="285"/>
      <c r="DG125" s="285"/>
      <c r="DH125" s="285"/>
      <c r="DI125" s="285"/>
      <c r="DJ125" s="285"/>
      <c r="DK125" s="285"/>
      <c r="DL125" s="285"/>
      <c r="DM125" s="285"/>
      <c r="DN125" s="285"/>
      <c r="DO125" s="285"/>
      <c r="DP125" s="285"/>
      <c r="DQ125" s="285"/>
      <c r="DR125" s="285"/>
      <c r="DS125" s="285"/>
      <c r="DT125" s="285"/>
      <c r="DU125" s="285"/>
      <c r="DV125" s="285"/>
      <c r="DW125" s="285"/>
      <c r="DX125" s="285"/>
      <c r="DY125" s="285"/>
      <c r="DZ125" s="285"/>
      <c r="EA125" s="285"/>
      <c r="EB125" s="285"/>
      <c r="EC125" s="285"/>
      <c r="ED125" s="285"/>
      <c r="EE125" s="285"/>
      <c r="EF125" s="285"/>
      <c r="EG125" s="285"/>
      <c r="EH125" s="285"/>
      <c r="EI125" s="285"/>
      <c r="EJ125" s="285"/>
      <c r="EK125" s="285"/>
      <c r="EL125" s="285"/>
      <c r="EM125" s="285"/>
      <c r="EN125" s="285"/>
      <c r="EO125" s="285"/>
      <c r="EP125" s="285"/>
      <c r="EQ125" s="285"/>
      <c r="ER125" s="330"/>
      <c r="ES125" s="330"/>
      <c r="ET125" s="330"/>
      <c r="EU125" s="285"/>
      <c r="EV125" s="285"/>
      <c r="EW125" s="285"/>
      <c r="EX125" s="285"/>
      <c r="EY125" s="285"/>
      <c r="EZ125" s="285"/>
      <c r="FA125" s="285"/>
      <c r="FB125" s="285"/>
      <c r="FC125" s="285"/>
      <c r="FD125" s="285"/>
      <c r="FE125" s="285"/>
      <c r="FF125" s="285"/>
      <c r="FG125" s="285"/>
      <c r="FH125" s="285"/>
      <c r="FI125" s="285"/>
      <c r="FJ125" s="285"/>
      <c r="FK125" s="285"/>
      <c r="FL125" s="285"/>
      <c r="FM125" s="285"/>
      <c r="FN125" s="285"/>
      <c r="FO125" s="285"/>
      <c r="FP125" s="285"/>
      <c r="FQ125" s="285"/>
      <c r="FR125" s="285"/>
      <c r="FS125" s="285"/>
      <c r="FT125" s="285"/>
      <c r="FU125" s="285"/>
      <c r="FV125" s="330"/>
      <c r="FW125" s="330"/>
      <c r="FX125" s="330"/>
      <c r="FY125" s="285"/>
      <c r="FZ125" s="285"/>
      <c r="GA125" s="285"/>
      <c r="GB125" s="330"/>
      <c r="GC125" s="330"/>
      <c r="GD125" s="330"/>
      <c r="GE125" s="330"/>
      <c r="GF125" s="330"/>
      <c r="GG125" s="330"/>
    </row>
    <row r="126" spans="1:189" s="146" customFormat="1" ht="18.75" customHeight="1">
      <c r="A126" s="151"/>
      <c r="B126" s="152"/>
      <c r="C126" s="201"/>
      <c r="D126" s="201"/>
      <c r="E126" s="201"/>
      <c r="J126" s="201"/>
      <c r="BE126" s="201"/>
      <c r="BF126" s="201"/>
      <c r="BG126" s="201"/>
      <c r="CI126" s="201"/>
      <c r="CJ126" s="201"/>
      <c r="CK126" s="201"/>
      <c r="CO126" s="295"/>
      <c r="CP126" s="330"/>
      <c r="CQ126" s="330"/>
      <c r="CR126" s="330"/>
      <c r="CS126" s="285"/>
      <c r="CT126" s="285"/>
      <c r="CU126" s="285"/>
      <c r="CV126" s="285"/>
      <c r="CW126" s="330"/>
      <c r="CX126" s="285"/>
      <c r="CY126" s="285"/>
      <c r="CZ126" s="285"/>
      <c r="DA126" s="285"/>
      <c r="DB126" s="285"/>
      <c r="DC126" s="285"/>
      <c r="DD126" s="285"/>
      <c r="DE126" s="285"/>
      <c r="DF126" s="285"/>
      <c r="DG126" s="285"/>
      <c r="DH126" s="285"/>
      <c r="DI126" s="285"/>
      <c r="DJ126" s="285"/>
      <c r="DK126" s="285"/>
      <c r="DL126" s="285"/>
      <c r="DM126" s="285"/>
      <c r="DN126" s="285"/>
      <c r="DO126" s="285"/>
      <c r="DP126" s="285"/>
      <c r="DQ126" s="285"/>
      <c r="DR126" s="285"/>
      <c r="DS126" s="285"/>
      <c r="DT126" s="285"/>
      <c r="DU126" s="285"/>
      <c r="DV126" s="285"/>
      <c r="DW126" s="285"/>
      <c r="DX126" s="285"/>
      <c r="DY126" s="285"/>
      <c r="DZ126" s="285"/>
      <c r="EA126" s="285"/>
      <c r="EB126" s="285"/>
      <c r="EC126" s="285"/>
      <c r="ED126" s="285"/>
      <c r="EE126" s="285"/>
      <c r="EF126" s="285"/>
      <c r="EG126" s="285"/>
      <c r="EH126" s="285"/>
      <c r="EI126" s="285"/>
      <c r="EJ126" s="285"/>
      <c r="EK126" s="285"/>
      <c r="EL126" s="285"/>
      <c r="EM126" s="285"/>
      <c r="EN126" s="285"/>
      <c r="EO126" s="285"/>
      <c r="EP126" s="285"/>
      <c r="EQ126" s="285"/>
      <c r="ER126" s="330"/>
      <c r="ES126" s="330"/>
      <c r="ET126" s="330"/>
      <c r="EU126" s="285"/>
      <c r="EV126" s="285"/>
      <c r="EW126" s="285"/>
      <c r="EX126" s="285"/>
      <c r="EY126" s="285"/>
      <c r="EZ126" s="285"/>
      <c r="FA126" s="285"/>
      <c r="FB126" s="285"/>
      <c r="FC126" s="285"/>
      <c r="FD126" s="285"/>
      <c r="FE126" s="285"/>
      <c r="FF126" s="285"/>
      <c r="FG126" s="285"/>
      <c r="FH126" s="285"/>
      <c r="FI126" s="285"/>
      <c r="FJ126" s="285"/>
      <c r="FK126" s="285"/>
      <c r="FL126" s="285"/>
      <c r="FM126" s="285"/>
      <c r="FN126" s="285"/>
      <c r="FO126" s="285"/>
      <c r="FP126" s="285"/>
      <c r="FQ126" s="285"/>
      <c r="FR126" s="285"/>
      <c r="FS126" s="285"/>
      <c r="FT126" s="285"/>
      <c r="FU126" s="285"/>
      <c r="FV126" s="330"/>
      <c r="FW126" s="330"/>
      <c r="FX126" s="330"/>
      <c r="FY126" s="285"/>
      <c r="FZ126" s="285"/>
      <c r="GA126" s="285"/>
      <c r="GB126" s="330"/>
      <c r="GC126" s="330"/>
      <c r="GD126" s="330"/>
      <c r="GE126" s="330"/>
      <c r="GF126" s="330"/>
      <c r="GG126" s="330"/>
    </row>
    <row r="127" spans="1:189" s="146" customFormat="1" ht="18.75" customHeight="1">
      <c r="A127" s="151"/>
      <c r="B127" s="152"/>
      <c r="C127" s="201"/>
      <c r="D127" s="201"/>
      <c r="E127" s="201"/>
      <c r="J127" s="201"/>
      <c r="BE127" s="201"/>
      <c r="BF127" s="201"/>
      <c r="BG127" s="201"/>
      <c r="CI127" s="201"/>
      <c r="CJ127" s="201"/>
      <c r="CK127" s="201"/>
      <c r="CO127" s="295"/>
      <c r="CP127" s="330"/>
      <c r="CQ127" s="330"/>
      <c r="CR127" s="330"/>
      <c r="CS127" s="285"/>
      <c r="CT127" s="285"/>
      <c r="CU127" s="285"/>
      <c r="CV127" s="285"/>
      <c r="CW127" s="330"/>
      <c r="CX127" s="285"/>
      <c r="CY127" s="285"/>
      <c r="CZ127" s="285"/>
      <c r="DA127" s="285"/>
      <c r="DB127" s="285"/>
      <c r="DC127" s="285"/>
      <c r="DD127" s="285"/>
      <c r="DE127" s="285"/>
      <c r="DF127" s="285"/>
      <c r="DG127" s="285"/>
      <c r="DH127" s="285"/>
      <c r="DI127" s="285"/>
      <c r="DJ127" s="285"/>
      <c r="DK127" s="285"/>
      <c r="DL127" s="285"/>
      <c r="DM127" s="285"/>
      <c r="DN127" s="285"/>
      <c r="DO127" s="285"/>
      <c r="DP127" s="285"/>
      <c r="DQ127" s="285"/>
      <c r="DR127" s="285"/>
      <c r="DS127" s="285"/>
      <c r="DT127" s="285"/>
      <c r="DU127" s="285"/>
      <c r="DV127" s="285"/>
      <c r="DW127" s="285"/>
      <c r="DX127" s="285"/>
      <c r="DY127" s="285"/>
      <c r="DZ127" s="285"/>
      <c r="EA127" s="285"/>
      <c r="EB127" s="285"/>
      <c r="EC127" s="285"/>
      <c r="ED127" s="285"/>
      <c r="EE127" s="285"/>
      <c r="EF127" s="285"/>
      <c r="EG127" s="285"/>
      <c r="EH127" s="285"/>
      <c r="EI127" s="285"/>
      <c r="EJ127" s="285"/>
      <c r="EK127" s="285"/>
      <c r="EL127" s="285"/>
      <c r="EM127" s="285"/>
      <c r="EN127" s="285"/>
      <c r="EO127" s="285"/>
      <c r="EP127" s="285"/>
      <c r="EQ127" s="285"/>
      <c r="ER127" s="330"/>
      <c r="ES127" s="330"/>
      <c r="ET127" s="330"/>
      <c r="EU127" s="285"/>
      <c r="EV127" s="285"/>
      <c r="EW127" s="285"/>
      <c r="EX127" s="285"/>
      <c r="EY127" s="285"/>
      <c r="EZ127" s="285"/>
      <c r="FA127" s="285"/>
      <c r="FB127" s="285"/>
      <c r="FC127" s="285"/>
      <c r="FD127" s="285"/>
      <c r="FE127" s="285"/>
      <c r="FF127" s="285"/>
      <c r="FG127" s="285"/>
      <c r="FH127" s="285"/>
      <c r="FI127" s="285"/>
      <c r="FJ127" s="285"/>
      <c r="FK127" s="285"/>
      <c r="FL127" s="285"/>
      <c r="FM127" s="285"/>
      <c r="FN127" s="285"/>
      <c r="FO127" s="285"/>
      <c r="FP127" s="285"/>
      <c r="FQ127" s="285"/>
      <c r="FR127" s="285"/>
      <c r="FS127" s="285"/>
      <c r="FT127" s="285"/>
      <c r="FU127" s="285"/>
      <c r="FV127" s="330"/>
      <c r="FW127" s="330"/>
      <c r="FX127" s="330"/>
      <c r="FY127" s="285"/>
      <c r="FZ127" s="285"/>
      <c r="GA127" s="285"/>
      <c r="GB127" s="330"/>
      <c r="GC127" s="330"/>
      <c r="GD127" s="330"/>
      <c r="GE127" s="330"/>
      <c r="GF127" s="330"/>
      <c r="GG127" s="330"/>
    </row>
    <row r="128" spans="1:189" s="146" customFormat="1" ht="18.75" customHeight="1">
      <c r="A128" s="151"/>
      <c r="B128" s="152"/>
      <c r="C128" s="201"/>
      <c r="D128" s="201"/>
      <c r="E128" s="201"/>
      <c r="J128" s="201"/>
      <c r="BE128" s="201"/>
      <c r="BF128" s="201"/>
      <c r="BG128" s="201"/>
      <c r="CI128" s="201"/>
      <c r="CJ128" s="201"/>
      <c r="CK128" s="201"/>
      <c r="CO128" s="295"/>
      <c r="CP128" s="330"/>
      <c r="CQ128" s="330"/>
      <c r="CR128" s="330"/>
      <c r="CS128" s="285"/>
      <c r="CT128" s="285"/>
      <c r="CU128" s="285"/>
      <c r="CV128" s="285"/>
      <c r="CW128" s="330"/>
      <c r="CX128" s="285"/>
      <c r="CY128" s="285"/>
      <c r="CZ128" s="285"/>
      <c r="DA128" s="285"/>
      <c r="DB128" s="285"/>
      <c r="DC128" s="285"/>
      <c r="DD128" s="285"/>
      <c r="DE128" s="285"/>
      <c r="DF128" s="285"/>
      <c r="DG128" s="285"/>
      <c r="DH128" s="285"/>
      <c r="DI128" s="285"/>
      <c r="DJ128" s="285"/>
      <c r="DK128" s="285"/>
      <c r="DL128" s="285"/>
      <c r="DM128" s="285"/>
      <c r="DN128" s="285"/>
      <c r="DO128" s="285"/>
      <c r="DP128" s="285"/>
      <c r="DQ128" s="285"/>
      <c r="DR128" s="285"/>
      <c r="DS128" s="285"/>
      <c r="DT128" s="285"/>
      <c r="DU128" s="285"/>
      <c r="DV128" s="285"/>
      <c r="DW128" s="285"/>
      <c r="DX128" s="285"/>
      <c r="DY128" s="285"/>
      <c r="DZ128" s="285"/>
      <c r="EA128" s="285"/>
      <c r="EB128" s="285"/>
      <c r="EC128" s="285"/>
      <c r="ED128" s="285"/>
      <c r="EE128" s="285"/>
      <c r="EF128" s="285"/>
      <c r="EG128" s="285"/>
      <c r="EH128" s="285"/>
      <c r="EI128" s="285"/>
      <c r="EJ128" s="285"/>
      <c r="EK128" s="285"/>
      <c r="EL128" s="285"/>
      <c r="EM128" s="285"/>
      <c r="EN128" s="285"/>
      <c r="EO128" s="285"/>
      <c r="EP128" s="285"/>
      <c r="EQ128" s="285"/>
      <c r="ER128" s="330"/>
      <c r="ES128" s="330"/>
      <c r="ET128" s="330"/>
      <c r="EU128" s="285"/>
      <c r="EV128" s="285"/>
      <c r="EW128" s="285"/>
      <c r="EX128" s="285"/>
      <c r="EY128" s="285"/>
      <c r="EZ128" s="285"/>
      <c r="FA128" s="285"/>
      <c r="FB128" s="285"/>
      <c r="FC128" s="285"/>
      <c r="FD128" s="285"/>
      <c r="FE128" s="285"/>
      <c r="FF128" s="285"/>
      <c r="FG128" s="285"/>
      <c r="FH128" s="285"/>
      <c r="FI128" s="285"/>
      <c r="FJ128" s="285"/>
      <c r="FK128" s="285"/>
      <c r="FL128" s="285"/>
      <c r="FM128" s="285"/>
      <c r="FN128" s="285"/>
      <c r="FO128" s="285"/>
      <c r="FP128" s="285"/>
      <c r="FQ128" s="285"/>
      <c r="FR128" s="285"/>
      <c r="FS128" s="285"/>
      <c r="FT128" s="285"/>
      <c r="FU128" s="285"/>
      <c r="FV128" s="330"/>
      <c r="FW128" s="330"/>
      <c r="FX128" s="330"/>
      <c r="FY128" s="285"/>
      <c r="FZ128" s="285"/>
      <c r="GA128" s="285"/>
      <c r="GB128" s="330"/>
      <c r="GC128" s="330"/>
      <c r="GD128" s="330"/>
      <c r="GE128" s="330"/>
      <c r="GF128" s="330"/>
      <c r="GG128" s="330"/>
    </row>
    <row r="129" spans="1:189" s="146" customFormat="1" ht="18.75" customHeight="1">
      <c r="A129" s="151"/>
      <c r="B129" s="152"/>
      <c r="C129" s="201"/>
      <c r="D129" s="201"/>
      <c r="E129" s="201"/>
      <c r="J129" s="201"/>
      <c r="BE129" s="201"/>
      <c r="BF129" s="201"/>
      <c r="BG129" s="201"/>
      <c r="CI129" s="201"/>
      <c r="CJ129" s="201"/>
      <c r="CK129" s="201"/>
      <c r="CO129" s="295"/>
      <c r="CP129" s="330"/>
      <c r="CQ129" s="330"/>
      <c r="CR129" s="330"/>
      <c r="CS129" s="285"/>
      <c r="CT129" s="285"/>
      <c r="CU129" s="285"/>
      <c r="CV129" s="285"/>
      <c r="CW129" s="330"/>
      <c r="CX129" s="285"/>
      <c r="CY129" s="285"/>
      <c r="CZ129" s="285"/>
      <c r="DA129" s="285"/>
      <c r="DB129" s="285"/>
      <c r="DC129" s="285"/>
      <c r="DD129" s="285"/>
      <c r="DE129" s="285"/>
      <c r="DF129" s="285"/>
      <c r="DG129" s="285"/>
      <c r="DH129" s="285"/>
      <c r="DI129" s="285"/>
      <c r="DJ129" s="285"/>
      <c r="DK129" s="285"/>
      <c r="DL129" s="285"/>
      <c r="DM129" s="285"/>
      <c r="DN129" s="285"/>
      <c r="DO129" s="285"/>
      <c r="DP129" s="285"/>
      <c r="DQ129" s="285"/>
      <c r="DR129" s="285"/>
      <c r="DS129" s="285"/>
      <c r="DT129" s="285"/>
      <c r="DU129" s="285"/>
      <c r="DV129" s="285"/>
      <c r="DW129" s="285"/>
      <c r="DX129" s="285"/>
      <c r="DY129" s="285"/>
      <c r="DZ129" s="285"/>
      <c r="EA129" s="285"/>
      <c r="EB129" s="285"/>
      <c r="EC129" s="285"/>
      <c r="ED129" s="285"/>
      <c r="EE129" s="285"/>
      <c r="EF129" s="285"/>
      <c r="EG129" s="285"/>
      <c r="EH129" s="285"/>
      <c r="EI129" s="285"/>
      <c r="EJ129" s="285"/>
      <c r="EK129" s="285"/>
      <c r="EL129" s="285"/>
      <c r="EM129" s="285"/>
      <c r="EN129" s="285"/>
      <c r="EO129" s="285"/>
      <c r="EP129" s="285"/>
      <c r="EQ129" s="285"/>
      <c r="ER129" s="330"/>
      <c r="ES129" s="330"/>
      <c r="ET129" s="330"/>
      <c r="EU129" s="285"/>
      <c r="EV129" s="285"/>
      <c r="EW129" s="285"/>
      <c r="EX129" s="285"/>
      <c r="EY129" s="285"/>
      <c r="EZ129" s="285"/>
      <c r="FA129" s="285"/>
      <c r="FB129" s="285"/>
      <c r="FC129" s="285"/>
      <c r="FD129" s="285"/>
      <c r="FE129" s="285"/>
      <c r="FF129" s="285"/>
      <c r="FG129" s="285"/>
      <c r="FH129" s="285"/>
      <c r="FI129" s="285"/>
      <c r="FJ129" s="285"/>
      <c r="FK129" s="285"/>
      <c r="FL129" s="285"/>
      <c r="FM129" s="285"/>
      <c r="FN129" s="285"/>
      <c r="FO129" s="285"/>
      <c r="FP129" s="285"/>
      <c r="FQ129" s="285"/>
      <c r="FR129" s="285"/>
      <c r="FS129" s="285"/>
      <c r="FT129" s="285"/>
      <c r="FU129" s="285"/>
      <c r="FV129" s="330"/>
      <c r="FW129" s="330"/>
      <c r="FX129" s="330"/>
      <c r="FY129" s="285"/>
      <c r="FZ129" s="285"/>
      <c r="GA129" s="285"/>
      <c r="GB129" s="330"/>
      <c r="GC129" s="330"/>
      <c r="GD129" s="330"/>
      <c r="GE129" s="330"/>
      <c r="GF129" s="330"/>
      <c r="GG129" s="330"/>
    </row>
    <row r="130" spans="1:189" s="146" customFormat="1">
      <c r="A130" s="151"/>
      <c r="B130" s="152"/>
      <c r="C130" s="201"/>
      <c r="D130" s="201"/>
      <c r="E130" s="201"/>
      <c r="J130" s="201"/>
      <c r="BE130" s="201"/>
      <c r="BF130" s="201"/>
      <c r="BG130" s="201"/>
      <c r="CI130" s="201"/>
      <c r="CJ130" s="201"/>
      <c r="CK130" s="201"/>
      <c r="CO130" s="295"/>
      <c r="CP130" s="330"/>
      <c r="CQ130" s="330"/>
      <c r="CR130" s="330"/>
      <c r="CS130" s="285"/>
      <c r="CT130" s="285"/>
      <c r="CU130" s="285"/>
      <c r="CV130" s="285"/>
      <c r="CW130" s="330"/>
      <c r="CX130" s="285"/>
      <c r="CY130" s="285"/>
      <c r="CZ130" s="285"/>
      <c r="DA130" s="285"/>
      <c r="DB130" s="285"/>
      <c r="DC130" s="285"/>
      <c r="DD130" s="285"/>
      <c r="DE130" s="285"/>
      <c r="DF130" s="285"/>
      <c r="DG130" s="285"/>
      <c r="DH130" s="285"/>
      <c r="DI130" s="285"/>
      <c r="DJ130" s="285"/>
      <c r="DK130" s="285"/>
      <c r="DL130" s="285"/>
      <c r="DM130" s="285"/>
      <c r="DN130" s="285"/>
      <c r="DO130" s="285"/>
      <c r="DP130" s="285"/>
      <c r="DQ130" s="285"/>
      <c r="DR130" s="285"/>
      <c r="DS130" s="285"/>
      <c r="DT130" s="285"/>
      <c r="DU130" s="285"/>
      <c r="DV130" s="285"/>
      <c r="DW130" s="285"/>
      <c r="DX130" s="285"/>
      <c r="DY130" s="285"/>
      <c r="DZ130" s="285"/>
      <c r="EA130" s="285"/>
      <c r="EB130" s="285"/>
      <c r="EC130" s="285"/>
      <c r="ED130" s="285"/>
      <c r="EE130" s="285"/>
      <c r="EF130" s="285"/>
      <c r="EG130" s="285"/>
      <c r="EH130" s="285"/>
      <c r="EI130" s="285"/>
      <c r="EJ130" s="285"/>
      <c r="EK130" s="285"/>
      <c r="EL130" s="285"/>
      <c r="EM130" s="285"/>
      <c r="EN130" s="285"/>
      <c r="EO130" s="285"/>
      <c r="EP130" s="285"/>
      <c r="EQ130" s="285"/>
      <c r="ER130" s="330"/>
      <c r="ES130" s="330"/>
      <c r="ET130" s="330"/>
      <c r="EU130" s="285"/>
      <c r="EV130" s="285"/>
      <c r="EW130" s="285"/>
      <c r="EX130" s="285"/>
      <c r="EY130" s="285"/>
      <c r="EZ130" s="285"/>
      <c r="FA130" s="285"/>
      <c r="FB130" s="285"/>
      <c r="FC130" s="285"/>
      <c r="FD130" s="285"/>
      <c r="FE130" s="285"/>
      <c r="FF130" s="285"/>
      <c r="FG130" s="285"/>
      <c r="FH130" s="285"/>
      <c r="FI130" s="285"/>
      <c r="FJ130" s="285"/>
      <c r="FK130" s="285"/>
      <c r="FL130" s="285"/>
      <c r="FM130" s="285"/>
      <c r="FN130" s="285"/>
      <c r="FO130" s="285"/>
      <c r="FP130" s="285"/>
      <c r="FQ130" s="285"/>
      <c r="FR130" s="285"/>
      <c r="FS130" s="285"/>
      <c r="FT130" s="285"/>
      <c r="FU130" s="285"/>
      <c r="FV130" s="330"/>
      <c r="FW130" s="330"/>
      <c r="FX130" s="330"/>
      <c r="FY130" s="285"/>
      <c r="FZ130" s="285"/>
      <c r="GA130" s="285"/>
      <c r="GB130" s="330"/>
      <c r="GC130" s="330"/>
      <c r="GD130" s="330"/>
      <c r="GE130" s="330"/>
      <c r="GF130" s="330"/>
      <c r="GG130" s="330"/>
    </row>
    <row r="131" spans="1:189" s="146" customFormat="1">
      <c r="A131" s="151"/>
      <c r="B131" s="152"/>
      <c r="C131" s="201"/>
      <c r="D131" s="201"/>
      <c r="E131" s="201"/>
      <c r="J131" s="201"/>
      <c r="BE131" s="201"/>
      <c r="BF131" s="201"/>
      <c r="BG131" s="201"/>
      <c r="CI131" s="201"/>
      <c r="CJ131" s="201"/>
      <c r="CK131" s="201"/>
      <c r="CO131" s="295"/>
      <c r="CP131" s="330"/>
      <c r="CQ131" s="330"/>
      <c r="CR131" s="330"/>
      <c r="CS131" s="285"/>
      <c r="CT131" s="285"/>
      <c r="CU131" s="285"/>
      <c r="CV131" s="285"/>
      <c r="CW131" s="330"/>
      <c r="CX131" s="285"/>
      <c r="CY131" s="285"/>
      <c r="CZ131" s="285"/>
      <c r="DA131" s="285"/>
      <c r="DB131" s="285"/>
      <c r="DC131" s="285"/>
      <c r="DD131" s="285"/>
      <c r="DE131" s="285"/>
      <c r="DF131" s="285"/>
      <c r="DG131" s="285"/>
      <c r="DH131" s="285"/>
      <c r="DI131" s="285"/>
      <c r="DJ131" s="285"/>
      <c r="DK131" s="285"/>
      <c r="DL131" s="285"/>
      <c r="DM131" s="285"/>
      <c r="DN131" s="285"/>
      <c r="DO131" s="285"/>
      <c r="DP131" s="285"/>
      <c r="DQ131" s="285"/>
      <c r="DR131" s="285"/>
      <c r="DS131" s="285"/>
      <c r="DT131" s="285"/>
      <c r="DU131" s="285"/>
      <c r="DV131" s="285"/>
      <c r="DW131" s="285"/>
      <c r="DX131" s="285"/>
      <c r="DY131" s="285"/>
      <c r="DZ131" s="285"/>
      <c r="EA131" s="285"/>
      <c r="EB131" s="285"/>
      <c r="EC131" s="285"/>
      <c r="ED131" s="285"/>
      <c r="EE131" s="285"/>
      <c r="EF131" s="285"/>
      <c r="EG131" s="285"/>
      <c r="EH131" s="285"/>
      <c r="EI131" s="285"/>
      <c r="EJ131" s="285"/>
      <c r="EK131" s="285"/>
      <c r="EL131" s="285"/>
      <c r="EM131" s="285"/>
      <c r="EN131" s="285"/>
      <c r="EO131" s="285"/>
      <c r="EP131" s="285"/>
      <c r="EQ131" s="285"/>
      <c r="ER131" s="330"/>
      <c r="ES131" s="330"/>
      <c r="ET131" s="330"/>
      <c r="EU131" s="285"/>
      <c r="EV131" s="285"/>
      <c r="EW131" s="285"/>
      <c r="EX131" s="285"/>
      <c r="EY131" s="285"/>
      <c r="EZ131" s="285"/>
      <c r="FA131" s="285"/>
      <c r="FB131" s="285"/>
      <c r="FC131" s="285"/>
      <c r="FD131" s="285"/>
      <c r="FE131" s="285"/>
      <c r="FF131" s="285"/>
      <c r="FG131" s="285"/>
      <c r="FH131" s="285"/>
      <c r="FI131" s="285"/>
      <c r="FJ131" s="285"/>
      <c r="FK131" s="285"/>
      <c r="FL131" s="285"/>
      <c r="FM131" s="285"/>
      <c r="FN131" s="285"/>
      <c r="FO131" s="285"/>
      <c r="FP131" s="285"/>
      <c r="FQ131" s="285"/>
      <c r="FR131" s="285"/>
      <c r="FS131" s="285"/>
      <c r="FT131" s="285"/>
      <c r="FU131" s="285"/>
      <c r="FV131" s="330"/>
      <c r="FW131" s="330"/>
      <c r="FX131" s="330"/>
      <c r="FY131" s="285"/>
      <c r="FZ131" s="285"/>
      <c r="GA131" s="285"/>
      <c r="GB131" s="330"/>
      <c r="GC131" s="330"/>
      <c r="GD131" s="330"/>
      <c r="GE131" s="330"/>
      <c r="GF131" s="330"/>
      <c r="GG131" s="330"/>
    </row>
    <row r="132" spans="1:189" s="146" customFormat="1">
      <c r="A132" s="151"/>
      <c r="B132" s="152"/>
      <c r="C132" s="201"/>
      <c r="D132" s="201"/>
      <c r="E132" s="201"/>
      <c r="J132" s="201"/>
      <c r="BE132" s="201"/>
      <c r="BF132" s="201"/>
      <c r="BG132" s="201"/>
      <c r="CI132" s="201"/>
      <c r="CJ132" s="201"/>
      <c r="CK132" s="201"/>
      <c r="CO132" s="295"/>
      <c r="CP132" s="330"/>
      <c r="CQ132" s="330"/>
      <c r="CR132" s="330"/>
      <c r="CS132" s="285"/>
      <c r="CT132" s="285"/>
      <c r="CU132" s="285"/>
      <c r="CV132" s="285"/>
      <c r="CW132" s="330"/>
      <c r="CX132" s="285"/>
      <c r="CY132" s="285"/>
      <c r="CZ132" s="285"/>
      <c r="DA132" s="285"/>
      <c r="DB132" s="285"/>
      <c r="DC132" s="285"/>
      <c r="DD132" s="285"/>
      <c r="DE132" s="285"/>
      <c r="DF132" s="285"/>
      <c r="DG132" s="285"/>
      <c r="DH132" s="285"/>
      <c r="DI132" s="285"/>
      <c r="DJ132" s="285"/>
      <c r="DK132" s="285"/>
      <c r="DL132" s="285"/>
      <c r="DM132" s="285"/>
      <c r="DN132" s="285"/>
      <c r="DO132" s="285"/>
      <c r="DP132" s="285"/>
      <c r="DQ132" s="285"/>
      <c r="DR132" s="285"/>
      <c r="DS132" s="285"/>
      <c r="DT132" s="285"/>
      <c r="DU132" s="285"/>
      <c r="DV132" s="285"/>
      <c r="DW132" s="285"/>
      <c r="DX132" s="285"/>
      <c r="DY132" s="285"/>
      <c r="DZ132" s="285"/>
      <c r="EA132" s="285"/>
      <c r="EB132" s="285"/>
      <c r="EC132" s="285"/>
      <c r="ED132" s="285"/>
      <c r="EE132" s="285"/>
      <c r="EF132" s="285"/>
      <c r="EG132" s="285"/>
      <c r="EH132" s="285"/>
      <c r="EI132" s="285"/>
      <c r="EJ132" s="285"/>
      <c r="EK132" s="285"/>
      <c r="EL132" s="285"/>
      <c r="EM132" s="285"/>
      <c r="EN132" s="285"/>
      <c r="EO132" s="285"/>
      <c r="EP132" s="285"/>
      <c r="EQ132" s="285"/>
      <c r="ER132" s="330"/>
      <c r="ES132" s="330"/>
      <c r="ET132" s="330"/>
      <c r="EU132" s="285"/>
      <c r="EV132" s="285"/>
      <c r="EW132" s="285"/>
      <c r="EX132" s="285"/>
      <c r="EY132" s="285"/>
      <c r="EZ132" s="285"/>
      <c r="FA132" s="285"/>
      <c r="FB132" s="285"/>
      <c r="FC132" s="285"/>
      <c r="FD132" s="285"/>
      <c r="FE132" s="285"/>
      <c r="FF132" s="285"/>
      <c r="FG132" s="285"/>
      <c r="FH132" s="285"/>
      <c r="FI132" s="285"/>
      <c r="FJ132" s="285"/>
      <c r="FK132" s="285"/>
      <c r="FL132" s="285"/>
      <c r="FM132" s="285"/>
      <c r="FN132" s="285"/>
      <c r="FO132" s="285"/>
      <c r="FP132" s="285"/>
      <c r="FQ132" s="285"/>
      <c r="FR132" s="285"/>
      <c r="FS132" s="285"/>
      <c r="FT132" s="285"/>
      <c r="FU132" s="285"/>
      <c r="FV132" s="330"/>
      <c r="FW132" s="330"/>
      <c r="FX132" s="330"/>
      <c r="FY132" s="285"/>
      <c r="FZ132" s="285"/>
      <c r="GA132" s="285"/>
      <c r="GB132" s="330"/>
      <c r="GC132" s="330"/>
      <c r="GD132" s="330"/>
      <c r="GE132" s="330"/>
      <c r="GF132" s="330"/>
      <c r="GG132" s="330"/>
    </row>
    <row r="133" spans="1:189" s="146" customFormat="1" ht="15.75" customHeight="1">
      <c r="A133" s="151"/>
      <c r="B133" s="152"/>
      <c r="C133" s="201"/>
      <c r="D133" s="201"/>
      <c r="E133" s="201"/>
      <c r="J133" s="201"/>
      <c r="BE133" s="201"/>
      <c r="BF133" s="201"/>
      <c r="BG133" s="201"/>
      <c r="CI133" s="201"/>
      <c r="CJ133" s="201"/>
      <c r="CK133" s="201"/>
      <c r="CO133" s="295"/>
      <c r="CP133" s="330"/>
      <c r="CQ133" s="330"/>
      <c r="CR133" s="330"/>
      <c r="CS133" s="285"/>
      <c r="CT133" s="285"/>
      <c r="CU133" s="285"/>
      <c r="CV133" s="285"/>
      <c r="CW133" s="330"/>
      <c r="CX133" s="285"/>
      <c r="CY133" s="285"/>
      <c r="CZ133" s="285"/>
      <c r="DA133" s="285"/>
      <c r="DB133" s="285"/>
      <c r="DC133" s="285"/>
      <c r="DD133" s="285"/>
      <c r="DE133" s="285"/>
      <c r="DF133" s="285"/>
      <c r="DG133" s="285"/>
      <c r="DH133" s="285"/>
      <c r="DI133" s="285"/>
      <c r="DJ133" s="285"/>
      <c r="DK133" s="285"/>
      <c r="DL133" s="285"/>
      <c r="DM133" s="285"/>
      <c r="DN133" s="285"/>
      <c r="DO133" s="285"/>
      <c r="DP133" s="285"/>
      <c r="DQ133" s="285"/>
      <c r="DR133" s="285"/>
      <c r="DS133" s="285"/>
      <c r="DT133" s="285"/>
      <c r="DU133" s="285"/>
      <c r="DV133" s="285"/>
      <c r="DW133" s="285"/>
      <c r="DX133" s="285"/>
      <c r="DY133" s="285"/>
      <c r="DZ133" s="285"/>
      <c r="EA133" s="285"/>
      <c r="EB133" s="285"/>
      <c r="EC133" s="285"/>
      <c r="ED133" s="285"/>
      <c r="EE133" s="285"/>
      <c r="EF133" s="285"/>
      <c r="EG133" s="285"/>
      <c r="EH133" s="285"/>
      <c r="EI133" s="285"/>
      <c r="EJ133" s="285"/>
      <c r="EK133" s="285"/>
      <c r="EL133" s="285"/>
      <c r="EM133" s="285"/>
      <c r="EN133" s="285"/>
      <c r="EO133" s="285"/>
      <c r="EP133" s="285"/>
      <c r="EQ133" s="285"/>
      <c r="ER133" s="330"/>
      <c r="ES133" s="330"/>
      <c r="ET133" s="330"/>
      <c r="EU133" s="285"/>
      <c r="EV133" s="285"/>
      <c r="EW133" s="285"/>
      <c r="EX133" s="285"/>
      <c r="EY133" s="285"/>
      <c r="EZ133" s="285"/>
      <c r="FA133" s="285"/>
      <c r="FB133" s="285"/>
      <c r="FC133" s="285"/>
      <c r="FD133" s="285"/>
      <c r="FE133" s="285"/>
      <c r="FF133" s="285"/>
      <c r="FG133" s="285"/>
      <c r="FH133" s="285"/>
      <c r="FI133" s="285"/>
      <c r="FJ133" s="285"/>
      <c r="FK133" s="285"/>
      <c r="FL133" s="285"/>
      <c r="FM133" s="285"/>
      <c r="FN133" s="285"/>
      <c r="FO133" s="285"/>
      <c r="FP133" s="285"/>
      <c r="FQ133" s="285"/>
      <c r="FR133" s="285"/>
      <c r="FS133" s="285"/>
      <c r="FT133" s="285"/>
      <c r="FU133" s="285"/>
      <c r="FV133" s="330"/>
      <c r="FW133" s="330"/>
      <c r="FX133" s="330"/>
      <c r="FY133" s="285"/>
      <c r="FZ133" s="285"/>
      <c r="GA133" s="285"/>
      <c r="GB133" s="330"/>
      <c r="GC133" s="330"/>
      <c r="GD133" s="330"/>
      <c r="GE133" s="330"/>
      <c r="GF133" s="330"/>
      <c r="GG133" s="330"/>
    </row>
    <row r="134" spans="1:189" s="146" customFormat="1">
      <c r="A134" s="151"/>
      <c r="B134" s="152"/>
      <c r="C134" s="201"/>
      <c r="D134" s="201"/>
      <c r="E134" s="201"/>
      <c r="J134" s="201"/>
      <c r="BE134" s="201"/>
      <c r="BF134" s="201"/>
      <c r="BG134" s="201"/>
      <c r="CI134" s="201"/>
      <c r="CJ134" s="201"/>
      <c r="CK134" s="201"/>
      <c r="CO134" s="295"/>
      <c r="CP134" s="330"/>
      <c r="CQ134" s="330"/>
      <c r="CR134" s="330"/>
      <c r="CS134" s="285"/>
      <c r="CT134" s="285"/>
      <c r="CU134" s="285"/>
      <c r="CV134" s="285"/>
      <c r="CW134" s="330"/>
      <c r="CX134" s="285"/>
      <c r="CY134" s="285"/>
      <c r="CZ134" s="285"/>
      <c r="DA134" s="285"/>
      <c r="DB134" s="285"/>
      <c r="DC134" s="285"/>
      <c r="DD134" s="285"/>
      <c r="DE134" s="285"/>
      <c r="DF134" s="285"/>
      <c r="DG134" s="285"/>
      <c r="DH134" s="285"/>
      <c r="DI134" s="285"/>
      <c r="DJ134" s="285"/>
      <c r="DK134" s="285"/>
      <c r="DL134" s="285"/>
      <c r="DM134" s="285"/>
      <c r="DN134" s="285"/>
      <c r="DO134" s="285"/>
      <c r="DP134" s="285"/>
      <c r="DQ134" s="285"/>
      <c r="DR134" s="285"/>
      <c r="DS134" s="285"/>
      <c r="DT134" s="285"/>
      <c r="DU134" s="285"/>
      <c r="DV134" s="285"/>
      <c r="DW134" s="285"/>
      <c r="DX134" s="285"/>
      <c r="DY134" s="285"/>
      <c r="DZ134" s="285"/>
      <c r="EA134" s="285"/>
      <c r="EB134" s="285"/>
      <c r="EC134" s="285"/>
      <c r="ED134" s="285"/>
      <c r="EE134" s="285"/>
      <c r="EF134" s="285"/>
      <c r="EG134" s="285"/>
      <c r="EH134" s="285"/>
      <c r="EI134" s="285"/>
      <c r="EJ134" s="285"/>
      <c r="EK134" s="285"/>
      <c r="EL134" s="285"/>
      <c r="EM134" s="285"/>
      <c r="EN134" s="285"/>
      <c r="EO134" s="285"/>
      <c r="EP134" s="285"/>
      <c r="EQ134" s="285"/>
      <c r="ER134" s="330"/>
      <c r="ES134" s="330"/>
      <c r="ET134" s="330"/>
      <c r="EU134" s="285"/>
      <c r="EV134" s="285"/>
      <c r="EW134" s="285"/>
      <c r="EX134" s="285"/>
      <c r="EY134" s="285"/>
      <c r="EZ134" s="285"/>
      <c r="FA134" s="285"/>
      <c r="FB134" s="285"/>
      <c r="FC134" s="285"/>
      <c r="FD134" s="285"/>
      <c r="FE134" s="285"/>
      <c r="FF134" s="285"/>
      <c r="FG134" s="285"/>
      <c r="FH134" s="285"/>
      <c r="FI134" s="285"/>
      <c r="FJ134" s="285"/>
      <c r="FK134" s="285"/>
      <c r="FL134" s="285"/>
      <c r="FM134" s="285"/>
      <c r="FN134" s="285"/>
      <c r="FO134" s="285"/>
      <c r="FP134" s="285"/>
      <c r="FQ134" s="285"/>
      <c r="FR134" s="285"/>
      <c r="FS134" s="285"/>
      <c r="FT134" s="285"/>
      <c r="FU134" s="285"/>
      <c r="FV134" s="330"/>
      <c r="FW134" s="330"/>
      <c r="FX134" s="330"/>
      <c r="FY134" s="285"/>
      <c r="FZ134" s="285"/>
      <c r="GA134" s="285"/>
      <c r="GB134" s="330"/>
      <c r="GC134" s="330"/>
      <c r="GD134" s="330"/>
      <c r="GE134" s="330"/>
      <c r="GF134" s="330"/>
      <c r="GG134" s="330"/>
    </row>
    <row r="135" spans="1:189" s="146" customFormat="1">
      <c r="A135" s="151"/>
      <c r="B135" s="152"/>
      <c r="C135" s="201"/>
      <c r="D135" s="201"/>
      <c r="E135" s="201"/>
      <c r="J135" s="201"/>
      <c r="BE135" s="201"/>
      <c r="BF135" s="201"/>
      <c r="BG135" s="201"/>
      <c r="CI135" s="201"/>
      <c r="CJ135" s="201"/>
      <c r="CK135" s="201"/>
      <c r="CO135" s="295"/>
      <c r="CP135" s="330"/>
      <c r="CQ135" s="330"/>
      <c r="CR135" s="330"/>
      <c r="CS135" s="285"/>
      <c r="CT135" s="285"/>
      <c r="CU135" s="285"/>
      <c r="CV135" s="285"/>
      <c r="CW135" s="330"/>
      <c r="CX135" s="285"/>
      <c r="CY135" s="285"/>
      <c r="CZ135" s="285"/>
      <c r="DA135" s="285"/>
      <c r="DB135" s="285"/>
      <c r="DC135" s="285"/>
      <c r="DD135" s="285"/>
      <c r="DE135" s="285"/>
      <c r="DF135" s="285"/>
      <c r="DG135" s="285"/>
      <c r="DH135" s="285"/>
      <c r="DI135" s="285"/>
      <c r="DJ135" s="285"/>
      <c r="DK135" s="285"/>
      <c r="DL135" s="285"/>
      <c r="DM135" s="285"/>
      <c r="DN135" s="285"/>
      <c r="DO135" s="285"/>
      <c r="DP135" s="285"/>
      <c r="DQ135" s="285"/>
      <c r="DR135" s="285"/>
      <c r="DS135" s="285"/>
      <c r="DT135" s="285"/>
      <c r="DU135" s="285"/>
      <c r="DV135" s="285"/>
      <c r="DW135" s="285"/>
      <c r="DX135" s="285"/>
      <c r="DY135" s="285"/>
      <c r="DZ135" s="285"/>
      <c r="EA135" s="285"/>
      <c r="EB135" s="285"/>
      <c r="EC135" s="285"/>
      <c r="ED135" s="285"/>
      <c r="EE135" s="285"/>
      <c r="EF135" s="285"/>
      <c r="EG135" s="285"/>
      <c r="EH135" s="285"/>
      <c r="EI135" s="285"/>
      <c r="EJ135" s="285"/>
      <c r="EK135" s="285"/>
      <c r="EL135" s="285"/>
      <c r="EM135" s="285"/>
      <c r="EN135" s="285"/>
      <c r="EO135" s="285"/>
      <c r="EP135" s="285"/>
      <c r="EQ135" s="285"/>
      <c r="ER135" s="330"/>
      <c r="ES135" s="330"/>
      <c r="ET135" s="330"/>
      <c r="EU135" s="285"/>
      <c r="EV135" s="285"/>
      <c r="EW135" s="285"/>
      <c r="EX135" s="285"/>
      <c r="EY135" s="285"/>
      <c r="EZ135" s="285"/>
      <c r="FA135" s="285"/>
      <c r="FB135" s="285"/>
      <c r="FC135" s="285"/>
      <c r="FD135" s="285"/>
      <c r="FE135" s="285"/>
      <c r="FF135" s="285"/>
      <c r="FG135" s="285"/>
      <c r="FH135" s="285"/>
      <c r="FI135" s="285"/>
      <c r="FJ135" s="285"/>
      <c r="FK135" s="285"/>
      <c r="FL135" s="285"/>
      <c r="FM135" s="285"/>
      <c r="FN135" s="285"/>
      <c r="FO135" s="285"/>
      <c r="FP135" s="285"/>
      <c r="FQ135" s="285"/>
      <c r="FR135" s="285"/>
      <c r="FS135" s="285"/>
      <c r="FT135" s="285"/>
      <c r="FU135" s="285"/>
      <c r="FV135" s="330"/>
      <c r="FW135" s="330"/>
      <c r="FX135" s="330"/>
      <c r="FY135" s="285"/>
      <c r="FZ135" s="285"/>
      <c r="GA135" s="285"/>
      <c r="GB135" s="330"/>
      <c r="GC135" s="330"/>
      <c r="GD135" s="330"/>
      <c r="GE135" s="330"/>
      <c r="GF135" s="330"/>
      <c r="GG135" s="330"/>
    </row>
    <row r="136" spans="1:189" s="146" customFormat="1">
      <c r="A136" s="151"/>
      <c r="B136" s="152"/>
      <c r="C136" s="201"/>
      <c r="D136" s="201"/>
      <c r="E136" s="201"/>
      <c r="J136" s="201"/>
      <c r="BE136" s="201"/>
      <c r="BF136" s="201"/>
      <c r="BG136" s="201"/>
      <c r="CI136" s="201"/>
      <c r="CJ136" s="201"/>
      <c r="CK136" s="201"/>
      <c r="CO136" s="295"/>
      <c r="CP136" s="330"/>
      <c r="CQ136" s="330"/>
      <c r="CR136" s="330"/>
      <c r="CS136" s="285"/>
      <c r="CT136" s="285"/>
      <c r="CU136" s="285"/>
      <c r="CV136" s="285"/>
      <c r="CW136" s="330"/>
      <c r="CX136" s="285"/>
      <c r="CY136" s="285"/>
      <c r="CZ136" s="285"/>
      <c r="DA136" s="285"/>
      <c r="DB136" s="285"/>
      <c r="DC136" s="285"/>
      <c r="DD136" s="285"/>
      <c r="DE136" s="285"/>
      <c r="DF136" s="285"/>
      <c r="DG136" s="285"/>
      <c r="DH136" s="285"/>
      <c r="DI136" s="285"/>
      <c r="DJ136" s="285"/>
      <c r="DK136" s="285"/>
      <c r="DL136" s="285"/>
      <c r="DM136" s="285"/>
      <c r="DN136" s="285"/>
      <c r="DO136" s="285"/>
      <c r="DP136" s="285"/>
      <c r="DQ136" s="285"/>
      <c r="DR136" s="285"/>
      <c r="DS136" s="285"/>
      <c r="DT136" s="285"/>
      <c r="DU136" s="285"/>
      <c r="DV136" s="285"/>
      <c r="DW136" s="285"/>
      <c r="DX136" s="285"/>
      <c r="DY136" s="285"/>
      <c r="DZ136" s="285"/>
      <c r="EA136" s="285"/>
      <c r="EB136" s="285"/>
      <c r="EC136" s="285"/>
      <c r="ED136" s="285"/>
      <c r="EE136" s="285"/>
      <c r="EF136" s="285"/>
      <c r="EG136" s="285"/>
      <c r="EH136" s="285"/>
      <c r="EI136" s="285"/>
      <c r="EJ136" s="285"/>
      <c r="EK136" s="285"/>
      <c r="EL136" s="285"/>
      <c r="EM136" s="285"/>
      <c r="EN136" s="285"/>
      <c r="EO136" s="285"/>
      <c r="EP136" s="285"/>
      <c r="EQ136" s="285"/>
      <c r="ER136" s="330"/>
      <c r="ES136" s="330"/>
      <c r="ET136" s="330"/>
      <c r="EU136" s="285"/>
      <c r="EV136" s="285"/>
      <c r="EW136" s="285"/>
      <c r="EX136" s="285"/>
      <c r="EY136" s="285"/>
      <c r="EZ136" s="285"/>
      <c r="FA136" s="285"/>
      <c r="FB136" s="285"/>
      <c r="FC136" s="285"/>
      <c r="FD136" s="285"/>
      <c r="FE136" s="285"/>
      <c r="FF136" s="285"/>
      <c r="FG136" s="285"/>
      <c r="FH136" s="285"/>
      <c r="FI136" s="285"/>
      <c r="FJ136" s="285"/>
      <c r="FK136" s="285"/>
      <c r="FL136" s="285"/>
      <c r="FM136" s="285"/>
      <c r="FN136" s="285"/>
      <c r="FO136" s="285"/>
      <c r="FP136" s="285"/>
      <c r="FQ136" s="285"/>
      <c r="FR136" s="285"/>
      <c r="FS136" s="285"/>
      <c r="FT136" s="285"/>
      <c r="FU136" s="285"/>
      <c r="FV136" s="330"/>
      <c r="FW136" s="330"/>
      <c r="FX136" s="330"/>
      <c r="FY136" s="285"/>
      <c r="FZ136" s="285"/>
      <c r="GA136" s="285"/>
      <c r="GB136" s="330"/>
      <c r="GC136" s="330"/>
      <c r="GD136" s="330"/>
      <c r="GE136" s="330"/>
      <c r="GF136" s="330"/>
      <c r="GG136" s="330"/>
    </row>
    <row r="137" spans="1:189" s="146" customFormat="1" ht="15.75" customHeight="1">
      <c r="A137" s="151"/>
      <c r="B137" s="152"/>
      <c r="C137" s="201"/>
      <c r="D137" s="201"/>
      <c r="E137" s="201"/>
      <c r="J137" s="201"/>
      <c r="BE137" s="201"/>
      <c r="BF137" s="201"/>
      <c r="BG137" s="201"/>
      <c r="CI137" s="201"/>
      <c r="CJ137" s="201"/>
      <c r="CK137" s="201"/>
      <c r="CO137" s="295"/>
      <c r="CP137" s="330"/>
      <c r="CQ137" s="330"/>
      <c r="CR137" s="330"/>
      <c r="CS137" s="285"/>
      <c r="CT137" s="285"/>
      <c r="CU137" s="285"/>
      <c r="CV137" s="285"/>
      <c r="CW137" s="330"/>
      <c r="CX137" s="285"/>
      <c r="CY137" s="285"/>
      <c r="CZ137" s="285"/>
      <c r="DA137" s="285"/>
      <c r="DB137" s="285"/>
      <c r="DC137" s="285"/>
      <c r="DD137" s="285"/>
      <c r="DE137" s="285"/>
      <c r="DF137" s="285"/>
      <c r="DG137" s="285"/>
      <c r="DH137" s="285"/>
      <c r="DI137" s="285"/>
      <c r="DJ137" s="285"/>
      <c r="DK137" s="285"/>
      <c r="DL137" s="285"/>
      <c r="DM137" s="285"/>
      <c r="DN137" s="285"/>
      <c r="DO137" s="285"/>
      <c r="DP137" s="285"/>
      <c r="DQ137" s="285"/>
      <c r="DR137" s="285"/>
      <c r="DS137" s="285"/>
      <c r="DT137" s="285"/>
      <c r="DU137" s="285"/>
      <c r="DV137" s="285"/>
      <c r="DW137" s="285"/>
      <c r="DX137" s="285"/>
      <c r="DY137" s="285"/>
      <c r="DZ137" s="285"/>
      <c r="EA137" s="285"/>
      <c r="EB137" s="285"/>
      <c r="EC137" s="285"/>
      <c r="ED137" s="285"/>
      <c r="EE137" s="285"/>
      <c r="EF137" s="285"/>
      <c r="EG137" s="285"/>
      <c r="EH137" s="285"/>
      <c r="EI137" s="285"/>
      <c r="EJ137" s="285"/>
      <c r="EK137" s="285"/>
      <c r="EL137" s="285"/>
      <c r="EM137" s="285"/>
      <c r="EN137" s="285"/>
      <c r="EO137" s="285"/>
      <c r="EP137" s="285"/>
      <c r="EQ137" s="285"/>
      <c r="ER137" s="330"/>
      <c r="ES137" s="330"/>
      <c r="ET137" s="330"/>
      <c r="EU137" s="285"/>
      <c r="EV137" s="285"/>
      <c r="EW137" s="285"/>
      <c r="EX137" s="285"/>
      <c r="EY137" s="285"/>
      <c r="EZ137" s="285"/>
      <c r="FA137" s="285"/>
      <c r="FB137" s="285"/>
      <c r="FC137" s="285"/>
      <c r="FD137" s="285"/>
      <c r="FE137" s="285"/>
      <c r="FF137" s="285"/>
      <c r="FG137" s="285"/>
      <c r="FH137" s="285"/>
      <c r="FI137" s="285"/>
      <c r="FJ137" s="285"/>
      <c r="FK137" s="285"/>
      <c r="FL137" s="285"/>
      <c r="FM137" s="285"/>
      <c r="FN137" s="285"/>
      <c r="FO137" s="285"/>
      <c r="FP137" s="285"/>
      <c r="FQ137" s="285"/>
      <c r="FR137" s="285"/>
      <c r="FS137" s="285"/>
      <c r="FT137" s="285"/>
      <c r="FU137" s="285"/>
      <c r="FV137" s="330"/>
      <c r="FW137" s="330"/>
      <c r="FX137" s="330"/>
      <c r="FY137" s="285"/>
      <c r="FZ137" s="285"/>
      <c r="GA137" s="285"/>
      <c r="GB137" s="330"/>
      <c r="GC137" s="330"/>
      <c r="GD137" s="330"/>
      <c r="GE137" s="330"/>
      <c r="GF137" s="330"/>
      <c r="GG137" s="330"/>
    </row>
    <row r="138" spans="1:189" s="146" customFormat="1">
      <c r="A138" s="151"/>
      <c r="B138" s="152"/>
      <c r="C138" s="201"/>
      <c r="D138" s="201"/>
      <c r="E138" s="201"/>
      <c r="J138" s="201"/>
      <c r="BE138" s="201"/>
      <c r="BF138" s="201"/>
      <c r="BG138" s="201"/>
      <c r="CI138" s="201"/>
      <c r="CJ138" s="201"/>
      <c r="CK138" s="201"/>
      <c r="CO138" s="295"/>
      <c r="CP138" s="330"/>
      <c r="CQ138" s="330"/>
      <c r="CR138" s="330"/>
      <c r="CS138" s="285"/>
      <c r="CT138" s="285"/>
      <c r="CU138" s="285"/>
      <c r="CV138" s="285"/>
      <c r="CW138" s="330"/>
      <c r="CX138" s="285"/>
      <c r="CY138" s="285"/>
      <c r="CZ138" s="285"/>
      <c r="DA138" s="285"/>
      <c r="DB138" s="285"/>
      <c r="DC138" s="285"/>
      <c r="DD138" s="285"/>
      <c r="DE138" s="285"/>
      <c r="DF138" s="285"/>
      <c r="DG138" s="285"/>
      <c r="DH138" s="285"/>
      <c r="DI138" s="285"/>
      <c r="DJ138" s="285"/>
      <c r="DK138" s="285"/>
      <c r="DL138" s="285"/>
      <c r="DM138" s="285"/>
      <c r="DN138" s="285"/>
      <c r="DO138" s="285"/>
      <c r="DP138" s="285"/>
      <c r="DQ138" s="285"/>
      <c r="DR138" s="285"/>
      <c r="DS138" s="285"/>
      <c r="DT138" s="285"/>
      <c r="DU138" s="285"/>
      <c r="DV138" s="285"/>
      <c r="DW138" s="285"/>
      <c r="DX138" s="285"/>
      <c r="DY138" s="285"/>
      <c r="DZ138" s="285"/>
      <c r="EA138" s="285"/>
      <c r="EB138" s="285"/>
      <c r="EC138" s="285"/>
      <c r="ED138" s="285"/>
      <c r="EE138" s="285"/>
      <c r="EF138" s="285"/>
      <c r="EG138" s="285"/>
      <c r="EH138" s="285"/>
      <c r="EI138" s="285"/>
      <c r="EJ138" s="285"/>
      <c r="EK138" s="285"/>
      <c r="EL138" s="285"/>
      <c r="EM138" s="285"/>
      <c r="EN138" s="285"/>
      <c r="EO138" s="285"/>
      <c r="EP138" s="285"/>
      <c r="EQ138" s="285"/>
      <c r="ER138" s="330"/>
      <c r="ES138" s="330"/>
      <c r="ET138" s="330"/>
      <c r="EU138" s="285"/>
      <c r="EV138" s="285"/>
      <c r="EW138" s="285"/>
      <c r="EX138" s="285"/>
      <c r="EY138" s="285"/>
      <c r="EZ138" s="285"/>
      <c r="FA138" s="285"/>
      <c r="FB138" s="285"/>
      <c r="FC138" s="285"/>
      <c r="FD138" s="285"/>
      <c r="FE138" s="285"/>
      <c r="FF138" s="285"/>
      <c r="FG138" s="285"/>
      <c r="FH138" s="285"/>
      <c r="FI138" s="285"/>
      <c r="FJ138" s="285"/>
      <c r="FK138" s="285"/>
      <c r="FL138" s="285"/>
      <c r="FM138" s="285"/>
      <c r="FN138" s="285"/>
      <c r="FO138" s="285"/>
      <c r="FP138" s="285"/>
      <c r="FQ138" s="285"/>
      <c r="FR138" s="285"/>
      <c r="FS138" s="285"/>
      <c r="FT138" s="285"/>
      <c r="FU138" s="285"/>
      <c r="FV138" s="330"/>
      <c r="FW138" s="330"/>
      <c r="FX138" s="330"/>
      <c r="FY138" s="285"/>
      <c r="FZ138" s="285"/>
      <c r="GA138" s="285"/>
      <c r="GB138" s="330"/>
      <c r="GC138" s="330"/>
      <c r="GD138" s="330"/>
      <c r="GE138" s="330"/>
      <c r="GF138" s="330"/>
      <c r="GG138" s="330"/>
    </row>
    <row r="139" spans="1:189" s="146" customFormat="1">
      <c r="A139" s="151"/>
      <c r="B139" s="152"/>
      <c r="C139" s="201"/>
      <c r="D139" s="201"/>
      <c r="E139" s="201"/>
      <c r="J139" s="201"/>
      <c r="BE139" s="201"/>
      <c r="BF139" s="201"/>
      <c r="BG139" s="201"/>
      <c r="CI139" s="201"/>
      <c r="CJ139" s="201"/>
      <c r="CK139" s="201"/>
      <c r="CO139" s="295"/>
      <c r="CP139" s="330"/>
      <c r="CQ139" s="330"/>
      <c r="CR139" s="330"/>
      <c r="CS139" s="285"/>
      <c r="CT139" s="285"/>
      <c r="CU139" s="285"/>
      <c r="CV139" s="285"/>
      <c r="CW139" s="330"/>
      <c r="CX139" s="285"/>
      <c r="CY139" s="285"/>
      <c r="CZ139" s="285"/>
      <c r="DA139" s="285"/>
      <c r="DB139" s="285"/>
      <c r="DC139" s="285"/>
      <c r="DD139" s="285"/>
      <c r="DE139" s="285"/>
      <c r="DF139" s="285"/>
      <c r="DG139" s="285"/>
      <c r="DH139" s="285"/>
      <c r="DI139" s="285"/>
      <c r="DJ139" s="285"/>
      <c r="DK139" s="285"/>
      <c r="DL139" s="285"/>
      <c r="DM139" s="285"/>
      <c r="DN139" s="285"/>
      <c r="DO139" s="285"/>
      <c r="DP139" s="285"/>
      <c r="DQ139" s="285"/>
      <c r="DR139" s="285"/>
      <c r="DS139" s="285"/>
      <c r="DT139" s="285"/>
      <c r="DU139" s="285"/>
      <c r="DV139" s="285"/>
      <c r="DW139" s="285"/>
      <c r="DX139" s="285"/>
      <c r="DY139" s="285"/>
      <c r="DZ139" s="285"/>
      <c r="EA139" s="285"/>
      <c r="EB139" s="285"/>
      <c r="EC139" s="285"/>
      <c r="ED139" s="285"/>
      <c r="EE139" s="285"/>
      <c r="EF139" s="285"/>
      <c r="EG139" s="285"/>
      <c r="EH139" s="285"/>
      <c r="EI139" s="285"/>
      <c r="EJ139" s="285"/>
      <c r="EK139" s="285"/>
      <c r="EL139" s="285"/>
      <c r="EM139" s="285"/>
      <c r="EN139" s="285"/>
      <c r="EO139" s="285"/>
      <c r="EP139" s="285"/>
      <c r="EQ139" s="285"/>
      <c r="ER139" s="330"/>
      <c r="ES139" s="330"/>
      <c r="ET139" s="330"/>
      <c r="EU139" s="285"/>
      <c r="EV139" s="285"/>
      <c r="EW139" s="285"/>
      <c r="EX139" s="285"/>
      <c r="EY139" s="285"/>
      <c r="EZ139" s="285"/>
      <c r="FA139" s="285"/>
      <c r="FB139" s="285"/>
      <c r="FC139" s="285"/>
      <c r="FD139" s="285"/>
      <c r="FE139" s="285"/>
      <c r="FF139" s="285"/>
      <c r="FG139" s="285"/>
      <c r="FH139" s="285"/>
      <c r="FI139" s="285"/>
      <c r="FJ139" s="285"/>
      <c r="FK139" s="285"/>
      <c r="FL139" s="285"/>
      <c r="FM139" s="285"/>
      <c r="FN139" s="285"/>
      <c r="FO139" s="285"/>
      <c r="FP139" s="285"/>
      <c r="FQ139" s="285"/>
      <c r="FR139" s="285"/>
      <c r="FS139" s="285"/>
      <c r="FT139" s="285"/>
      <c r="FU139" s="285"/>
      <c r="FV139" s="330"/>
      <c r="FW139" s="330"/>
      <c r="FX139" s="330"/>
      <c r="FY139" s="285"/>
      <c r="FZ139" s="285"/>
      <c r="GA139" s="285"/>
      <c r="GB139" s="330"/>
      <c r="GC139" s="330"/>
      <c r="GD139" s="330"/>
      <c r="GE139" s="330"/>
      <c r="GF139" s="330"/>
      <c r="GG139" s="330"/>
    </row>
    <row r="140" spans="1:189" s="146" customFormat="1">
      <c r="A140" s="151"/>
      <c r="B140" s="152"/>
      <c r="C140" s="201"/>
      <c r="D140" s="201"/>
      <c r="E140" s="201"/>
      <c r="J140" s="201"/>
      <c r="BE140" s="201"/>
      <c r="BF140" s="201"/>
      <c r="BG140" s="201"/>
      <c r="CI140" s="201"/>
      <c r="CJ140" s="201"/>
      <c r="CK140" s="201"/>
      <c r="CO140" s="295"/>
      <c r="CP140" s="330"/>
      <c r="CQ140" s="330"/>
      <c r="CR140" s="330"/>
      <c r="CS140" s="285"/>
      <c r="CT140" s="285"/>
      <c r="CU140" s="285"/>
      <c r="CV140" s="285"/>
      <c r="CW140" s="330"/>
      <c r="CX140" s="285"/>
      <c r="CY140" s="285"/>
      <c r="CZ140" s="285"/>
      <c r="DA140" s="285"/>
      <c r="DB140" s="285"/>
      <c r="DC140" s="285"/>
      <c r="DD140" s="285"/>
      <c r="DE140" s="285"/>
      <c r="DF140" s="285"/>
      <c r="DG140" s="285"/>
      <c r="DH140" s="285"/>
      <c r="DI140" s="285"/>
      <c r="DJ140" s="285"/>
      <c r="DK140" s="285"/>
      <c r="DL140" s="285"/>
      <c r="DM140" s="285"/>
      <c r="DN140" s="285"/>
      <c r="DO140" s="285"/>
      <c r="DP140" s="285"/>
      <c r="DQ140" s="285"/>
      <c r="DR140" s="285"/>
      <c r="DS140" s="285"/>
      <c r="DT140" s="285"/>
      <c r="DU140" s="285"/>
      <c r="DV140" s="285"/>
      <c r="DW140" s="285"/>
      <c r="DX140" s="285"/>
      <c r="DY140" s="285"/>
      <c r="DZ140" s="285"/>
      <c r="EA140" s="285"/>
      <c r="EB140" s="285"/>
      <c r="EC140" s="285"/>
      <c r="ED140" s="285"/>
      <c r="EE140" s="285"/>
      <c r="EF140" s="285"/>
      <c r="EG140" s="285"/>
      <c r="EH140" s="285"/>
      <c r="EI140" s="285"/>
      <c r="EJ140" s="285"/>
      <c r="EK140" s="285"/>
      <c r="EL140" s="285"/>
      <c r="EM140" s="285"/>
      <c r="EN140" s="285"/>
      <c r="EO140" s="285"/>
      <c r="EP140" s="285"/>
      <c r="EQ140" s="285"/>
      <c r="ER140" s="330"/>
      <c r="ES140" s="330"/>
      <c r="ET140" s="330"/>
      <c r="EU140" s="285"/>
      <c r="EV140" s="285"/>
      <c r="EW140" s="285"/>
      <c r="EX140" s="285"/>
      <c r="EY140" s="285"/>
      <c r="EZ140" s="285"/>
      <c r="FA140" s="285"/>
      <c r="FB140" s="285"/>
      <c r="FC140" s="285"/>
      <c r="FD140" s="285"/>
      <c r="FE140" s="285"/>
      <c r="FF140" s="285"/>
      <c r="FG140" s="285"/>
      <c r="FH140" s="285"/>
      <c r="FI140" s="285"/>
      <c r="FJ140" s="285"/>
      <c r="FK140" s="285"/>
      <c r="FL140" s="285"/>
      <c r="FM140" s="285"/>
      <c r="FN140" s="285"/>
      <c r="FO140" s="285"/>
      <c r="FP140" s="285"/>
      <c r="FQ140" s="285"/>
      <c r="FR140" s="285"/>
      <c r="FS140" s="285"/>
      <c r="FT140" s="285"/>
      <c r="FU140" s="285"/>
      <c r="FV140" s="330"/>
      <c r="FW140" s="330"/>
      <c r="FX140" s="330"/>
      <c r="FY140" s="285"/>
      <c r="FZ140" s="285"/>
      <c r="GA140" s="285"/>
      <c r="GB140" s="330"/>
      <c r="GC140" s="330"/>
      <c r="GD140" s="330"/>
      <c r="GE140" s="330"/>
      <c r="GF140" s="330"/>
      <c r="GG140" s="330"/>
    </row>
    <row r="141" spans="1:189" s="146" customFormat="1" ht="15.75" customHeight="1">
      <c r="A141" s="151"/>
      <c r="B141" s="152"/>
      <c r="C141" s="201"/>
      <c r="D141" s="201"/>
      <c r="E141" s="201"/>
      <c r="J141" s="201"/>
      <c r="BE141" s="201"/>
      <c r="BF141" s="201"/>
      <c r="BG141" s="201"/>
      <c r="CI141" s="201"/>
      <c r="CJ141" s="201"/>
      <c r="CK141" s="201"/>
      <c r="CO141" s="295"/>
      <c r="CP141" s="330"/>
      <c r="CQ141" s="330"/>
      <c r="CR141" s="330"/>
      <c r="CS141" s="285"/>
      <c r="CT141" s="285"/>
      <c r="CU141" s="285"/>
      <c r="CV141" s="285"/>
      <c r="CW141" s="330"/>
      <c r="CX141" s="285"/>
      <c r="CY141" s="285"/>
      <c r="CZ141" s="285"/>
      <c r="DA141" s="285"/>
      <c r="DB141" s="285"/>
      <c r="DC141" s="285"/>
      <c r="DD141" s="285"/>
      <c r="DE141" s="285"/>
      <c r="DF141" s="285"/>
      <c r="DG141" s="285"/>
      <c r="DH141" s="285"/>
      <c r="DI141" s="285"/>
      <c r="DJ141" s="285"/>
      <c r="DK141" s="285"/>
      <c r="DL141" s="285"/>
      <c r="DM141" s="285"/>
      <c r="DN141" s="285"/>
      <c r="DO141" s="285"/>
      <c r="DP141" s="285"/>
      <c r="DQ141" s="285"/>
      <c r="DR141" s="285"/>
      <c r="DS141" s="285"/>
      <c r="DT141" s="285"/>
      <c r="DU141" s="285"/>
      <c r="DV141" s="285"/>
      <c r="DW141" s="285"/>
      <c r="DX141" s="285"/>
      <c r="DY141" s="285"/>
      <c r="DZ141" s="285"/>
      <c r="EA141" s="285"/>
      <c r="EB141" s="285"/>
      <c r="EC141" s="285"/>
      <c r="ED141" s="285"/>
      <c r="EE141" s="285"/>
      <c r="EF141" s="285"/>
      <c r="EG141" s="285"/>
      <c r="EH141" s="285"/>
      <c r="EI141" s="285"/>
      <c r="EJ141" s="285"/>
      <c r="EK141" s="285"/>
      <c r="EL141" s="285"/>
      <c r="EM141" s="285"/>
      <c r="EN141" s="285"/>
      <c r="EO141" s="285"/>
      <c r="EP141" s="285"/>
      <c r="EQ141" s="285"/>
      <c r="ER141" s="330"/>
      <c r="ES141" s="330"/>
      <c r="ET141" s="330"/>
      <c r="EU141" s="285"/>
      <c r="EV141" s="285"/>
      <c r="EW141" s="285"/>
      <c r="EX141" s="285"/>
      <c r="EY141" s="285"/>
      <c r="EZ141" s="285"/>
      <c r="FA141" s="285"/>
      <c r="FB141" s="285"/>
      <c r="FC141" s="285"/>
      <c r="FD141" s="285"/>
      <c r="FE141" s="285"/>
      <c r="FF141" s="285"/>
      <c r="FG141" s="285"/>
      <c r="FH141" s="285"/>
      <c r="FI141" s="285"/>
      <c r="FJ141" s="285"/>
      <c r="FK141" s="285"/>
      <c r="FL141" s="285"/>
      <c r="FM141" s="285"/>
      <c r="FN141" s="285"/>
      <c r="FO141" s="285"/>
      <c r="FP141" s="285"/>
      <c r="FQ141" s="285"/>
      <c r="FR141" s="285"/>
      <c r="FS141" s="285"/>
      <c r="FT141" s="285"/>
      <c r="FU141" s="285"/>
      <c r="FV141" s="330"/>
      <c r="FW141" s="330"/>
      <c r="FX141" s="330"/>
      <c r="FY141" s="285"/>
      <c r="FZ141" s="285"/>
      <c r="GA141" s="285"/>
      <c r="GB141" s="330"/>
      <c r="GC141" s="330"/>
      <c r="GD141" s="330"/>
      <c r="GE141" s="330"/>
      <c r="GF141" s="330"/>
      <c r="GG141" s="330"/>
    </row>
    <row r="142" spans="1:189" s="146" customFormat="1">
      <c r="A142" s="151"/>
      <c r="B142" s="152"/>
      <c r="C142" s="201"/>
      <c r="D142" s="201"/>
      <c r="E142" s="201"/>
      <c r="J142" s="201"/>
      <c r="BE142" s="201"/>
      <c r="BF142" s="201"/>
      <c r="BG142" s="201"/>
      <c r="CI142" s="201"/>
      <c r="CJ142" s="201"/>
      <c r="CK142" s="201"/>
      <c r="CO142" s="295"/>
      <c r="CP142" s="330"/>
      <c r="CQ142" s="330"/>
      <c r="CR142" s="330"/>
      <c r="CS142" s="285"/>
      <c r="CT142" s="285"/>
      <c r="CU142" s="285"/>
      <c r="CV142" s="285"/>
      <c r="CW142" s="330"/>
      <c r="CX142" s="285"/>
      <c r="CY142" s="285"/>
      <c r="CZ142" s="285"/>
      <c r="DA142" s="285"/>
      <c r="DB142" s="285"/>
      <c r="DC142" s="285"/>
      <c r="DD142" s="285"/>
      <c r="DE142" s="285"/>
      <c r="DF142" s="285"/>
      <c r="DG142" s="285"/>
      <c r="DH142" s="285"/>
      <c r="DI142" s="285"/>
      <c r="DJ142" s="285"/>
      <c r="DK142" s="285"/>
      <c r="DL142" s="285"/>
      <c r="DM142" s="285"/>
      <c r="DN142" s="285"/>
      <c r="DO142" s="285"/>
      <c r="DP142" s="285"/>
      <c r="DQ142" s="285"/>
      <c r="DR142" s="285"/>
      <c r="DS142" s="285"/>
      <c r="DT142" s="285"/>
      <c r="DU142" s="285"/>
      <c r="DV142" s="285"/>
      <c r="DW142" s="285"/>
      <c r="DX142" s="285"/>
      <c r="DY142" s="285"/>
      <c r="DZ142" s="285"/>
      <c r="EA142" s="285"/>
      <c r="EB142" s="285"/>
      <c r="EC142" s="285"/>
      <c r="ED142" s="285"/>
      <c r="EE142" s="285"/>
      <c r="EF142" s="285"/>
      <c r="EG142" s="285"/>
      <c r="EH142" s="285"/>
      <c r="EI142" s="285"/>
      <c r="EJ142" s="285"/>
      <c r="EK142" s="285"/>
      <c r="EL142" s="285"/>
      <c r="EM142" s="285"/>
      <c r="EN142" s="285"/>
      <c r="EO142" s="285"/>
      <c r="EP142" s="285"/>
      <c r="EQ142" s="285"/>
      <c r="ER142" s="330"/>
      <c r="ES142" s="330"/>
      <c r="ET142" s="330"/>
      <c r="EU142" s="285"/>
      <c r="EV142" s="285"/>
      <c r="EW142" s="285"/>
      <c r="EX142" s="285"/>
      <c r="EY142" s="285"/>
      <c r="EZ142" s="285"/>
      <c r="FA142" s="285"/>
      <c r="FB142" s="285"/>
      <c r="FC142" s="285"/>
      <c r="FD142" s="285"/>
      <c r="FE142" s="285"/>
      <c r="FF142" s="285"/>
      <c r="FG142" s="285"/>
      <c r="FH142" s="285"/>
      <c r="FI142" s="285"/>
      <c r="FJ142" s="285"/>
      <c r="FK142" s="285"/>
      <c r="FL142" s="285"/>
      <c r="FM142" s="285"/>
      <c r="FN142" s="285"/>
      <c r="FO142" s="285"/>
      <c r="FP142" s="285"/>
      <c r="FQ142" s="285"/>
      <c r="FR142" s="285"/>
      <c r="FS142" s="285"/>
      <c r="FT142" s="285"/>
      <c r="FU142" s="285"/>
      <c r="FV142" s="330"/>
      <c r="FW142" s="330"/>
      <c r="FX142" s="330"/>
      <c r="FY142" s="285"/>
      <c r="FZ142" s="285"/>
      <c r="GA142" s="285"/>
      <c r="GB142" s="330"/>
      <c r="GC142" s="330"/>
      <c r="GD142" s="330"/>
      <c r="GE142" s="330"/>
      <c r="GF142" s="330"/>
      <c r="GG142" s="330"/>
    </row>
    <row r="143" spans="1:189" s="146" customFormat="1">
      <c r="A143" s="151"/>
      <c r="B143" s="152"/>
      <c r="C143" s="201"/>
      <c r="D143" s="201"/>
      <c r="E143" s="201"/>
      <c r="J143" s="201"/>
      <c r="BE143" s="201"/>
      <c r="BF143" s="201"/>
      <c r="BG143" s="201"/>
      <c r="CI143" s="201"/>
      <c r="CJ143" s="201"/>
      <c r="CK143" s="201"/>
      <c r="CO143" s="295"/>
      <c r="CP143" s="330"/>
      <c r="CQ143" s="330"/>
      <c r="CR143" s="330"/>
      <c r="CS143" s="285"/>
      <c r="CT143" s="285"/>
      <c r="CU143" s="285"/>
      <c r="CV143" s="285"/>
      <c r="CW143" s="330"/>
      <c r="CX143" s="285"/>
      <c r="CY143" s="285"/>
      <c r="CZ143" s="285"/>
      <c r="DA143" s="285"/>
      <c r="DB143" s="285"/>
      <c r="DC143" s="285"/>
      <c r="DD143" s="285"/>
      <c r="DE143" s="285"/>
      <c r="DF143" s="285"/>
      <c r="DG143" s="285"/>
      <c r="DH143" s="285"/>
      <c r="DI143" s="285"/>
      <c r="DJ143" s="285"/>
      <c r="DK143" s="285"/>
      <c r="DL143" s="285"/>
      <c r="DM143" s="285"/>
      <c r="DN143" s="285"/>
      <c r="DO143" s="285"/>
      <c r="DP143" s="285"/>
      <c r="DQ143" s="285"/>
      <c r="DR143" s="285"/>
      <c r="DS143" s="285"/>
      <c r="DT143" s="285"/>
      <c r="DU143" s="285"/>
      <c r="DV143" s="285"/>
      <c r="DW143" s="285"/>
      <c r="DX143" s="285"/>
      <c r="DY143" s="285"/>
      <c r="DZ143" s="285"/>
      <c r="EA143" s="285"/>
      <c r="EB143" s="285"/>
      <c r="EC143" s="285"/>
      <c r="ED143" s="285"/>
      <c r="EE143" s="285"/>
      <c r="EF143" s="285"/>
      <c r="EG143" s="285"/>
      <c r="EH143" s="285"/>
      <c r="EI143" s="285"/>
      <c r="EJ143" s="285"/>
      <c r="EK143" s="285"/>
      <c r="EL143" s="285"/>
      <c r="EM143" s="285"/>
      <c r="EN143" s="285"/>
      <c r="EO143" s="285"/>
      <c r="EP143" s="285"/>
      <c r="EQ143" s="285"/>
      <c r="ER143" s="330"/>
      <c r="ES143" s="330"/>
      <c r="ET143" s="330"/>
      <c r="EU143" s="285"/>
      <c r="EV143" s="285"/>
      <c r="EW143" s="285"/>
      <c r="EX143" s="285"/>
      <c r="EY143" s="285"/>
      <c r="EZ143" s="285"/>
      <c r="FA143" s="285"/>
      <c r="FB143" s="285"/>
      <c r="FC143" s="285"/>
      <c r="FD143" s="285"/>
      <c r="FE143" s="285"/>
      <c r="FF143" s="285"/>
      <c r="FG143" s="285"/>
      <c r="FH143" s="285"/>
      <c r="FI143" s="285"/>
      <c r="FJ143" s="285"/>
      <c r="FK143" s="285"/>
      <c r="FL143" s="285"/>
      <c r="FM143" s="285"/>
      <c r="FN143" s="285"/>
      <c r="FO143" s="285"/>
      <c r="FP143" s="285"/>
      <c r="FQ143" s="285"/>
      <c r="FR143" s="285"/>
      <c r="FS143" s="285"/>
      <c r="FT143" s="285"/>
      <c r="FU143" s="285"/>
      <c r="FV143" s="330"/>
      <c r="FW143" s="330"/>
      <c r="FX143" s="330"/>
      <c r="FY143" s="285"/>
      <c r="FZ143" s="285"/>
      <c r="GA143" s="285"/>
      <c r="GB143" s="330"/>
      <c r="GC143" s="330"/>
      <c r="GD143" s="330"/>
      <c r="GE143" s="330"/>
      <c r="GF143" s="330"/>
      <c r="GG143" s="330"/>
    </row>
    <row r="144" spans="1:189" s="146" customFormat="1">
      <c r="A144" s="151"/>
      <c r="B144" s="152"/>
      <c r="C144" s="201"/>
      <c r="D144" s="201"/>
      <c r="E144" s="201"/>
      <c r="J144" s="201"/>
      <c r="BE144" s="201"/>
      <c r="BF144" s="201"/>
      <c r="BG144" s="201"/>
      <c r="CI144" s="201"/>
      <c r="CJ144" s="201"/>
      <c r="CK144" s="201"/>
      <c r="CO144" s="295"/>
      <c r="CP144" s="330"/>
      <c r="CQ144" s="330"/>
      <c r="CR144" s="330"/>
      <c r="CS144" s="285"/>
      <c r="CT144" s="285"/>
      <c r="CU144" s="285"/>
      <c r="CV144" s="285"/>
      <c r="CW144" s="330"/>
      <c r="CX144" s="285"/>
      <c r="CY144" s="285"/>
      <c r="CZ144" s="285"/>
      <c r="DA144" s="285"/>
      <c r="DB144" s="285"/>
      <c r="DC144" s="285"/>
      <c r="DD144" s="285"/>
      <c r="DE144" s="285"/>
      <c r="DF144" s="285"/>
      <c r="DG144" s="285"/>
      <c r="DH144" s="285"/>
      <c r="DI144" s="285"/>
      <c r="DJ144" s="285"/>
      <c r="DK144" s="285"/>
      <c r="DL144" s="285"/>
      <c r="DM144" s="285"/>
      <c r="DN144" s="285"/>
      <c r="DO144" s="285"/>
      <c r="DP144" s="285"/>
      <c r="DQ144" s="285"/>
      <c r="DR144" s="285"/>
      <c r="DS144" s="285"/>
      <c r="DT144" s="285"/>
      <c r="DU144" s="285"/>
      <c r="DV144" s="285"/>
      <c r="DW144" s="285"/>
      <c r="DX144" s="285"/>
      <c r="DY144" s="285"/>
      <c r="DZ144" s="285"/>
      <c r="EA144" s="285"/>
      <c r="EB144" s="285"/>
      <c r="EC144" s="285"/>
      <c r="ED144" s="285"/>
      <c r="EE144" s="285"/>
      <c r="EF144" s="285"/>
      <c r="EG144" s="285"/>
      <c r="EH144" s="285"/>
      <c r="EI144" s="285"/>
      <c r="EJ144" s="285"/>
      <c r="EK144" s="285"/>
      <c r="EL144" s="285"/>
      <c r="EM144" s="285"/>
      <c r="EN144" s="285"/>
      <c r="EO144" s="285"/>
      <c r="EP144" s="285"/>
      <c r="EQ144" s="285"/>
      <c r="ER144" s="330"/>
      <c r="ES144" s="330"/>
      <c r="ET144" s="330"/>
      <c r="EU144" s="285"/>
      <c r="EV144" s="285"/>
      <c r="EW144" s="285"/>
      <c r="EX144" s="285"/>
      <c r="EY144" s="285"/>
      <c r="EZ144" s="285"/>
      <c r="FA144" s="285"/>
      <c r="FB144" s="285"/>
      <c r="FC144" s="285"/>
      <c r="FD144" s="285"/>
      <c r="FE144" s="285"/>
      <c r="FF144" s="285"/>
      <c r="FG144" s="285"/>
      <c r="FH144" s="285"/>
      <c r="FI144" s="285"/>
      <c r="FJ144" s="285"/>
      <c r="FK144" s="285"/>
      <c r="FL144" s="285"/>
      <c r="FM144" s="285"/>
      <c r="FN144" s="285"/>
      <c r="FO144" s="285"/>
      <c r="FP144" s="285"/>
      <c r="FQ144" s="285"/>
      <c r="FR144" s="285"/>
      <c r="FS144" s="285"/>
      <c r="FT144" s="285"/>
      <c r="FU144" s="285"/>
      <c r="FV144" s="330"/>
      <c r="FW144" s="330"/>
      <c r="FX144" s="330"/>
      <c r="FY144" s="285"/>
      <c r="FZ144" s="285"/>
      <c r="GA144" s="285"/>
      <c r="GB144" s="330"/>
      <c r="GC144" s="330"/>
      <c r="GD144" s="330"/>
      <c r="GE144" s="330"/>
      <c r="GF144" s="330"/>
      <c r="GG144" s="330"/>
    </row>
    <row r="145" spans="1:189" s="146" customFormat="1" ht="15.75" customHeight="1">
      <c r="A145" s="151"/>
      <c r="B145" s="152"/>
      <c r="C145" s="201"/>
      <c r="D145" s="201"/>
      <c r="E145" s="201"/>
      <c r="J145" s="201"/>
      <c r="BE145" s="201"/>
      <c r="BF145" s="201"/>
      <c r="BG145" s="201"/>
      <c r="CI145" s="201"/>
      <c r="CJ145" s="201"/>
      <c r="CK145" s="201"/>
      <c r="CO145" s="295"/>
      <c r="CP145" s="330"/>
      <c r="CQ145" s="330"/>
      <c r="CR145" s="330"/>
      <c r="CS145" s="285"/>
      <c r="CT145" s="285"/>
      <c r="CU145" s="285"/>
      <c r="CV145" s="285"/>
      <c r="CW145" s="330"/>
      <c r="CX145" s="285"/>
      <c r="CY145" s="285"/>
      <c r="CZ145" s="285"/>
      <c r="DA145" s="285"/>
      <c r="DB145" s="285"/>
      <c r="DC145" s="285"/>
      <c r="DD145" s="285"/>
      <c r="DE145" s="285"/>
      <c r="DF145" s="285"/>
      <c r="DG145" s="285"/>
      <c r="DH145" s="285"/>
      <c r="DI145" s="285"/>
      <c r="DJ145" s="285"/>
      <c r="DK145" s="285"/>
      <c r="DL145" s="285"/>
      <c r="DM145" s="285"/>
      <c r="DN145" s="285"/>
      <c r="DO145" s="285"/>
      <c r="DP145" s="285"/>
      <c r="DQ145" s="285"/>
      <c r="DR145" s="285"/>
      <c r="DS145" s="285"/>
      <c r="DT145" s="285"/>
      <c r="DU145" s="285"/>
      <c r="DV145" s="285"/>
      <c r="DW145" s="285"/>
      <c r="DX145" s="285"/>
      <c r="DY145" s="285"/>
      <c r="DZ145" s="285"/>
      <c r="EA145" s="285"/>
      <c r="EB145" s="285"/>
      <c r="EC145" s="285"/>
      <c r="ED145" s="285"/>
      <c r="EE145" s="285"/>
      <c r="EF145" s="285"/>
      <c r="EG145" s="285"/>
      <c r="EH145" s="285"/>
      <c r="EI145" s="285"/>
      <c r="EJ145" s="285"/>
      <c r="EK145" s="285"/>
      <c r="EL145" s="285"/>
      <c r="EM145" s="285"/>
      <c r="EN145" s="285"/>
      <c r="EO145" s="285"/>
      <c r="EP145" s="285"/>
      <c r="EQ145" s="285"/>
      <c r="ER145" s="330"/>
      <c r="ES145" s="330"/>
      <c r="ET145" s="330"/>
      <c r="EU145" s="285"/>
      <c r="EV145" s="285"/>
      <c r="EW145" s="285"/>
      <c r="EX145" s="285"/>
      <c r="EY145" s="285"/>
      <c r="EZ145" s="285"/>
      <c r="FA145" s="285"/>
      <c r="FB145" s="285"/>
      <c r="FC145" s="285"/>
      <c r="FD145" s="285"/>
      <c r="FE145" s="285"/>
      <c r="FF145" s="285"/>
      <c r="FG145" s="285"/>
      <c r="FH145" s="285"/>
      <c r="FI145" s="285"/>
      <c r="FJ145" s="285"/>
      <c r="FK145" s="285"/>
      <c r="FL145" s="285"/>
      <c r="FM145" s="285"/>
      <c r="FN145" s="285"/>
      <c r="FO145" s="285"/>
      <c r="FP145" s="285"/>
      <c r="FQ145" s="285"/>
      <c r="FR145" s="285"/>
      <c r="FS145" s="285"/>
      <c r="FT145" s="285"/>
      <c r="FU145" s="285"/>
      <c r="FV145" s="330"/>
      <c r="FW145" s="330"/>
      <c r="FX145" s="330"/>
      <c r="FY145" s="285"/>
      <c r="FZ145" s="285"/>
      <c r="GA145" s="285"/>
      <c r="GB145" s="330"/>
      <c r="GC145" s="330"/>
      <c r="GD145" s="330"/>
      <c r="GE145" s="330"/>
      <c r="GF145" s="330"/>
      <c r="GG145" s="330"/>
    </row>
    <row r="146" spans="1:189" s="146" customFormat="1">
      <c r="A146" s="151"/>
      <c r="B146" s="152"/>
      <c r="C146" s="201"/>
      <c r="D146" s="201"/>
      <c r="E146" s="201"/>
      <c r="J146" s="201"/>
      <c r="BE146" s="201"/>
      <c r="BF146" s="201"/>
      <c r="BG146" s="201"/>
      <c r="CI146" s="201"/>
      <c r="CJ146" s="201"/>
      <c r="CK146" s="201"/>
      <c r="CO146" s="295"/>
      <c r="CP146" s="330"/>
      <c r="CQ146" s="330"/>
      <c r="CR146" s="330"/>
      <c r="CS146" s="285"/>
      <c r="CT146" s="285"/>
      <c r="CU146" s="285"/>
      <c r="CV146" s="285"/>
      <c r="CW146" s="330"/>
      <c r="CX146" s="285"/>
      <c r="CY146" s="285"/>
      <c r="CZ146" s="285"/>
      <c r="DA146" s="285"/>
      <c r="DB146" s="285"/>
      <c r="DC146" s="285"/>
      <c r="DD146" s="285"/>
      <c r="DE146" s="285"/>
      <c r="DF146" s="285"/>
      <c r="DG146" s="285"/>
      <c r="DH146" s="285"/>
      <c r="DI146" s="285"/>
      <c r="DJ146" s="285"/>
      <c r="DK146" s="285"/>
      <c r="DL146" s="285"/>
      <c r="DM146" s="285"/>
      <c r="DN146" s="285"/>
      <c r="DO146" s="285"/>
      <c r="DP146" s="285"/>
      <c r="DQ146" s="285"/>
      <c r="DR146" s="285"/>
      <c r="DS146" s="285"/>
      <c r="DT146" s="285"/>
      <c r="DU146" s="285"/>
      <c r="DV146" s="285"/>
      <c r="DW146" s="285"/>
      <c r="DX146" s="285"/>
      <c r="DY146" s="285"/>
      <c r="DZ146" s="285"/>
      <c r="EA146" s="285"/>
      <c r="EB146" s="285"/>
      <c r="EC146" s="285"/>
      <c r="ED146" s="285"/>
      <c r="EE146" s="285"/>
      <c r="EF146" s="285"/>
      <c r="EG146" s="285"/>
      <c r="EH146" s="285"/>
      <c r="EI146" s="285"/>
      <c r="EJ146" s="285"/>
      <c r="EK146" s="285"/>
      <c r="EL146" s="285"/>
      <c r="EM146" s="285"/>
      <c r="EN146" s="285"/>
      <c r="EO146" s="285"/>
      <c r="EP146" s="285"/>
      <c r="EQ146" s="285"/>
      <c r="ER146" s="330"/>
      <c r="ES146" s="330"/>
      <c r="ET146" s="330"/>
      <c r="EU146" s="285"/>
      <c r="EV146" s="285"/>
      <c r="EW146" s="285"/>
      <c r="EX146" s="285"/>
      <c r="EY146" s="285"/>
      <c r="EZ146" s="285"/>
      <c r="FA146" s="285"/>
      <c r="FB146" s="285"/>
      <c r="FC146" s="285"/>
      <c r="FD146" s="285"/>
      <c r="FE146" s="285"/>
      <c r="FF146" s="285"/>
      <c r="FG146" s="285"/>
      <c r="FH146" s="285"/>
      <c r="FI146" s="285"/>
      <c r="FJ146" s="285"/>
      <c r="FK146" s="285"/>
      <c r="FL146" s="285"/>
      <c r="FM146" s="285"/>
      <c r="FN146" s="285"/>
      <c r="FO146" s="285"/>
      <c r="FP146" s="285"/>
      <c r="FQ146" s="285"/>
      <c r="FR146" s="285"/>
      <c r="FS146" s="285"/>
      <c r="FT146" s="285"/>
      <c r="FU146" s="285"/>
      <c r="FV146" s="330"/>
      <c r="FW146" s="330"/>
      <c r="FX146" s="330"/>
      <c r="FY146" s="285"/>
      <c r="FZ146" s="285"/>
      <c r="GA146" s="285"/>
      <c r="GB146" s="330"/>
      <c r="GC146" s="330"/>
      <c r="GD146" s="330"/>
      <c r="GE146" s="330"/>
      <c r="GF146" s="330"/>
      <c r="GG146" s="330"/>
    </row>
    <row r="147" spans="1:189" s="146" customFormat="1">
      <c r="A147" s="151"/>
      <c r="B147" s="152"/>
      <c r="C147" s="201"/>
      <c r="D147" s="201"/>
      <c r="E147" s="201"/>
      <c r="J147" s="201"/>
      <c r="BE147" s="201"/>
      <c r="BF147" s="201"/>
      <c r="BG147" s="201"/>
      <c r="CI147" s="201"/>
      <c r="CJ147" s="201"/>
      <c r="CK147" s="201"/>
      <c r="CO147" s="295"/>
      <c r="CP147" s="330"/>
      <c r="CQ147" s="330"/>
      <c r="CR147" s="330"/>
      <c r="CS147" s="285"/>
      <c r="CT147" s="285"/>
      <c r="CU147" s="285"/>
      <c r="CV147" s="285"/>
      <c r="CW147" s="330"/>
      <c r="CX147" s="285"/>
      <c r="CY147" s="285"/>
      <c r="CZ147" s="285"/>
      <c r="DA147" s="285"/>
      <c r="DB147" s="285"/>
      <c r="DC147" s="285"/>
      <c r="DD147" s="285"/>
      <c r="DE147" s="285"/>
      <c r="DF147" s="285"/>
      <c r="DG147" s="285"/>
      <c r="DH147" s="285"/>
      <c r="DI147" s="285"/>
      <c r="DJ147" s="285"/>
      <c r="DK147" s="285"/>
      <c r="DL147" s="285"/>
      <c r="DM147" s="285"/>
      <c r="DN147" s="285"/>
      <c r="DO147" s="285"/>
      <c r="DP147" s="285"/>
      <c r="DQ147" s="285"/>
      <c r="DR147" s="285"/>
      <c r="DS147" s="285"/>
      <c r="DT147" s="285"/>
      <c r="DU147" s="285"/>
      <c r="DV147" s="285"/>
      <c r="DW147" s="285"/>
      <c r="DX147" s="285"/>
      <c r="DY147" s="285"/>
      <c r="DZ147" s="285"/>
      <c r="EA147" s="285"/>
      <c r="EB147" s="285"/>
      <c r="EC147" s="285"/>
      <c r="ED147" s="285"/>
      <c r="EE147" s="285"/>
      <c r="EF147" s="285"/>
      <c r="EG147" s="285"/>
      <c r="EH147" s="285"/>
      <c r="EI147" s="285"/>
      <c r="EJ147" s="285"/>
      <c r="EK147" s="285"/>
      <c r="EL147" s="285"/>
      <c r="EM147" s="285"/>
      <c r="EN147" s="285"/>
      <c r="EO147" s="285"/>
      <c r="EP147" s="285"/>
      <c r="EQ147" s="285"/>
      <c r="ER147" s="330"/>
      <c r="ES147" s="330"/>
      <c r="ET147" s="330"/>
      <c r="EU147" s="285"/>
      <c r="EV147" s="285"/>
      <c r="EW147" s="285"/>
      <c r="EX147" s="285"/>
      <c r="EY147" s="285"/>
      <c r="EZ147" s="285"/>
      <c r="FA147" s="285"/>
      <c r="FB147" s="285"/>
      <c r="FC147" s="285"/>
      <c r="FD147" s="285"/>
      <c r="FE147" s="285"/>
      <c r="FF147" s="285"/>
      <c r="FG147" s="285"/>
      <c r="FH147" s="285"/>
      <c r="FI147" s="285"/>
      <c r="FJ147" s="285"/>
      <c r="FK147" s="285"/>
      <c r="FL147" s="285"/>
      <c r="FM147" s="285"/>
      <c r="FN147" s="285"/>
      <c r="FO147" s="285"/>
      <c r="FP147" s="285"/>
      <c r="FQ147" s="285"/>
      <c r="FR147" s="285"/>
      <c r="FS147" s="285"/>
      <c r="FT147" s="285"/>
      <c r="FU147" s="285"/>
      <c r="FV147" s="330"/>
      <c r="FW147" s="330"/>
      <c r="FX147" s="330"/>
      <c r="FY147" s="285"/>
      <c r="FZ147" s="285"/>
      <c r="GA147" s="285"/>
      <c r="GB147" s="330"/>
      <c r="GC147" s="330"/>
      <c r="GD147" s="330"/>
      <c r="GE147" s="330"/>
      <c r="GF147" s="330"/>
      <c r="GG147" s="330"/>
    </row>
    <row r="148" spans="1:189" s="146" customFormat="1">
      <c r="A148" s="151"/>
      <c r="B148" s="152"/>
      <c r="C148" s="201"/>
      <c r="D148" s="201"/>
      <c r="E148" s="201"/>
      <c r="J148" s="201"/>
      <c r="BE148" s="201"/>
      <c r="BF148" s="201"/>
      <c r="BG148" s="201"/>
      <c r="CI148" s="201"/>
      <c r="CJ148" s="201"/>
      <c r="CK148" s="201"/>
      <c r="CO148" s="295"/>
      <c r="CP148" s="330"/>
      <c r="CQ148" s="330"/>
      <c r="CR148" s="330"/>
      <c r="CS148" s="285"/>
      <c r="CT148" s="285"/>
      <c r="CU148" s="285"/>
      <c r="CV148" s="285"/>
      <c r="CW148" s="330"/>
      <c r="CX148" s="285"/>
      <c r="CY148" s="285"/>
      <c r="CZ148" s="285"/>
      <c r="DA148" s="285"/>
      <c r="DB148" s="285"/>
      <c r="DC148" s="285"/>
      <c r="DD148" s="285"/>
      <c r="DE148" s="285"/>
      <c r="DF148" s="285"/>
      <c r="DG148" s="285"/>
      <c r="DH148" s="285"/>
      <c r="DI148" s="285"/>
      <c r="DJ148" s="285"/>
      <c r="DK148" s="285"/>
      <c r="DL148" s="285"/>
      <c r="DM148" s="285"/>
      <c r="DN148" s="285"/>
      <c r="DO148" s="285"/>
      <c r="DP148" s="285"/>
      <c r="DQ148" s="285"/>
      <c r="DR148" s="285"/>
      <c r="DS148" s="285"/>
      <c r="DT148" s="285"/>
      <c r="DU148" s="285"/>
      <c r="DV148" s="285"/>
      <c r="DW148" s="285"/>
      <c r="DX148" s="285"/>
      <c r="DY148" s="285"/>
      <c r="DZ148" s="285"/>
      <c r="EA148" s="285"/>
      <c r="EB148" s="285"/>
      <c r="EC148" s="285"/>
      <c r="ED148" s="285"/>
      <c r="EE148" s="285"/>
      <c r="EF148" s="285"/>
      <c r="EG148" s="285"/>
      <c r="EH148" s="285"/>
      <c r="EI148" s="285"/>
      <c r="EJ148" s="285"/>
      <c r="EK148" s="285"/>
      <c r="EL148" s="285"/>
      <c r="EM148" s="285"/>
      <c r="EN148" s="285"/>
      <c r="EO148" s="285"/>
      <c r="EP148" s="285"/>
      <c r="EQ148" s="285"/>
      <c r="ER148" s="330"/>
      <c r="ES148" s="330"/>
      <c r="ET148" s="330"/>
      <c r="EU148" s="285"/>
      <c r="EV148" s="285"/>
      <c r="EW148" s="285"/>
      <c r="EX148" s="285"/>
      <c r="EY148" s="285"/>
      <c r="EZ148" s="285"/>
      <c r="FA148" s="285"/>
      <c r="FB148" s="285"/>
      <c r="FC148" s="285"/>
      <c r="FD148" s="285"/>
      <c r="FE148" s="285"/>
      <c r="FF148" s="285"/>
      <c r="FG148" s="285"/>
      <c r="FH148" s="285"/>
      <c r="FI148" s="285"/>
      <c r="FJ148" s="285"/>
      <c r="FK148" s="285"/>
      <c r="FL148" s="285"/>
      <c r="FM148" s="285"/>
      <c r="FN148" s="285"/>
      <c r="FO148" s="285"/>
      <c r="FP148" s="285"/>
      <c r="FQ148" s="285"/>
      <c r="FR148" s="285"/>
      <c r="FS148" s="285"/>
      <c r="FT148" s="285"/>
      <c r="FU148" s="285"/>
      <c r="FV148" s="330"/>
      <c r="FW148" s="330"/>
      <c r="FX148" s="330"/>
      <c r="FY148" s="285"/>
      <c r="FZ148" s="285"/>
      <c r="GA148" s="285"/>
      <c r="GB148" s="330"/>
      <c r="GC148" s="330"/>
      <c r="GD148" s="330"/>
      <c r="GE148" s="330"/>
      <c r="GF148" s="330"/>
      <c r="GG148" s="330"/>
    </row>
    <row r="149" spans="1:189" s="146" customFormat="1" ht="15.75" customHeight="1">
      <c r="A149" s="151"/>
      <c r="B149" s="152"/>
      <c r="C149" s="201"/>
      <c r="D149" s="201"/>
      <c r="E149" s="201"/>
      <c r="J149" s="201"/>
      <c r="BE149" s="201"/>
      <c r="BF149" s="201"/>
      <c r="BG149" s="201"/>
      <c r="CI149" s="201"/>
      <c r="CJ149" s="201"/>
      <c r="CK149" s="201"/>
      <c r="CO149" s="295"/>
      <c r="CP149" s="330"/>
      <c r="CQ149" s="330"/>
      <c r="CR149" s="330"/>
      <c r="CS149" s="285"/>
      <c r="CT149" s="285"/>
      <c r="CU149" s="285"/>
      <c r="CV149" s="285"/>
      <c r="CW149" s="330"/>
      <c r="CX149" s="285"/>
      <c r="CY149" s="285"/>
      <c r="CZ149" s="285"/>
      <c r="DA149" s="285"/>
      <c r="DB149" s="285"/>
      <c r="DC149" s="285"/>
      <c r="DD149" s="285"/>
      <c r="DE149" s="285"/>
      <c r="DF149" s="285"/>
      <c r="DG149" s="285"/>
      <c r="DH149" s="285"/>
      <c r="DI149" s="285"/>
      <c r="DJ149" s="285"/>
      <c r="DK149" s="285"/>
      <c r="DL149" s="285"/>
      <c r="DM149" s="285"/>
      <c r="DN149" s="285"/>
      <c r="DO149" s="285"/>
      <c r="DP149" s="285"/>
      <c r="DQ149" s="285"/>
      <c r="DR149" s="285"/>
      <c r="DS149" s="285"/>
      <c r="DT149" s="285"/>
      <c r="DU149" s="285"/>
      <c r="DV149" s="285"/>
      <c r="DW149" s="285"/>
      <c r="DX149" s="285"/>
      <c r="DY149" s="285"/>
      <c r="DZ149" s="285"/>
      <c r="EA149" s="285"/>
      <c r="EB149" s="285"/>
      <c r="EC149" s="285"/>
      <c r="ED149" s="285"/>
      <c r="EE149" s="285"/>
      <c r="EF149" s="285"/>
      <c r="EG149" s="285"/>
      <c r="EH149" s="285"/>
      <c r="EI149" s="285"/>
      <c r="EJ149" s="285"/>
      <c r="EK149" s="285"/>
      <c r="EL149" s="285"/>
      <c r="EM149" s="285"/>
      <c r="EN149" s="285"/>
      <c r="EO149" s="285"/>
      <c r="EP149" s="285"/>
      <c r="EQ149" s="285"/>
      <c r="ER149" s="330"/>
      <c r="ES149" s="330"/>
      <c r="ET149" s="330"/>
      <c r="EU149" s="285"/>
      <c r="EV149" s="285"/>
      <c r="EW149" s="285"/>
      <c r="EX149" s="285"/>
      <c r="EY149" s="285"/>
      <c r="EZ149" s="285"/>
      <c r="FA149" s="285"/>
      <c r="FB149" s="285"/>
      <c r="FC149" s="285"/>
      <c r="FD149" s="285"/>
      <c r="FE149" s="285"/>
      <c r="FF149" s="285"/>
      <c r="FG149" s="285"/>
      <c r="FH149" s="285"/>
      <c r="FI149" s="285"/>
      <c r="FJ149" s="285"/>
      <c r="FK149" s="285"/>
      <c r="FL149" s="285"/>
      <c r="FM149" s="285"/>
      <c r="FN149" s="285"/>
      <c r="FO149" s="285"/>
      <c r="FP149" s="285"/>
      <c r="FQ149" s="285"/>
      <c r="FR149" s="285"/>
      <c r="FS149" s="285"/>
      <c r="FT149" s="285"/>
      <c r="FU149" s="285"/>
      <c r="FV149" s="330"/>
      <c r="FW149" s="330"/>
      <c r="FX149" s="330"/>
      <c r="FY149" s="285"/>
      <c r="FZ149" s="285"/>
      <c r="GA149" s="285"/>
      <c r="GB149" s="330"/>
      <c r="GC149" s="330"/>
      <c r="GD149" s="330"/>
      <c r="GE149" s="330"/>
      <c r="GF149" s="330"/>
      <c r="GG149" s="330"/>
    </row>
    <row r="150" spans="1:189" s="146" customFormat="1">
      <c r="A150" s="151"/>
      <c r="B150" s="152"/>
      <c r="C150" s="201"/>
      <c r="D150" s="201"/>
      <c r="E150" s="201"/>
      <c r="J150" s="201"/>
      <c r="BE150" s="201"/>
      <c r="BF150" s="201"/>
      <c r="BG150" s="201"/>
      <c r="CI150" s="201"/>
      <c r="CJ150" s="201"/>
      <c r="CK150" s="201"/>
      <c r="CO150" s="295"/>
      <c r="CP150" s="330"/>
      <c r="CQ150" s="330"/>
      <c r="CR150" s="330"/>
      <c r="CS150" s="285"/>
      <c r="CT150" s="285"/>
      <c r="CU150" s="285"/>
      <c r="CV150" s="285"/>
      <c r="CW150" s="330"/>
      <c r="CX150" s="285"/>
      <c r="CY150" s="285"/>
      <c r="CZ150" s="285"/>
      <c r="DA150" s="285"/>
      <c r="DB150" s="285"/>
      <c r="DC150" s="285"/>
      <c r="DD150" s="285"/>
      <c r="DE150" s="285"/>
      <c r="DF150" s="285"/>
      <c r="DG150" s="285"/>
      <c r="DH150" s="285"/>
      <c r="DI150" s="285"/>
      <c r="DJ150" s="285"/>
      <c r="DK150" s="285"/>
      <c r="DL150" s="285"/>
      <c r="DM150" s="285"/>
      <c r="DN150" s="285"/>
      <c r="DO150" s="285"/>
      <c r="DP150" s="285"/>
      <c r="DQ150" s="285"/>
      <c r="DR150" s="285"/>
      <c r="DS150" s="285"/>
      <c r="DT150" s="285"/>
      <c r="DU150" s="285"/>
      <c r="DV150" s="285"/>
      <c r="DW150" s="285"/>
      <c r="DX150" s="285"/>
      <c r="DY150" s="285"/>
      <c r="DZ150" s="285"/>
      <c r="EA150" s="285"/>
      <c r="EB150" s="285"/>
      <c r="EC150" s="285"/>
      <c r="ED150" s="285"/>
      <c r="EE150" s="285"/>
      <c r="EF150" s="285"/>
      <c r="EG150" s="285"/>
      <c r="EH150" s="285"/>
      <c r="EI150" s="285"/>
      <c r="EJ150" s="285"/>
      <c r="EK150" s="285"/>
      <c r="EL150" s="285"/>
      <c r="EM150" s="285"/>
      <c r="EN150" s="285"/>
      <c r="EO150" s="285"/>
      <c r="EP150" s="285"/>
      <c r="EQ150" s="285"/>
      <c r="ER150" s="330"/>
      <c r="ES150" s="330"/>
      <c r="ET150" s="330"/>
      <c r="EU150" s="285"/>
      <c r="EV150" s="285"/>
      <c r="EW150" s="285"/>
      <c r="EX150" s="285"/>
      <c r="EY150" s="285"/>
      <c r="EZ150" s="285"/>
      <c r="FA150" s="285"/>
      <c r="FB150" s="285"/>
      <c r="FC150" s="285"/>
      <c r="FD150" s="285"/>
      <c r="FE150" s="285"/>
      <c r="FF150" s="285"/>
      <c r="FG150" s="285"/>
      <c r="FH150" s="285"/>
      <c r="FI150" s="285"/>
      <c r="FJ150" s="285"/>
      <c r="FK150" s="285"/>
      <c r="FL150" s="285"/>
      <c r="FM150" s="285"/>
      <c r="FN150" s="285"/>
      <c r="FO150" s="285"/>
      <c r="FP150" s="285"/>
      <c r="FQ150" s="285"/>
      <c r="FR150" s="285"/>
      <c r="FS150" s="285"/>
      <c r="FT150" s="285"/>
      <c r="FU150" s="285"/>
      <c r="FV150" s="330"/>
      <c r="FW150" s="330"/>
      <c r="FX150" s="330"/>
      <c r="FY150" s="285"/>
      <c r="FZ150" s="285"/>
      <c r="GA150" s="285"/>
      <c r="GB150" s="330"/>
      <c r="GC150" s="330"/>
      <c r="GD150" s="330"/>
      <c r="GE150" s="330"/>
      <c r="GF150" s="330"/>
      <c r="GG150" s="330"/>
    </row>
    <row r="151" spans="1:189" s="146" customFormat="1">
      <c r="A151" s="151"/>
      <c r="B151" s="152"/>
      <c r="C151" s="201"/>
      <c r="D151" s="201"/>
      <c r="E151" s="201"/>
      <c r="J151" s="201"/>
      <c r="BE151" s="201"/>
      <c r="BF151" s="201"/>
      <c r="BG151" s="201"/>
      <c r="CI151" s="201"/>
      <c r="CJ151" s="201"/>
      <c r="CK151" s="201"/>
      <c r="CO151" s="295"/>
      <c r="CP151" s="330"/>
      <c r="CQ151" s="330"/>
      <c r="CR151" s="330"/>
      <c r="CS151" s="285"/>
      <c r="CT151" s="285"/>
      <c r="CU151" s="285"/>
      <c r="CV151" s="285"/>
      <c r="CW151" s="330"/>
      <c r="CX151" s="285"/>
      <c r="CY151" s="285"/>
      <c r="CZ151" s="285"/>
      <c r="DA151" s="285"/>
      <c r="DB151" s="285"/>
      <c r="DC151" s="285"/>
      <c r="DD151" s="285"/>
      <c r="DE151" s="285"/>
      <c r="DF151" s="285"/>
      <c r="DG151" s="285"/>
      <c r="DH151" s="285"/>
      <c r="DI151" s="285"/>
      <c r="DJ151" s="285"/>
      <c r="DK151" s="285"/>
      <c r="DL151" s="285"/>
      <c r="DM151" s="285"/>
      <c r="DN151" s="285"/>
      <c r="DO151" s="285"/>
      <c r="DP151" s="285"/>
      <c r="DQ151" s="285"/>
      <c r="DR151" s="285"/>
      <c r="DS151" s="285"/>
      <c r="DT151" s="285"/>
      <c r="DU151" s="285"/>
      <c r="DV151" s="285"/>
      <c r="DW151" s="285"/>
      <c r="DX151" s="285"/>
      <c r="DY151" s="285"/>
      <c r="DZ151" s="285"/>
      <c r="EA151" s="285"/>
      <c r="EB151" s="285"/>
      <c r="EC151" s="285"/>
      <c r="ED151" s="285"/>
      <c r="EE151" s="285"/>
      <c r="EF151" s="285"/>
      <c r="EG151" s="285"/>
      <c r="EH151" s="285"/>
      <c r="EI151" s="285"/>
      <c r="EJ151" s="285"/>
      <c r="EK151" s="285"/>
      <c r="EL151" s="285"/>
      <c r="EM151" s="285"/>
      <c r="EN151" s="285"/>
      <c r="EO151" s="285"/>
      <c r="EP151" s="285"/>
      <c r="EQ151" s="285"/>
      <c r="ER151" s="330"/>
      <c r="ES151" s="330"/>
      <c r="ET151" s="330"/>
      <c r="EU151" s="285"/>
      <c r="EV151" s="285"/>
      <c r="EW151" s="285"/>
      <c r="EX151" s="285"/>
      <c r="EY151" s="285"/>
      <c r="EZ151" s="285"/>
      <c r="FA151" s="285"/>
      <c r="FB151" s="285"/>
      <c r="FC151" s="285"/>
      <c r="FD151" s="285"/>
      <c r="FE151" s="285"/>
      <c r="FF151" s="285"/>
      <c r="FG151" s="285"/>
      <c r="FH151" s="285"/>
      <c r="FI151" s="285"/>
      <c r="FJ151" s="285"/>
      <c r="FK151" s="285"/>
      <c r="FL151" s="285"/>
      <c r="FM151" s="285"/>
      <c r="FN151" s="285"/>
      <c r="FO151" s="285"/>
      <c r="FP151" s="285"/>
      <c r="FQ151" s="285"/>
      <c r="FR151" s="285"/>
      <c r="FS151" s="285"/>
      <c r="FT151" s="285"/>
      <c r="FU151" s="285"/>
      <c r="FV151" s="330"/>
      <c r="FW151" s="330"/>
      <c r="FX151" s="330"/>
      <c r="FY151" s="285"/>
      <c r="FZ151" s="285"/>
      <c r="GA151" s="285"/>
      <c r="GB151" s="330"/>
      <c r="GC151" s="330"/>
      <c r="GD151" s="330"/>
      <c r="GE151" s="330"/>
      <c r="GF151" s="330"/>
      <c r="GG151" s="330"/>
    </row>
    <row r="152" spans="1:189" s="146" customFormat="1">
      <c r="A152" s="151"/>
      <c r="B152" s="152"/>
      <c r="C152" s="201"/>
      <c r="D152" s="201"/>
      <c r="E152" s="201"/>
      <c r="J152" s="201"/>
      <c r="BE152" s="201"/>
      <c r="BF152" s="201"/>
      <c r="BG152" s="201"/>
      <c r="CI152" s="201"/>
      <c r="CJ152" s="201"/>
      <c r="CK152" s="201"/>
      <c r="CO152" s="295"/>
      <c r="CP152" s="330"/>
      <c r="CQ152" s="330"/>
      <c r="CR152" s="330"/>
      <c r="CS152" s="285"/>
      <c r="CT152" s="285"/>
      <c r="CU152" s="285"/>
      <c r="CV152" s="285"/>
      <c r="CW152" s="330"/>
      <c r="CX152" s="285"/>
      <c r="CY152" s="285"/>
      <c r="CZ152" s="285"/>
      <c r="DA152" s="285"/>
      <c r="DB152" s="285"/>
      <c r="DC152" s="285"/>
      <c r="DD152" s="285"/>
      <c r="DE152" s="285"/>
      <c r="DF152" s="285"/>
      <c r="DG152" s="285"/>
      <c r="DH152" s="285"/>
      <c r="DI152" s="285"/>
      <c r="DJ152" s="285"/>
      <c r="DK152" s="285"/>
      <c r="DL152" s="285"/>
      <c r="DM152" s="285"/>
      <c r="DN152" s="285"/>
      <c r="DO152" s="285"/>
      <c r="DP152" s="285"/>
      <c r="DQ152" s="285"/>
      <c r="DR152" s="285"/>
      <c r="DS152" s="285"/>
      <c r="DT152" s="285"/>
      <c r="DU152" s="285"/>
      <c r="DV152" s="285"/>
      <c r="DW152" s="285"/>
      <c r="DX152" s="285"/>
      <c r="DY152" s="285"/>
      <c r="DZ152" s="285"/>
      <c r="EA152" s="285"/>
      <c r="EB152" s="285"/>
      <c r="EC152" s="285"/>
      <c r="ED152" s="285"/>
      <c r="EE152" s="285"/>
      <c r="EF152" s="285"/>
      <c r="EG152" s="285"/>
      <c r="EH152" s="285"/>
      <c r="EI152" s="285"/>
      <c r="EJ152" s="285"/>
      <c r="EK152" s="285"/>
      <c r="EL152" s="285"/>
      <c r="EM152" s="285"/>
      <c r="EN152" s="285"/>
      <c r="EO152" s="285"/>
      <c r="EP152" s="285"/>
      <c r="EQ152" s="285"/>
      <c r="ER152" s="330"/>
      <c r="ES152" s="330"/>
      <c r="ET152" s="330"/>
      <c r="EU152" s="285"/>
      <c r="EV152" s="285"/>
      <c r="EW152" s="285"/>
      <c r="EX152" s="285"/>
      <c r="EY152" s="285"/>
      <c r="EZ152" s="285"/>
      <c r="FA152" s="285"/>
      <c r="FB152" s="285"/>
      <c r="FC152" s="285"/>
      <c r="FD152" s="285"/>
      <c r="FE152" s="285"/>
      <c r="FF152" s="285"/>
      <c r="FG152" s="285"/>
      <c r="FH152" s="285"/>
      <c r="FI152" s="285"/>
      <c r="FJ152" s="285"/>
      <c r="FK152" s="285"/>
      <c r="FL152" s="285"/>
      <c r="FM152" s="285"/>
      <c r="FN152" s="285"/>
      <c r="FO152" s="285"/>
      <c r="FP152" s="285"/>
      <c r="FQ152" s="285"/>
      <c r="FR152" s="285"/>
      <c r="FS152" s="285"/>
      <c r="FT152" s="285"/>
      <c r="FU152" s="285"/>
      <c r="FV152" s="330"/>
      <c r="FW152" s="330"/>
      <c r="FX152" s="330"/>
      <c r="FY152" s="285"/>
      <c r="FZ152" s="285"/>
      <c r="GA152" s="285"/>
      <c r="GB152" s="330"/>
      <c r="GC152" s="330"/>
      <c r="GD152" s="330"/>
      <c r="GE152" s="330"/>
      <c r="GF152" s="330"/>
      <c r="GG152" s="330"/>
    </row>
    <row r="153" spans="1:189" s="146" customFormat="1" ht="15.75" customHeight="1">
      <c r="A153" s="151"/>
      <c r="B153" s="152"/>
      <c r="C153" s="201"/>
      <c r="D153" s="201"/>
      <c r="E153" s="201"/>
      <c r="J153" s="201"/>
      <c r="BE153" s="201"/>
      <c r="BF153" s="201"/>
      <c r="BG153" s="201"/>
      <c r="CI153" s="201"/>
      <c r="CJ153" s="201"/>
      <c r="CK153" s="201"/>
      <c r="CO153" s="295"/>
      <c r="CP153" s="330"/>
      <c r="CQ153" s="330"/>
      <c r="CR153" s="330"/>
      <c r="CS153" s="285"/>
      <c r="CT153" s="285"/>
      <c r="CU153" s="285"/>
      <c r="CV153" s="285"/>
      <c r="CW153" s="330"/>
      <c r="CX153" s="285"/>
      <c r="CY153" s="285"/>
      <c r="CZ153" s="285"/>
      <c r="DA153" s="285"/>
      <c r="DB153" s="285"/>
      <c r="DC153" s="285"/>
      <c r="DD153" s="285"/>
      <c r="DE153" s="285"/>
      <c r="DF153" s="285"/>
      <c r="DG153" s="285"/>
      <c r="DH153" s="285"/>
      <c r="DI153" s="285"/>
      <c r="DJ153" s="285"/>
      <c r="DK153" s="285"/>
      <c r="DL153" s="285"/>
      <c r="DM153" s="285"/>
      <c r="DN153" s="285"/>
      <c r="DO153" s="285"/>
      <c r="DP153" s="285"/>
      <c r="DQ153" s="285"/>
      <c r="DR153" s="285"/>
      <c r="DS153" s="285"/>
      <c r="DT153" s="285"/>
      <c r="DU153" s="285"/>
      <c r="DV153" s="285"/>
      <c r="DW153" s="285"/>
      <c r="DX153" s="285"/>
      <c r="DY153" s="285"/>
      <c r="DZ153" s="285"/>
      <c r="EA153" s="285"/>
      <c r="EB153" s="285"/>
      <c r="EC153" s="285"/>
      <c r="ED153" s="285"/>
      <c r="EE153" s="285"/>
      <c r="EF153" s="285"/>
      <c r="EG153" s="285"/>
      <c r="EH153" s="285"/>
      <c r="EI153" s="285"/>
      <c r="EJ153" s="285"/>
      <c r="EK153" s="285"/>
      <c r="EL153" s="285"/>
      <c r="EM153" s="285"/>
      <c r="EN153" s="285"/>
      <c r="EO153" s="285"/>
      <c r="EP153" s="285"/>
      <c r="EQ153" s="285"/>
      <c r="ER153" s="330"/>
      <c r="ES153" s="330"/>
      <c r="ET153" s="330"/>
      <c r="EU153" s="285"/>
      <c r="EV153" s="285"/>
      <c r="EW153" s="285"/>
      <c r="EX153" s="285"/>
      <c r="EY153" s="285"/>
      <c r="EZ153" s="285"/>
      <c r="FA153" s="285"/>
      <c r="FB153" s="285"/>
      <c r="FC153" s="285"/>
      <c r="FD153" s="285"/>
      <c r="FE153" s="285"/>
      <c r="FF153" s="285"/>
      <c r="FG153" s="285"/>
      <c r="FH153" s="285"/>
      <c r="FI153" s="285"/>
      <c r="FJ153" s="285"/>
      <c r="FK153" s="285"/>
      <c r="FL153" s="285"/>
      <c r="FM153" s="285"/>
      <c r="FN153" s="285"/>
      <c r="FO153" s="285"/>
      <c r="FP153" s="285"/>
      <c r="FQ153" s="285"/>
      <c r="FR153" s="285"/>
      <c r="FS153" s="285"/>
      <c r="FT153" s="285"/>
      <c r="FU153" s="285"/>
      <c r="FV153" s="330"/>
      <c r="FW153" s="330"/>
      <c r="FX153" s="330"/>
      <c r="FY153" s="285"/>
      <c r="FZ153" s="285"/>
      <c r="GA153" s="285"/>
      <c r="GB153" s="330"/>
      <c r="GC153" s="330"/>
      <c r="GD153" s="330"/>
      <c r="GE153" s="330"/>
      <c r="GF153" s="330"/>
      <c r="GG153" s="330"/>
    </row>
    <row r="154" spans="1:189" s="146" customFormat="1">
      <c r="A154" s="151"/>
      <c r="B154" s="152"/>
      <c r="C154" s="201"/>
      <c r="D154" s="201"/>
      <c r="E154" s="201"/>
      <c r="J154" s="201"/>
      <c r="BE154" s="201"/>
      <c r="BF154" s="201"/>
      <c r="BG154" s="201"/>
      <c r="CI154" s="201"/>
      <c r="CJ154" s="201"/>
      <c r="CK154" s="201"/>
      <c r="CO154" s="295"/>
      <c r="CP154" s="330"/>
      <c r="CQ154" s="330"/>
      <c r="CR154" s="330"/>
      <c r="CS154" s="285"/>
      <c r="CT154" s="285"/>
      <c r="CU154" s="285"/>
      <c r="CV154" s="285"/>
      <c r="CW154" s="330"/>
      <c r="CX154" s="285"/>
      <c r="CY154" s="285"/>
      <c r="CZ154" s="285"/>
      <c r="DA154" s="285"/>
      <c r="DB154" s="285"/>
      <c r="DC154" s="285"/>
      <c r="DD154" s="285"/>
      <c r="DE154" s="285"/>
      <c r="DF154" s="285"/>
      <c r="DG154" s="285"/>
      <c r="DH154" s="285"/>
      <c r="DI154" s="285"/>
      <c r="DJ154" s="285"/>
      <c r="DK154" s="285"/>
      <c r="DL154" s="285"/>
      <c r="DM154" s="285"/>
      <c r="DN154" s="285"/>
      <c r="DO154" s="285"/>
      <c r="DP154" s="285"/>
      <c r="DQ154" s="285"/>
      <c r="DR154" s="285"/>
      <c r="DS154" s="285"/>
      <c r="DT154" s="285"/>
      <c r="DU154" s="285"/>
      <c r="DV154" s="285"/>
      <c r="DW154" s="285"/>
      <c r="DX154" s="285"/>
      <c r="DY154" s="285"/>
      <c r="DZ154" s="285"/>
      <c r="EA154" s="285"/>
      <c r="EB154" s="285"/>
      <c r="EC154" s="285"/>
      <c r="ED154" s="285"/>
      <c r="EE154" s="285"/>
      <c r="EF154" s="285"/>
      <c r="EG154" s="285"/>
      <c r="EH154" s="285"/>
      <c r="EI154" s="285"/>
      <c r="EJ154" s="285"/>
      <c r="EK154" s="285"/>
      <c r="EL154" s="285"/>
      <c r="EM154" s="285"/>
      <c r="EN154" s="285"/>
      <c r="EO154" s="285"/>
      <c r="EP154" s="285"/>
      <c r="EQ154" s="285"/>
      <c r="ER154" s="330"/>
      <c r="ES154" s="330"/>
      <c r="ET154" s="330"/>
      <c r="EU154" s="285"/>
      <c r="EV154" s="285"/>
      <c r="EW154" s="285"/>
      <c r="EX154" s="285"/>
      <c r="EY154" s="285"/>
      <c r="EZ154" s="285"/>
      <c r="FA154" s="285"/>
      <c r="FB154" s="285"/>
      <c r="FC154" s="285"/>
      <c r="FD154" s="285"/>
      <c r="FE154" s="285"/>
      <c r="FF154" s="285"/>
      <c r="FG154" s="285"/>
      <c r="FH154" s="285"/>
      <c r="FI154" s="285"/>
      <c r="FJ154" s="285"/>
      <c r="FK154" s="285"/>
      <c r="FL154" s="285"/>
      <c r="FM154" s="285"/>
      <c r="FN154" s="285"/>
      <c r="FO154" s="285"/>
      <c r="FP154" s="285"/>
      <c r="FQ154" s="285"/>
      <c r="FR154" s="285"/>
      <c r="FS154" s="285"/>
      <c r="FT154" s="285"/>
      <c r="FU154" s="285"/>
      <c r="FV154" s="330"/>
      <c r="FW154" s="330"/>
      <c r="FX154" s="330"/>
      <c r="FY154" s="285"/>
      <c r="FZ154" s="285"/>
      <c r="GA154" s="285"/>
      <c r="GB154" s="330"/>
      <c r="GC154" s="330"/>
      <c r="GD154" s="330"/>
      <c r="GE154" s="330"/>
      <c r="GF154" s="330"/>
      <c r="GG154" s="330"/>
    </row>
    <row r="155" spans="1:189" s="146" customFormat="1">
      <c r="A155" s="151"/>
      <c r="B155" s="152"/>
      <c r="C155" s="201"/>
      <c r="D155" s="201"/>
      <c r="E155" s="201"/>
      <c r="J155" s="201"/>
      <c r="BE155" s="201"/>
      <c r="BF155" s="201"/>
      <c r="BG155" s="201"/>
      <c r="CI155" s="201"/>
      <c r="CJ155" s="201"/>
      <c r="CK155" s="201"/>
      <c r="CO155" s="295"/>
      <c r="CP155" s="330"/>
      <c r="CQ155" s="330"/>
      <c r="CR155" s="330"/>
      <c r="CS155" s="285"/>
      <c r="CT155" s="285"/>
      <c r="CU155" s="285"/>
      <c r="CV155" s="285"/>
      <c r="CW155" s="330"/>
      <c r="CX155" s="285"/>
      <c r="CY155" s="285"/>
      <c r="CZ155" s="285"/>
      <c r="DA155" s="285"/>
      <c r="DB155" s="285"/>
      <c r="DC155" s="285"/>
      <c r="DD155" s="285"/>
      <c r="DE155" s="285"/>
      <c r="DF155" s="285"/>
      <c r="DG155" s="285"/>
      <c r="DH155" s="285"/>
      <c r="DI155" s="285"/>
      <c r="DJ155" s="285"/>
      <c r="DK155" s="285"/>
      <c r="DL155" s="285"/>
      <c r="DM155" s="285"/>
      <c r="DN155" s="285"/>
      <c r="DO155" s="285"/>
      <c r="DP155" s="285"/>
      <c r="DQ155" s="285"/>
      <c r="DR155" s="285"/>
      <c r="DS155" s="285"/>
      <c r="DT155" s="285"/>
      <c r="DU155" s="285"/>
      <c r="DV155" s="285"/>
      <c r="DW155" s="285"/>
      <c r="DX155" s="285"/>
      <c r="DY155" s="285"/>
      <c r="DZ155" s="285"/>
      <c r="EA155" s="285"/>
      <c r="EB155" s="285"/>
      <c r="EC155" s="285"/>
      <c r="ED155" s="285"/>
      <c r="EE155" s="285"/>
      <c r="EF155" s="285"/>
      <c r="EG155" s="285"/>
      <c r="EH155" s="285"/>
      <c r="EI155" s="285"/>
      <c r="EJ155" s="285"/>
      <c r="EK155" s="285"/>
      <c r="EL155" s="285"/>
      <c r="EM155" s="285"/>
      <c r="EN155" s="285"/>
      <c r="EO155" s="285"/>
      <c r="EP155" s="285"/>
      <c r="EQ155" s="285"/>
      <c r="ER155" s="330"/>
      <c r="ES155" s="330"/>
      <c r="ET155" s="330"/>
      <c r="EU155" s="285"/>
      <c r="EV155" s="285"/>
      <c r="EW155" s="285"/>
      <c r="EX155" s="285"/>
      <c r="EY155" s="285"/>
      <c r="EZ155" s="285"/>
      <c r="FA155" s="285"/>
      <c r="FB155" s="285"/>
      <c r="FC155" s="285"/>
      <c r="FD155" s="285"/>
      <c r="FE155" s="285"/>
      <c r="FF155" s="285"/>
      <c r="FG155" s="285"/>
      <c r="FH155" s="285"/>
      <c r="FI155" s="285"/>
      <c r="FJ155" s="285"/>
      <c r="FK155" s="285"/>
      <c r="FL155" s="285"/>
      <c r="FM155" s="285"/>
      <c r="FN155" s="285"/>
      <c r="FO155" s="285"/>
      <c r="FP155" s="285"/>
      <c r="FQ155" s="285"/>
      <c r="FR155" s="285"/>
      <c r="FS155" s="285"/>
      <c r="FT155" s="285"/>
      <c r="FU155" s="285"/>
      <c r="FV155" s="330"/>
      <c r="FW155" s="330"/>
      <c r="FX155" s="330"/>
      <c r="FY155" s="285"/>
      <c r="FZ155" s="285"/>
      <c r="GA155" s="285"/>
      <c r="GB155" s="330"/>
      <c r="GC155" s="330"/>
      <c r="GD155" s="330"/>
      <c r="GE155" s="330"/>
      <c r="GF155" s="330"/>
      <c r="GG155" s="330"/>
    </row>
    <row r="156" spans="1:189" s="146" customFormat="1">
      <c r="A156" s="151"/>
      <c r="B156" s="152"/>
      <c r="C156" s="201"/>
      <c r="D156" s="201"/>
      <c r="E156" s="201"/>
      <c r="J156" s="201"/>
      <c r="BE156" s="201"/>
      <c r="BF156" s="201"/>
      <c r="BG156" s="201"/>
      <c r="CI156" s="201"/>
      <c r="CJ156" s="201"/>
      <c r="CK156" s="201"/>
      <c r="CO156" s="295"/>
      <c r="CP156" s="330"/>
      <c r="CQ156" s="330"/>
      <c r="CR156" s="330"/>
      <c r="CS156" s="285"/>
      <c r="CT156" s="285"/>
      <c r="CU156" s="285"/>
      <c r="CV156" s="285"/>
      <c r="CW156" s="330"/>
      <c r="CX156" s="285"/>
      <c r="CY156" s="285"/>
      <c r="CZ156" s="285"/>
      <c r="DA156" s="285"/>
      <c r="DB156" s="285"/>
      <c r="DC156" s="285"/>
      <c r="DD156" s="285"/>
      <c r="DE156" s="285"/>
      <c r="DF156" s="285"/>
      <c r="DG156" s="285"/>
      <c r="DH156" s="285"/>
      <c r="DI156" s="285"/>
      <c r="DJ156" s="285"/>
      <c r="DK156" s="285"/>
      <c r="DL156" s="285"/>
      <c r="DM156" s="285"/>
      <c r="DN156" s="285"/>
      <c r="DO156" s="285"/>
      <c r="DP156" s="285"/>
      <c r="DQ156" s="285"/>
      <c r="DR156" s="285"/>
      <c r="DS156" s="285"/>
      <c r="DT156" s="285"/>
      <c r="DU156" s="285"/>
      <c r="DV156" s="285"/>
      <c r="DW156" s="285"/>
      <c r="DX156" s="285"/>
      <c r="DY156" s="285"/>
      <c r="DZ156" s="285"/>
      <c r="EA156" s="285"/>
      <c r="EB156" s="285"/>
      <c r="EC156" s="285"/>
      <c r="ED156" s="285"/>
      <c r="EE156" s="285"/>
      <c r="EF156" s="285"/>
      <c r="EG156" s="285"/>
      <c r="EH156" s="285"/>
      <c r="EI156" s="285"/>
      <c r="EJ156" s="285"/>
      <c r="EK156" s="285"/>
      <c r="EL156" s="285"/>
      <c r="EM156" s="285"/>
      <c r="EN156" s="285"/>
      <c r="EO156" s="285"/>
      <c r="EP156" s="285"/>
      <c r="EQ156" s="285"/>
      <c r="ER156" s="330"/>
      <c r="ES156" s="330"/>
      <c r="ET156" s="330"/>
      <c r="EU156" s="285"/>
      <c r="EV156" s="285"/>
      <c r="EW156" s="285"/>
      <c r="EX156" s="285"/>
      <c r="EY156" s="285"/>
      <c r="EZ156" s="285"/>
      <c r="FA156" s="285"/>
      <c r="FB156" s="285"/>
      <c r="FC156" s="285"/>
      <c r="FD156" s="285"/>
      <c r="FE156" s="285"/>
      <c r="FF156" s="285"/>
      <c r="FG156" s="285"/>
      <c r="FH156" s="285"/>
      <c r="FI156" s="285"/>
      <c r="FJ156" s="285"/>
      <c r="FK156" s="285"/>
      <c r="FL156" s="285"/>
      <c r="FM156" s="285"/>
      <c r="FN156" s="285"/>
      <c r="FO156" s="285"/>
      <c r="FP156" s="285"/>
      <c r="FQ156" s="285"/>
      <c r="FR156" s="285"/>
      <c r="FS156" s="285"/>
      <c r="FT156" s="285"/>
      <c r="FU156" s="285"/>
      <c r="FV156" s="330"/>
      <c r="FW156" s="330"/>
      <c r="FX156" s="330"/>
      <c r="FY156" s="285"/>
      <c r="FZ156" s="285"/>
      <c r="GA156" s="285"/>
      <c r="GB156" s="330"/>
      <c r="GC156" s="330"/>
      <c r="GD156" s="330"/>
      <c r="GE156" s="330"/>
      <c r="GF156" s="330"/>
      <c r="GG156" s="330"/>
    </row>
    <row r="157" spans="1:189" s="146" customFormat="1" ht="15.75" customHeight="1">
      <c r="A157" s="151"/>
      <c r="B157" s="152"/>
      <c r="C157" s="201"/>
      <c r="D157" s="201"/>
      <c r="E157" s="201"/>
      <c r="J157" s="201"/>
      <c r="BE157" s="201"/>
      <c r="BF157" s="201"/>
      <c r="BG157" s="201"/>
      <c r="CI157" s="201"/>
      <c r="CJ157" s="201"/>
      <c r="CK157" s="201"/>
      <c r="CO157" s="295"/>
      <c r="CP157" s="330"/>
      <c r="CQ157" s="330"/>
      <c r="CR157" s="330"/>
      <c r="CS157" s="285"/>
      <c r="CT157" s="285"/>
      <c r="CU157" s="285"/>
      <c r="CV157" s="285"/>
      <c r="CW157" s="330"/>
      <c r="CX157" s="285"/>
      <c r="CY157" s="285"/>
      <c r="CZ157" s="285"/>
      <c r="DA157" s="285"/>
      <c r="DB157" s="285"/>
      <c r="DC157" s="285"/>
      <c r="DD157" s="285"/>
      <c r="DE157" s="285"/>
      <c r="DF157" s="285"/>
      <c r="DG157" s="285"/>
      <c r="DH157" s="285"/>
      <c r="DI157" s="285"/>
      <c r="DJ157" s="285"/>
      <c r="DK157" s="285"/>
      <c r="DL157" s="285"/>
      <c r="DM157" s="285"/>
      <c r="DN157" s="285"/>
      <c r="DO157" s="285"/>
      <c r="DP157" s="285"/>
      <c r="DQ157" s="285"/>
      <c r="DR157" s="285"/>
      <c r="DS157" s="285"/>
      <c r="DT157" s="285"/>
      <c r="DU157" s="285"/>
      <c r="DV157" s="285"/>
      <c r="DW157" s="285"/>
      <c r="DX157" s="285"/>
      <c r="DY157" s="285"/>
      <c r="DZ157" s="285"/>
      <c r="EA157" s="285"/>
      <c r="EB157" s="285"/>
      <c r="EC157" s="285"/>
      <c r="ED157" s="285"/>
      <c r="EE157" s="285"/>
      <c r="EF157" s="285"/>
      <c r="EG157" s="285"/>
      <c r="EH157" s="285"/>
      <c r="EI157" s="285"/>
      <c r="EJ157" s="285"/>
      <c r="EK157" s="285"/>
      <c r="EL157" s="285"/>
      <c r="EM157" s="285"/>
      <c r="EN157" s="285"/>
      <c r="EO157" s="285"/>
      <c r="EP157" s="285"/>
      <c r="EQ157" s="285"/>
      <c r="ER157" s="330"/>
      <c r="ES157" s="330"/>
      <c r="ET157" s="330"/>
      <c r="EU157" s="285"/>
      <c r="EV157" s="285"/>
      <c r="EW157" s="285"/>
      <c r="EX157" s="285"/>
      <c r="EY157" s="285"/>
      <c r="EZ157" s="285"/>
      <c r="FA157" s="285"/>
      <c r="FB157" s="285"/>
      <c r="FC157" s="285"/>
      <c r="FD157" s="285"/>
      <c r="FE157" s="285"/>
      <c r="FF157" s="285"/>
      <c r="FG157" s="285"/>
      <c r="FH157" s="285"/>
      <c r="FI157" s="285"/>
      <c r="FJ157" s="285"/>
      <c r="FK157" s="285"/>
      <c r="FL157" s="285"/>
      <c r="FM157" s="285"/>
      <c r="FN157" s="285"/>
      <c r="FO157" s="285"/>
      <c r="FP157" s="285"/>
      <c r="FQ157" s="285"/>
      <c r="FR157" s="285"/>
      <c r="FS157" s="285"/>
      <c r="FT157" s="285"/>
      <c r="FU157" s="285"/>
      <c r="FV157" s="330"/>
      <c r="FW157" s="330"/>
      <c r="FX157" s="330"/>
      <c r="FY157" s="285"/>
      <c r="FZ157" s="285"/>
      <c r="GA157" s="285"/>
      <c r="GB157" s="330"/>
      <c r="GC157" s="330"/>
      <c r="GD157" s="330"/>
      <c r="GE157" s="330"/>
      <c r="GF157" s="330"/>
      <c r="GG157" s="330"/>
    </row>
    <row r="158" spans="1:189" s="146" customFormat="1">
      <c r="A158" s="151"/>
      <c r="B158" s="152"/>
      <c r="C158" s="201"/>
      <c r="D158" s="201"/>
      <c r="E158" s="201"/>
      <c r="J158" s="201"/>
      <c r="BE158" s="201"/>
      <c r="BF158" s="201"/>
      <c r="BG158" s="201"/>
      <c r="CI158" s="201"/>
      <c r="CJ158" s="201"/>
      <c r="CK158" s="201"/>
      <c r="CO158" s="295"/>
      <c r="CP158" s="330"/>
      <c r="CQ158" s="330"/>
      <c r="CR158" s="330"/>
      <c r="CS158" s="285"/>
      <c r="CT158" s="285"/>
      <c r="CU158" s="285"/>
      <c r="CV158" s="285"/>
      <c r="CW158" s="330"/>
      <c r="CX158" s="285"/>
      <c r="CY158" s="285"/>
      <c r="CZ158" s="285"/>
      <c r="DA158" s="285"/>
      <c r="DB158" s="285"/>
      <c r="DC158" s="285"/>
      <c r="DD158" s="285"/>
      <c r="DE158" s="285"/>
      <c r="DF158" s="285"/>
      <c r="DG158" s="285"/>
      <c r="DH158" s="285"/>
      <c r="DI158" s="285"/>
      <c r="DJ158" s="285"/>
      <c r="DK158" s="285"/>
      <c r="DL158" s="285"/>
      <c r="DM158" s="285"/>
      <c r="DN158" s="285"/>
      <c r="DO158" s="285"/>
      <c r="DP158" s="285"/>
      <c r="DQ158" s="285"/>
      <c r="DR158" s="285"/>
      <c r="DS158" s="285"/>
      <c r="DT158" s="285"/>
      <c r="DU158" s="285"/>
      <c r="DV158" s="285"/>
      <c r="DW158" s="285"/>
      <c r="DX158" s="285"/>
      <c r="DY158" s="285"/>
      <c r="DZ158" s="285"/>
      <c r="EA158" s="285"/>
      <c r="EB158" s="285"/>
      <c r="EC158" s="285"/>
      <c r="ED158" s="285"/>
      <c r="EE158" s="285"/>
      <c r="EF158" s="285"/>
      <c r="EG158" s="285"/>
      <c r="EH158" s="285"/>
      <c r="EI158" s="285"/>
      <c r="EJ158" s="285"/>
      <c r="EK158" s="285"/>
      <c r="EL158" s="285"/>
      <c r="EM158" s="285"/>
      <c r="EN158" s="285"/>
      <c r="EO158" s="285"/>
      <c r="EP158" s="285"/>
      <c r="EQ158" s="285"/>
      <c r="ER158" s="330"/>
      <c r="ES158" s="330"/>
      <c r="ET158" s="330"/>
      <c r="EU158" s="285"/>
      <c r="EV158" s="285"/>
      <c r="EW158" s="285"/>
      <c r="EX158" s="285"/>
      <c r="EY158" s="285"/>
      <c r="EZ158" s="285"/>
      <c r="FA158" s="285"/>
      <c r="FB158" s="285"/>
      <c r="FC158" s="285"/>
      <c r="FD158" s="285"/>
      <c r="FE158" s="285"/>
      <c r="FF158" s="285"/>
      <c r="FG158" s="285"/>
      <c r="FH158" s="285"/>
      <c r="FI158" s="285"/>
      <c r="FJ158" s="285"/>
      <c r="FK158" s="285"/>
      <c r="FL158" s="285"/>
      <c r="FM158" s="285"/>
      <c r="FN158" s="285"/>
      <c r="FO158" s="285"/>
      <c r="FP158" s="285"/>
      <c r="FQ158" s="285"/>
      <c r="FR158" s="285"/>
      <c r="FS158" s="285"/>
      <c r="FT158" s="285"/>
      <c r="FU158" s="285"/>
      <c r="FV158" s="330"/>
      <c r="FW158" s="330"/>
      <c r="FX158" s="330"/>
      <c r="FY158" s="285"/>
      <c r="FZ158" s="285"/>
      <c r="GA158" s="285"/>
      <c r="GB158" s="330"/>
      <c r="GC158" s="330"/>
      <c r="GD158" s="330"/>
      <c r="GE158" s="330"/>
      <c r="GF158" s="330"/>
      <c r="GG158" s="330"/>
    </row>
    <row r="159" spans="1:189" s="146" customFormat="1">
      <c r="A159" s="151"/>
      <c r="B159" s="152"/>
      <c r="C159" s="201"/>
      <c r="D159" s="201"/>
      <c r="E159" s="201"/>
      <c r="J159" s="201"/>
      <c r="BE159" s="201"/>
      <c r="BF159" s="201"/>
      <c r="BG159" s="201"/>
      <c r="CI159" s="201"/>
      <c r="CJ159" s="201"/>
      <c r="CK159" s="201"/>
      <c r="CO159" s="295"/>
      <c r="CP159" s="330"/>
      <c r="CQ159" s="330"/>
      <c r="CR159" s="330"/>
      <c r="CS159" s="285"/>
      <c r="CT159" s="285"/>
      <c r="CU159" s="285"/>
      <c r="CV159" s="285"/>
      <c r="CW159" s="330"/>
      <c r="CX159" s="285"/>
      <c r="CY159" s="285"/>
      <c r="CZ159" s="285"/>
      <c r="DA159" s="285"/>
      <c r="DB159" s="285"/>
      <c r="DC159" s="285"/>
      <c r="DD159" s="285"/>
      <c r="DE159" s="285"/>
      <c r="DF159" s="285"/>
      <c r="DG159" s="285"/>
      <c r="DH159" s="285"/>
      <c r="DI159" s="285"/>
      <c r="DJ159" s="285"/>
      <c r="DK159" s="285"/>
      <c r="DL159" s="285"/>
      <c r="DM159" s="285"/>
      <c r="DN159" s="285"/>
      <c r="DO159" s="285"/>
      <c r="DP159" s="285"/>
      <c r="DQ159" s="285"/>
      <c r="DR159" s="285"/>
      <c r="DS159" s="285"/>
      <c r="DT159" s="285"/>
      <c r="DU159" s="285"/>
      <c r="DV159" s="285"/>
      <c r="DW159" s="285"/>
      <c r="DX159" s="285"/>
      <c r="DY159" s="285"/>
      <c r="DZ159" s="285"/>
      <c r="EA159" s="285"/>
      <c r="EB159" s="285"/>
      <c r="EC159" s="285"/>
      <c r="ED159" s="285"/>
      <c r="EE159" s="285"/>
      <c r="EF159" s="285"/>
      <c r="EG159" s="285"/>
      <c r="EH159" s="285"/>
      <c r="EI159" s="285"/>
      <c r="EJ159" s="285"/>
      <c r="EK159" s="285"/>
      <c r="EL159" s="285"/>
      <c r="EM159" s="285"/>
      <c r="EN159" s="285"/>
      <c r="EO159" s="285"/>
      <c r="EP159" s="285"/>
      <c r="EQ159" s="285"/>
      <c r="ER159" s="330"/>
      <c r="ES159" s="330"/>
      <c r="ET159" s="330"/>
      <c r="EU159" s="285"/>
      <c r="EV159" s="285"/>
      <c r="EW159" s="285"/>
      <c r="EX159" s="285"/>
      <c r="EY159" s="285"/>
      <c r="EZ159" s="285"/>
      <c r="FA159" s="285"/>
      <c r="FB159" s="285"/>
      <c r="FC159" s="285"/>
      <c r="FD159" s="285"/>
      <c r="FE159" s="285"/>
      <c r="FF159" s="285"/>
      <c r="FG159" s="285"/>
      <c r="FH159" s="285"/>
      <c r="FI159" s="285"/>
      <c r="FJ159" s="285"/>
      <c r="FK159" s="285"/>
      <c r="FL159" s="285"/>
      <c r="FM159" s="285"/>
      <c r="FN159" s="285"/>
      <c r="FO159" s="285"/>
      <c r="FP159" s="285"/>
      <c r="FQ159" s="285"/>
      <c r="FR159" s="285"/>
      <c r="FS159" s="285"/>
      <c r="FT159" s="285"/>
      <c r="FU159" s="285"/>
      <c r="FV159" s="330"/>
      <c r="FW159" s="330"/>
      <c r="FX159" s="330"/>
      <c r="FY159" s="285"/>
      <c r="FZ159" s="285"/>
      <c r="GA159" s="285"/>
      <c r="GB159" s="330"/>
      <c r="GC159" s="330"/>
      <c r="GD159" s="330"/>
      <c r="GE159" s="330"/>
      <c r="GF159" s="330"/>
      <c r="GG159" s="330"/>
    </row>
    <row r="160" spans="1:189" s="146" customFormat="1">
      <c r="A160" s="151"/>
      <c r="B160" s="152"/>
      <c r="C160" s="201"/>
      <c r="D160" s="201"/>
      <c r="E160" s="201"/>
      <c r="J160" s="201"/>
      <c r="BE160" s="201"/>
      <c r="BF160" s="201"/>
      <c r="BG160" s="201"/>
      <c r="CI160" s="201"/>
      <c r="CJ160" s="201"/>
      <c r="CK160" s="201"/>
      <c r="CO160" s="295"/>
      <c r="CP160" s="330"/>
      <c r="CQ160" s="330"/>
      <c r="CR160" s="330"/>
      <c r="CS160" s="285"/>
      <c r="CT160" s="285"/>
      <c r="CU160" s="285"/>
      <c r="CV160" s="285"/>
      <c r="CW160" s="330"/>
      <c r="CX160" s="285"/>
      <c r="CY160" s="285"/>
      <c r="CZ160" s="285"/>
      <c r="DA160" s="285"/>
      <c r="DB160" s="285"/>
      <c r="DC160" s="285"/>
      <c r="DD160" s="285"/>
      <c r="DE160" s="285"/>
      <c r="DF160" s="285"/>
      <c r="DG160" s="285"/>
      <c r="DH160" s="285"/>
      <c r="DI160" s="285"/>
      <c r="DJ160" s="285"/>
      <c r="DK160" s="285"/>
      <c r="DL160" s="285"/>
      <c r="DM160" s="285"/>
      <c r="DN160" s="285"/>
      <c r="DO160" s="285"/>
      <c r="DP160" s="285"/>
      <c r="DQ160" s="285"/>
      <c r="DR160" s="285"/>
      <c r="DS160" s="285"/>
      <c r="DT160" s="285"/>
      <c r="DU160" s="285"/>
      <c r="DV160" s="285"/>
      <c r="DW160" s="285"/>
      <c r="DX160" s="285"/>
      <c r="DY160" s="285"/>
      <c r="DZ160" s="285"/>
      <c r="EA160" s="285"/>
      <c r="EB160" s="285"/>
      <c r="EC160" s="285"/>
      <c r="ED160" s="285"/>
      <c r="EE160" s="285"/>
      <c r="EF160" s="285"/>
      <c r="EG160" s="285"/>
      <c r="EH160" s="285"/>
      <c r="EI160" s="285"/>
      <c r="EJ160" s="285"/>
      <c r="EK160" s="285"/>
      <c r="EL160" s="285"/>
      <c r="EM160" s="285"/>
      <c r="EN160" s="285"/>
      <c r="EO160" s="285"/>
      <c r="EP160" s="285"/>
      <c r="EQ160" s="285"/>
      <c r="ER160" s="330"/>
      <c r="ES160" s="330"/>
      <c r="ET160" s="330"/>
      <c r="EU160" s="285"/>
      <c r="EV160" s="285"/>
      <c r="EW160" s="285"/>
      <c r="EX160" s="285"/>
      <c r="EY160" s="285"/>
      <c r="EZ160" s="285"/>
      <c r="FA160" s="285"/>
      <c r="FB160" s="285"/>
      <c r="FC160" s="285"/>
      <c r="FD160" s="285"/>
      <c r="FE160" s="285"/>
      <c r="FF160" s="285"/>
      <c r="FG160" s="285"/>
      <c r="FH160" s="285"/>
      <c r="FI160" s="285"/>
      <c r="FJ160" s="285"/>
      <c r="FK160" s="285"/>
      <c r="FL160" s="285"/>
      <c r="FM160" s="285"/>
      <c r="FN160" s="285"/>
      <c r="FO160" s="285"/>
      <c r="FP160" s="285"/>
      <c r="FQ160" s="285"/>
      <c r="FR160" s="285"/>
      <c r="FS160" s="285"/>
      <c r="FT160" s="285"/>
      <c r="FU160" s="285"/>
      <c r="FV160" s="330"/>
      <c r="FW160" s="330"/>
      <c r="FX160" s="330"/>
      <c r="FY160" s="285"/>
      <c r="FZ160" s="285"/>
      <c r="GA160" s="285"/>
      <c r="GB160" s="330"/>
      <c r="GC160" s="330"/>
      <c r="GD160" s="330"/>
      <c r="GE160" s="330"/>
      <c r="GF160" s="330"/>
      <c r="GG160" s="330"/>
    </row>
    <row r="161" spans="1:189" s="146" customFormat="1" ht="15.75" customHeight="1">
      <c r="A161" s="151"/>
      <c r="B161" s="152"/>
      <c r="C161" s="201"/>
      <c r="D161" s="201"/>
      <c r="E161" s="201"/>
      <c r="J161" s="201"/>
      <c r="BE161" s="201"/>
      <c r="BF161" s="201"/>
      <c r="BG161" s="201"/>
      <c r="CI161" s="201"/>
      <c r="CJ161" s="201"/>
      <c r="CK161" s="201"/>
      <c r="CO161" s="295"/>
      <c r="CP161" s="330"/>
      <c r="CQ161" s="330"/>
      <c r="CR161" s="330"/>
      <c r="CS161" s="285"/>
      <c r="CT161" s="285"/>
      <c r="CU161" s="285"/>
      <c r="CV161" s="285"/>
      <c r="CW161" s="330"/>
      <c r="CX161" s="285"/>
      <c r="CY161" s="285"/>
      <c r="CZ161" s="285"/>
      <c r="DA161" s="285"/>
      <c r="DB161" s="285"/>
      <c r="DC161" s="285"/>
      <c r="DD161" s="285"/>
      <c r="DE161" s="285"/>
      <c r="DF161" s="285"/>
      <c r="DG161" s="285"/>
      <c r="DH161" s="285"/>
      <c r="DI161" s="285"/>
      <c r="DJ161" s="285"/>
      <c r="DK161" s="285"/>
      <c r="DL161" s="285"/>
      <c r="DM161" s="285"/>
      <c r="DN161" s="285"/>
      <c r="DO161" s="285"/>
      <c r="DP161" s="285"/>
      <c r="DQ161" s="285"/>
      <c r="DR161" s="285"/>
      <c r="DS161" s="285"/>
      <c r="DT161" s="285"/>
      <c r="DU161" s="285"/>
      <c r="DV161" s="285"/>
      <c r="DW161" s="285"/>
      <c r="DX161" s="285"/>
      <c r="DY161" s="285"/>
      <c r="DZ161" s="285"/>
      <c r="EA161" s="285"/>
      <c r="EB161" s="285"/>
      <c r="EC161" s="285"/>
      <c r="ED161" s="285"/>
      <c r="EE161" s="285"/>
      <c r="EF161" s="285"/>
      <c r="EG161" s="285"/>
      <c r="EH161" s="285"/>
      <c r="EI161" s="285"/>
      <c r="EJ161" s="285"/>
      <c r="EK161" s="285"/>
      <c r="EL161" s="285"/>
      <c r="EM161" s="285"/>
      <c r="EN161" s="285"/>
      <c r="EO161" s="285"/>
      <c r="EP161" s="285"/>
      <c r="EQ161" s="285"/>
      <c r="ER161" s="330"/>
      <c r="ES161" s="330"/>
      <c r="ET161" s="330"/>
      <c r="EU161" s="285"/>
      <c r="EV161" s="285"/>
      <c r="EW161" s="285"/>
      <c r="EX161" s="285"/>
      <c r="EY161" s="285"/>
      <c r="EZ161" s="285"/>
      <c r="FA161" s="285"/>
      <c r="FB161" s="285"/>
      <c r="FC161" s="285"/>
      <c r="FD161" s="285"/>
      <c r="FE161" s="285"/>
      <c r="FF161" s="285"/>
      <c r="FG161" s="285"/>
      <c r="FH161" s="285"/>
      <c r="FI161" s="285"/>
      <c r="FJ161" s="285"/>
      <c r="FK161" s="285"/>
      <c r="FL161" s="285"/>
      <c r="FM161" s="285"/>
      <c r="FN161" s="285"/>
      <c r="FO161" s="285"/>
      <c r="FP161" s="285"/>
      <c r="FQ161" s="285"/>
      <c r="FR161" s="285"/>
      <c r="FS161" s="285"/>
      <c r="FT161" s="285"/>
      <c r="FU161" s="285"/>
      <c r="FV161" s="330"/>
      <c r="FW161" s="330"/>
      <c r="FX161" s="330"/>
      <c r="FY161" s="285"/>
      <c r="FZ161" s="285"/>
      <c r="GA161" s="285"/>
      <c r="GB161" s="330"/>
      <c r="GC161" s="330"/>
      <c r="GD161" s="330"/>
      <c r="GE161" s="330"/>
      <c r="GF161" s="330"/>
      <c r="GG161" s="330"/>
    </row>
    <row r="162" spans="1:189" s="146" customFormat="1">
      <c r="A162" s="151"/>
      <c r="B162" s="152"/>
      <c r="C162" s="201"/>
      <c r="D162" s="201"/>
      <c r="E162" s="201"/>
      <c r="J162" s="201"/>
      <c r="BE162" s="201"/>
      <c r="BF162" s="201"/>
      <c r="BG162" s="201"/>
      <c r="CI162" s="201"/>
      <c r="CJ162" s="201"/>
      <c r="CK162" s="201"/>
      <c r="CO162" s="295"/>
      <c r="CP162" s="330"/>
      <c r="CQ162" s="330"/>
      <c r="CR162" s="330"/>
      <c r="CS162" s="285"/>
      <c r="CT162" s="285"/>
      <c r="CU162" s="285"/>
      <c r="CV162" s="285"/>
      <c r="CW162" s="330"/>
      <c r="CX162" s="285"/>
      <c r="CY162" s="285"/>
      <c r="CZ162" s="285"/>
      <c r="DA162" s="285"/>
      <c r="DB162" s="285"/>
      <c r="DC162" s="285"/>
      <c r="DD162" s="285"/>
      <c r="DE162" s="285"/>
      <c r="DF162" s="285"/>
      <c r="DG162" s="285"/>
      <c r="DH162" s="285"/>
      <c r="DI162" s="285"/>
      <c r="DJ162" s="285"/>
      <c r="DK162" s="285"/>
      <c r="DL162" s="285"/>
      <c r="DM162" s="285"/>
      <c r="DN162" s="285"/>
      <c r="DO162" s="285"/>
      <c r="DP162" s="285"/>
      <c r="DQ162" s="285"/>
      <c r="DR162" s="285"/>
      <c r="DS162" s="285"/>
      <c r="DT162" s="285"/>
      <c r="DU162" s="285"/>
      <c r="DV162" s="285"/>
      <c r="DW162" s="285"/>
      <c r="DX162" s="285"/>
      <c r="DY162" s="285"/>
      <c r="DZ162" s="285"/>
      <c r="EA162" s="285"/>
      <c r="EB162" s="285"/>
      <c r="EC162" s="285"/>
      <c r="ED162" s="285"/>
      <c r="EE162" s="285"/>
      <c r="EF162" s="285"/>
      <c r="EG162" s="285"/>
      <c r="EH162" s="285"/>
      <c r="EI162" s="285"/>
      <c r="EJ162" s="285"/>
      <c r="EK162" s="285"/>
      <c r="EL162" s="285"/>
      <c r="EM162" s="285"/>
      <c r="EN162" s="285"/>
      <c r="EO162" s="285"/>
      <c r="EP162" s="285"/>
      <c r="EQ162" s="285"/>
      <c r="ER162" s="330"/>
      <c r="ES162" s="330"/>
      <c r="ET162" s="330"/>
      <c r="EU162" s="285"/>
      <c r="EV162" s="285"/>
      <c r="EW162" s="285"/>
      <c r="EX162" s="285"/>
      <c r="EY162" s="285"/>
      <c r="EZ162" s="285"/>
      <c r="FA162" s="285"/>
      <c r="FB162" s="285"/>
      <c r="FC162" s="285"/>
      <c r="FD162" s="285"/>
      <c r="FE162" s="285"/>
      <c r="FF162" s="285"/>
      <c r="FG162" s="285"/>
      <c r="FH162" s="285"/>
      <c r="FI162" s="285"/>
      <c r="FJ162" s="285"/>
      <c r="FK162" s="285"/>
      <c r="FL162" s="285"/>
      <c r="FM162" s="285"/>
      <c r="FN162" s="285"/>
      <c r="FO162" s="285"/>
      <c r="FP162" s="285"/>
      <c r="FQ162" s="285"/>
      <c r="FR162" s="285"/>
      <c r="FS162" s="285"/>
      <c r="FT162" s="285"/>
      <c r="FU162" s="285"/>
      <c r="FV162" s="330"/>
      <c r="FW162" s="330"/>
      <c r="FX162" s="330"/>
      <c r="FY162" s="285"/>
      <c r="FZ162" s="285"/>
      <c r="GA162" s="285"/>
      <c r="GB162" s="330"/>
      <c r="GC162" s="330"/>
      <c r="GD162" s="330"/>
      <c r="GE162" s="330"/>
      <c r="GF162" s="330"/>
      <c r="GG162" s="330"/>
    </row>
    <row r="163" spans="1:189" s="146" customFormat="1">
      <c r="A163" s="151"/>
      <c r="B163" s="152"/>
      <c r="C163" s="201"/>
      <c r="D163" s="201"/>
      <c r="E163" s="201"/>
      <c r="J163" s="201"/>
      <c r="BE163" s="201"/>
      <c r="BF163" s="201"/>
      <c r="BG163" s="201"/>
      <c r="CI163" s="201"/>
      <c r="CJ163" s="201"/>
      <c r="CK163" s="201"/>
      <c r="CO163" s="295"/>
      <c r="CP163" s="330"/>
      <c r="CQ163" s="330"/>
      <c r="CR163" s="330"/>
      <c r="CS163" s="285"/>
      <c r="CT163" s="285"/>
      <c r="CU163" s="285"/>
      <c r="CV163" s="285"/>
      <c r="CW163" s="330"/>
      <c r="CX163" s="285"/>
      <c r="CY163" s="285"/>
      <c r="CZ163" s="285"/>
      <c r="DA163" s="285"/>
      <c r="DB163" s="285"/>
      <c r="DC163" s="285"/>
      <c r="DD163" s="285"/>
      <c r="DE163" s="285"/>
      <c r="DF163" s="285"/>
      <c r="DG163" s="285"/>
      <c r="DH163" s="285"/>
      <c r="DI163" s="285"/>
      <c r="DJ163" s="285"/>
      <c r="DK163" s="285"/>
      <c r="DL163" s="285"/>
      <c r="DM163" s="285"/>
      <c r="DN163" s="285"/>
      <c r="DO163" s="285"/>
      <c r="DP163" s="285"/>
      <c r="DQ163" s="285"/>
      <c r="DR163" s="285"/>
      <c r="DS163" s="285"/>
      <c r="DT163" s="285"/>
      <c r="DU163" s="285"/>
      <c r="DV163" s="285"/>
      <c r="DW163" s="285"/>
      <c r="DX163" s="285"/>
      <c r="DY163" s="285"/>
      <c r="DZ163" s="285"/>
      <c r="EA163" s="285"/>
      <c r="EB163" s="285"/>
      <c r="EC163" s="285"/>
      <c r="ED163" s="285"/>
      <c r="EE163" s="285"/>
      <c r="EF163" s="285"/>
      <c r="EG163" s="285"/>
      <c r="EH163" s="285"/>
      <c r="EI163" s="285"/>
      <c r="EJ163" s="285"/>
      <c r="EK163" s="285"/>
      <c r="EL163" s="285"/>
      <c r="EM163" s="285"/>
      <c r="EN163" s="285"/>
      <c r="EO163" s="285"/>
      <c r="EP163" s="285"/>
      <c r="EQ163" s="285"/>
      <c r="ER163" s="330"/>
      <c r="ES163" s="330"/>
      <c r="ET163" s="330"/>
      <c r="EU163" s="285"/>
      <c r="EV163" s="285"/>
      <c r="EW163" s="285"/>
      <c r="EX163" s="285"/>
      <c r="EY163" s="285"/>
      <c r="EZ163" s="285"/>
      <c r="FA163" s="285"/>
      <c r="FB163" s="285"/>
      <c r="FC163" s="285"/>
      <c r="FD163" s="285"/>
      <c r="FE163" s="285"/>
      <c r="FF163" s="285"/>
      <c r="FG163" s="285"/>
      <c r="FH163" s="285"/>
      <c r="FI163" s="285"/>
      <c r="FJ163" s="285"/>
      <c r="FK163" s="285"/>
      <c r="FL163" s="285"/>
      <c r="FM163" s="285"/>
      <c r="FN163" s="285"/>
      <c r="FO163" s="285"/>
      <c r="FP163" s="285"/>
      <c r="FQ163" s="285"/>
      <c r="FR163" s="285"/>
      <c r="FS163" s="285"/>
      <c r="FT163" s="285"/>
      <c r="FU163" s="285"/>
      <c r="FV163" s="330"/>
      <c r="FW163" s="330"/>
      <c r="FX163" s="330"/>
      <c r="FY163" s="285"/>
      <c r="FZ163" s="285"/>
      <c r="GA163" s="285"/>
      <c r="GB163" s="330"/>
      <c r="GC163" s="330"/>
      <c r="GD163" s="330"/>
      <c r="GE163" s="330"/>
      <c r="GF163" s="330"/>
      <c r="GG163" s="330"/>
    </row>
    <row r="164" spans="1:189" s="146" customFormat="1">
      <c r="A164" s="151"/>
      <c r="B164" s="152"/>
      <c r="C164" s="201"/>
      <c r="D164" s="201"/>
      <c r="E164" s="201"/>
      <c r="J164" s="201"/>
      <c r="BE164" s="201"/>
      <c r="BF164" s="201"/>
      <c r="BG164" s="201"/>
      <c r="CI164" s="201"/>
      <c r="CJ164" s="201"/>
      <c r="CK164" s="201"/>
      <c r="CO164" s="295"/>
      <c r="CP164" s="330"/>
      <c r="CQ164" s="330"/>
      <c r="CR164" s="330"/>
      <c r="CS164" s="285"/>
      <c r="CT164" s="285"/>
      <c r="CU164" s="285"/>
      <c r="CV164" s="285"/>
      <c r="CW164" s="330"/>
      <c r="CX164" s="285"/>
      <c r="CY164" s="285"/>
      <c r="CZ164" s="285"/>
      <c r="DA164" s="285"/>
      <c r="DB164" s="285"/>
      <c r="DC164" s="285"/>
      <c r="DD164" s="285"/>
      <c r="DE164" s="285"/>
      <c r="DF164" s="285"/>
      <c r="DG164" s="285"/>
      <c r="DH164" s="285"/>
      <c r="DI164" s="285"/>
      <c r="DJ164" s="285"/>
      <c r="DK164" s="285"/>
      <c r="DL164" s="285"/>
      <c r="DM164" s="285"/>
      <c r="DN164" s="285"/>
      <c r="DO164" s="285"/>
      <c r="DP164" s="285"/>
      <c r="DQ164" s="285"/>
      <c r="DR164" s="285"/>
      <c r="DS164" s="285"/>
      <c r="DT164" s="285"/>
      <c r="DU164" s="285"/>
      <c r="DV164" s="285"/>
      <c r="DW164" s="285"/>
      <c r="DX164" s="285"/>
      <c r="DY164" s="285"/>
      <c r="DZ164" s="285"/>
      <c r="EA164" s="285"/>
      <c r="EB164" s="285"/>
      <c r="EC164" s="285"/>
      <c r="ED164" s="285"/>
      <c r="EE164" s="285"/>
      <c r="EF164" s="285"/>
      <c r="EG164" s="285"/>
      <c r="EH164" s="285"/>
      <c r="EI164" s="285"/>
      <c r="EJ164" s="285"/>
      <c r="EK164" s="285"/>
      <c r="EL164" s="285"/>
      <c r="EM164" s="285"/>
      <c r="EN164" s="285"/>
      <c r="EO164" s="285"/>
      <c r="EP164" s="285"/>
      <c r="EQ164" s="285"/>
      <c r="ER164" s="330"/>
      <c r="ES164" s="330"/>
      <c r="ET164" s="330"/>
      <c r="EU164" s="285"/>
      <c r="EV164" s="285"/>
      <c r="EW164" s="285"/>
      <c r="EX164" s="285"/>
      <c r="EY164" s="285"/>
      <c r="EZ164" s="285"/>
      <c r="FA164" s="285"/>
      <c r="FB164" s="285"/>
      <c r="FC164" s="285"/>
      <c r="FD164" s="285"/>
      <c r="FE164" s="285"/>
      <c r="FF164" s="285"/>
      <c r="FG164" s="285"/>
      <c r="FH164" s="285"/>
      <c r="FI164" s="285"/>
      <c r="FJ164" s="285"/>
      <c r="FK164" s="285"/>
      <c r="FL164" s="285"/>
      <c r="FM164" s="285"/>
      <c r="FN164" s="285"/>
      <c r="FO164" s="285"/>
      <c r="FP164" s="285"/>
      <c r="FQ164" s="285"/>
      <c r="FR164" s="285"/>
      <c r="FS164" s="285"/>
      <c r="FT164" s="285"/>
      <c r="FU164" s="285"/>
      <c r="FV164" s="330"/>
      <c r="FW164" s="330"/>
      <c r="FX164" s="330"/>
      <c r="FY164" s="285"/>
      <c r="FZ164" s="285"/>
      <c r="GA164" s="285"/>
      <c r="GB164" s="330"/>
      <c r="GC164" s="330"/>
      <c r="GD164" s="330"/>
      <c r="GE164" s="330"/>
      <c r="GF164" s="330"/>
      <c r="GG164" s="330"/>
    </row>
    <row r="165" spans="1:189" s="146" customFormat="1" ht="15.75" customHeight="1">
      <c r="A165" s="151"/>
      <c r="B165" s="152"/>
      <c r="C165" s="201"/>
      <c r="D165" s="201"/>
      <c r="E165" s="201"/>
      <c r="J165" s="201"/>
      <c r="BE165" s="201"/>
      <c r="BF165" s="201"/>
      <c r="BG165" s="201"/>
      <c r="CI165" s="201"/>
      <c r="CJ165" s="201"/>
      <c r="CK165" s="201"/>
      <c r="CO165" s="295"/>
      <c r="CP165" s="330"/>
      <c r="CQ165" s="330"/>
      <c r="CR165" s="330"/>
      <c r="CS165" s="285"/>
      <c r="CT165" s="285"/>
      <c r="CU165" s="285"/>
      <c r="CV165" s="285"/>
      <c r="CW165" s="330"/>
      <c r="CX165" s="285"/>
      <c r="CY165" s="285"/>
      <c r="CZ165" s="285"/>
      <c r="DA165" s="285"/>
      <c r="DB165" s="285"/>
      <c r="DC165" s="285"/>
      <c r="DD165" s="285"/>
      <c r="DE165" s="285"/>
      <c r="DF165" s="285"/>
      <c r="DG165" s="285"/>
      <c r="DH165" s="285"/>
      <c r="DI165" s="285"/>
      <c r="DJ165" s="285"/>
      <c r="DK165" s="285"/>
      <c r="DL165" s="285"/>
      <c r="DM165" s="285"/>
      <c r="DN165" s="285"/>
      <c r="DO165" s="285"/>
      <c r="DP165" s="285"/>
      <c r="DQ165" s="285"/>
      <c r="DR165" s="285"/>
      <c r="DS165" s="285"/>
      <c r="DT165" s="285"/>
      <c r="DU165" s="285"/>
      <c r="DV165" s="285"/>
      <c r="DW165" s="285"/>
      <c r="DX165" s="285"/>
      <c r="DY165" s="285"/>
      <c r="DZ165" s="285"/>
      <c r="EA165" s="285"/>
      <c r="EB165" s="285"/>
      <c r="EC165" s="285"/>
      <c r="ED165" s="285"/>
      <c r="EE165" s="285"/>
      <c r="EF165" s="285"/>
      <c r="EG165" s="285"/>
      <c r="EH165" s="285"/>
      <c r="EI165" s="285"/>
      <c r="EJ165" s="285"/>
      <c r="EK165" s="285"/>
      <c r="EL165" s="285"/>
      <c r="EM165" s="285"/>
      <c r="EN165" s="285"/>
      <c r="EO165" s="285"/>
      <c r="EP165" s="285"/>
      <c r="EQ165" s="285"/>
      <c r="ER165" s="330"/>
      <c r="ES165" s="330"/>
      <c r="ET165" s="330"/>
      <c r="EU165" s="285"/>
      <c r="EV165" s="285"/>
      <c r="EW165" s="285"/>
      <c r="EX165" s="285"/>
      <c r="EY165" s="285"/>
      <c r="EZ165" s="285"/>
      <c r="FA165" s="285"/>
      <c r="FB165" s="285"/>
      <c r="FC165" s="285"/>
      <c r="FD165" s="285"/>
      <c r="FE165" s="285"/>
      <c r="FF165" s="285"/>
      <c r="FG165" s="285"/>
      <c r="FH165" s="285"/>
      <c r="FI165" s="285"/>
      <c r="FJ165" s="285"/>
      <c r="FK165" s="285"/>
      <c r="FL165" s="285"/>
      <c r="FM165" s="285"/>
      <c r="FN165" s="285"/>
      <c r="FO165" s="285"/>
      <c r="FP165" s="285"/>
      <c r="FQ165" s="285"/>
      <c r="FR165" s="285"/>
      <c r="FS165" s="285"/>
      <c r="FT165" s="285"/>
      <c r="FU165" s="285"/>
      <c r="FV165" s="330"/>
      <c r="FW165" s="330"/>
      <c r="FX165" s="330"/>
      <c r="FY165" s="285"/>
      <c r="FZ165" s="285"/>
      <c r="GA165" s="285"/>
      <c r="GB165" s="330"/>
      <c r="GC165" s="330"/>
      <c r="GD165" s="330"/>
      <c r="GE165" s="330"/>
      <c r="GF165" s="330"/>
      <c r="GG165" s="330"/>
    </row>
    <row r="166" spans="1:189" s="146" customFormat="1">
      <c r="A166" s="151"/>
      <c r="B166" s="152"/>
      <c r="C166" s="201"/>
      <c r="D166" s="201"/>
      <c r="E166" s="201"/>
      <c r="J166" s="201"/>
      <c r="BE166" s="201"/>
      <c r="BF166" s="201"/>
      <c r="BG166" s="201"/>
      <c r="CI166" s="201"/>
      <c r="CJ166" s="201"/>
      <c r="CK166" s="201"/>
      <c r="CO166" s="295"/>
      <c r="CP166" s="330"/>
      <c r="CQ166" s="330"/>
      <c r="CR166" s="330"/>
      <c r="CS166" s="285"/>
      <c r="CT166" s="285"/>
      <c r="CU166" s="285"/>
      <c r="CV166" s="285"/>
      <c r="CW166" s="330"/>
      <c r="CX166" s="285"/>
      <c r="CY166" s="285"/>
      <c r="CZ166" s="285"/>
      <c r="DA166" s="285"/>
      <c r="DB166" s="285"/>
      <c r="DC166" s="285"/>
      <c r="DD166" s="285"/>
      <c r="DE166" s="285"/>
      <c r="DF166" s="285"/>
      <c r="DG166" s="285"/>
      <c r="DH166" s="285"/>
      <c r="DI166" s="285"/>
      <c r="DJ166" s="285"/>
      <c r="DK166" s="285"/>
      <c r="DL166" s="285"/>
      <c r="DM166" s="285"/>
      <c r="DN166" s="285"/>
      <c r="DO166" s="285"/>
      <c r="DP166" s="285"/>
      <c r="DQ166" s="285"/>
      <c r="DR166" s="285"/>
      <c r="DS166" s="285"/>
      <c r="DT166" s="285"/>
      <c r="DU166" s="285"/>
      <c r="DV166" s="285"/>
      <c r="DW166" s="285"/>
      <c r="DX166" s="285"/>
      <c r="DY166" s="285"/>
      <c r="DZ166" s="285"/>
      <c r="EA166" s="285"/>
      <c r="EB166" s="285"/>
      <c r="EC166" s="285"/>
      <c r="ED166" s="285"/>
      <c r="EE166" s="285"/>
      <c r="EF166" s="285"/>
      <c r="EG166" s="285"/>
      <c r="EH166" s="285"/>
      <c r="EI166" s="285"/>
      <c r="EJ166" s="285"/>
      <c r="EK166" s="285"/>
      <c r="EL166" s="285"/>
      <c r="EM166" s="285"/>
      <c r="EN166" s="285"/>
      <c r="EO166" s="285"/>
      <c r="EP166" s="285"/>
      <c r="EQ166" s="285"/>
      <c r="ER166" s="330"/>
      <c r="ES166" s="330"/>
      <c r="ET166" s="330"/>
      <c r="EU166" s="285"/>
      <c r="EV166" s="285"/>
      <c r="EW166" s="285"/>
      <c r="EX166" s="285"/>
      <c r="EY166" s="285"/>
      <c r="EZ166" s="285"/>
      <c r="FA166" s="285"/>
      <c r="FB166" s="285"/>
      <c r="FC166" s="285"/>
      <c r="FD166" s="285"/>
      <c r="FE166" s="285"/>
      <c r="FF166" s="285"/>
      <c r="FG166" s="285"/>
      <c r="FH166" s="285"/>
      <c r="FI166" s="285"/>
      <c r="FJ166" s="285"/>
      <c r="FK166" s="285"/>
      <c r="FL166" s="285"/>
      <c r="FM166" s="285"/>
      <c r="FN166" s="285"/>
      <c r="FO166" s="285"/>
      <c r="FP166" s="285"/>
      <c r="FQ166" s="285"/>
      <c r="FR166" s="285"/>
      <c r="FS166" s="285"/>
      <c r="FT166" s="285"/>
      <c r="FU166" s="285"/>
      <c r="FV166" s="330"/>
      <c r="FW166" s="330"/>
      <c r="FX166" s="330"/>
      <c r="FY166" s="285"/>
      <c r="FZ166" s="285"/>
      <c r="GA166" s="285"/>
      <c r="GB166" s="330"/>
      <c r="GC166" s="330"/>
      <c r="GD166" s="330"/>
      <c r="GE166" s="330"/>
      <c r="GF166" s="330"/>
      <c r="GG166" s="330"/>
    </row>
    <row r="167" spans="1:189" s="146" customFormat="1">
      <c r="A167" s="151"/>
      <c r="B167" s="152"/>
      <c r="C167" s="201"/>
      <c r="D167" s="201"/>
      <c r="E167" s="201"/>
      <c r="J167" s="201"/>
      <c r="BE167" s="201"/>
      <c r="BF167" s="201"/>
      <c r="BG167" s="201"/>
      <c r="CI167" s="201"/>
      <c r="CJ167" s="201"/>
      <c r="CK167" s="201"/>
      <c r="CO167" s="295"/>
      <c r="CP167" s="330"/>
      <c r="CQ167" s="330"/>
      <c r="CR167" s="330"/>
      <c r="CS167" s="285"/>
      <c r="CT167" s="285"/>
      <c r="CU167" s="285"/>
      <c r="CV167" s="285"/>
      <c r="CW167" s="330"/>
      <c r="CX167" s="285"/>
      <c r="CY167" s="285"/>
      <c r="CZ167" s="285"/>
      <c r="DA167" s="285"/>
      <c r="DB167" s="285"/>
      <c r="DC167" s="285"/>
      <c r="DD167" s="285"/>
      <c r="DE167" s="285"/>
      <c r="DF167" s="285"/>
      <c r="DG167" s="285"/>
      <c r="DH167" s="285"/>
      <c r="DI167" s="285"/>
      <c r="DJ167" s="285"/>
      <c r="DK167" s="285"/>
      <c r="DL167" s="285"/>
      <c r="DM167" s="285"/>
      <c r="DN167" s="285"/>
      <c r="DO167" s="285"/>
      <c r="DP167" s="285"/>
      <c r="DQ167" s="285"/>
      <c r="DR167" s="285"/>
      <c r="DS167" s="285"/>
      <c r="DT167" s="285"/>
      <c r="DU167" s="285"/>
      <c r="DV167" s="285"/>
      <c r="DW167" s="285"/>
      <c r="DX167" s="285"/>
      <c r="DY167" s="285"/>
      <c r="DZ167" s="285"/>
      <c r="EA167" s="285"/>
      <c r="EB167" s="285"/>
      <c r="EC167" s="285"/>
      <c r="ED167" s="285"/>
      <c r="EE167" s="285"/>
      <c r="EF167" s="285"/>
      <c r="EG167" s="285"/>
      <c r="EH167" s="285"/>
      <c r="EI167" s="285"/>
      <c r="EJ167" s="285"/>
      <c r="EK167" s="285"/>
      <c r="EL167" s="285"/>
      <c r="EM167" s="285"/>
      <c r="EN167" s="285"/>
      <c r="EO167" s="285"/>
      <c r="EP167" s="285"/>
      <c r="EQ167" s="285"/>
      <c r="ER167" s="330"/>
      <c r="ES167" s="330"/>
      <c r="ET167" s="330"/>
      <c r="EU167" s="285"/>
      <c r="EV167" s="285"/>
      <c r="EW167" s="285"/>
      <c r="EX167" s="285"/>
      <c r="EY167" s="285"/>
      <c r="EZ167" s="285"/>
      <c r="FA167" s="285"/>
      <c r="FB167" s="285"/>
      <c r="FC167" s="285"/>
      <c r="FD167" s="285"/>
      <c r="FE167" s="285"/>
      <c r="FF167" s="285"/>
      <c r="FG167" s="285"/>
      <c r="FH167" s="285"/>
      <c r="FI167" s="285"/>
      <c r="FJ167" s="285"/>
      <c r="FK167" s="285"/>
      <c r="FL167" s="285"/>
      <c r="FM167" s="285"/>
      <c r="FN167" s="285"/>
      <c r="FO167" s="285"/>
      <c r="FP167" s="285"/>
      <c r="FQ167" s="285"/>
      <c r="FR167" s="285"/>
      <c r="FS167" s="285"/>
      <c r="FT167" s="285"/>
      <c r="FU167" s="285"/>
      <c r="FV167" s="330"/>
      <c r="FW167" s="330"/>
      <c r="FX167" s="330"/>
      <c r="FY167" s="285"/>
      <c r="FZ167" s="285"/>
      <c r="GA167" s="285"/>
      <c r="GB167" s="330"/>
      <c r="GC167" s="330"/>
      <c r="GD167" s="330"/>
      <c r="GE167" s="330"/>
      <c r="GF167" s="330"/>
      <c r="GG167" s="330"/>
    </row>
    <row r="168" spans="1:189" s="146" customFormat="1">
      <c r="A168" s="151"/>
      <c r="B168" s="152"/>
      <c r="C168" s="201"/>
      <c r="D168" s="201"/>
      <c r="E168" s="201"/>
      <c r="J168" s="201"/>
      <c r="BE168" s="201"/>
      <c r="BF168" s="201"/>
      <c r="BG168" s="201"/>
      <c r="CI168" s="201"/>
      <c r="CJ168" s="201"/>
      <c r="CK168" s="201"/>
      <c r="CO168" s="295"/>
      <c r="CP168" s="330"/>
      <c r="CQ168" s="330"/>
      <c r="CR168" s="330"/>
      <c r="CS168" s="285"/>
      <c r="CT168" s="285"/>
      <c r="CU168" s="285"/>
      <c r="CV168" s="285"/>
      <c r="CW168" s="330"/>
      <c r="CX168" s="285"/>
      <c r="CY168" s="285"/>
      <c r="CZ168" s="285"/>
      <c r="DA168" s="285"/>
      <c r="DB168" s="285"/>
      <c r="DC168" s="285"/>
      <c r="DD168" s="285"/>
      <c r="DE168" s="285"/>
      <c r="DF168" s="285"/>
      <c r="DG168" s="285"/>
      <c r="DH168" s="285"/>
      <c r="DI168" s="285"/>
      <c r="DJ168" s="285"/>
      <c r="DK168" s="285"/>
      <c r="DL168" s="285"/>
      <c r="DM168" s="285"/>
      <c r="DN168" s="285"/>
      <c r="DO168" s="285"/>
      <c r="DP168" s="285"/>
      <c r="DQ168" s="285"/>
      <c r="DR168" s="285"/>
      <c r="DS168" s="285"/>
      <c r="DT168" s="285"/>
      <c r="DU168" s="285"/>
      <c r="DV168" s="285"/>
      <c r="DW168" s="285"/>
      <c r="DX168" s="285"/>
      <c r="DY168" s="285"/>
      <c r="DZ168" s="285"/>
      <c r="EA168" s="285"/>
      <c r="EB168" s="285"/>
      <c r="EC168" s="285"/>
      <c r="ED168" s="285"/>
      <c r="EE168" s="285"/>
      <c r="EF168" s="285"/>
      <c r="EG168" s="285"/>
      <c r="EH168" s="285"/>
      <c r="EI168" s="285"/>
      <c r="EJ168" s="285"/>
      <c r="EK168" s="285"/>
      <c r="EL168" s="285"/>
      <c r="EM168" s="285"/>
      <c r="EN168" s="285"/>
      <c r="EO168" s="285"/>
      <c r="EP168" s="285"/>
      <c r="EQ168" s="285"/>
      <c r="ER168" s="330"/>
      <c r="ES168" s="330"/>
      <c r="ET168" s="330"/>
      <c r="EU168" s="285"/>
      <c r="EV168" s="285"/>
      <c r="EW168" s="285"/>
      <c r="EX168" s="285"/>
      <c r="EY168" s="285"/>
      <c r="EZ168" s="285"/>
      <c r="FA168" s="285"/>
      <c r="FB168" s="285"/>
      <c r="FC168" s="285"/>
      <c r="FD168" s="285"/>
      <c r="FE168" s="285"/>
      <c r="FF168" s="285"/>
      <c r="FG168" s="285"/>
      <c r="FH168" s="285"/>
      <c r="FI168" s="285"/>
      <c r="FJ168" s="285"/>
      <c r="FK168" s="285"/>
      <c r="FL168" s="285"/>
      <c r="FM168" s="285"/>
      <c r="FN168" s="285"/>
      <c r="FO168" s="285"/>
      <c r="FP168" s="285"/>
      <c r="FQ168" s="285"/>
      <c r="FR168" s="285"/>
      <c r="FS168" s="285"/>
      <c r="FT168" s="285"/>
      <c r="FU168" s="285"/>
      <c r="FV168" s="330"/>
      <c r="FW168" s="330"/>
      <c r="FX168" s="330"/>
      <c r="FY168" s="285"/>
      <c r="FZ168" s="285"/>
      <c r="GA168" s="285"/>
      <c r="GB168" s="330"/>
      <c r="GC168" s="330"/>
      <c r="GD168" s="330"/>
      <c r="GE168" s="330"/>
      <c r="GF168" s="330"/>
      <c r="GG168" s="330"/>
    </row>
    <row r="169" spans="1:189" s="146" customFormat="1" ht="15.75" customHeight="1">
      <c r="A169" s="151"/>
      <c r="B169" s="152"/>
      <c r="C169" s="201"/>
      <c r="D169" s="201"/>
      <c r="E169" s="201"/>
      <c r="J169" s="201"/>
      <c r="BE169" s="201"/>
      <c r="BF169" s="201"/>
      <c r="BG169" s="201"/>
      <c r="CI169" s="201"/>
      <c r="CJ169" s="201"/>
      <c r="CK169" s="201"/>
      <c r="CO169" s="295"/>
      <c r="CP169" s="330"/>
      <c r="CQ169" s="330"/>
      <c r="CR169" s="330"/>
      <c r="CS169" s="285"/>
      <c r="CT169" s="285"/>
      <c r="CU169" s="285"/>
      <c r="CV169" s="285"/>
      <c r="CW169" s="330"/>
      <c r="CX169" s="285"/>
      <c r="CY169" s="285"/>
      <c r="CZ169" s="285"/>
      <c r="DA169" s="285"/>
      <c r="DB169" s="285"/>
      <c r="DC169" s="285"/>
      <c r="DD169" s="285"/>
      <c r="DE169" s="285"/>
      <c r="DF169" s="285"/>
      <c r="DG169" s="285"/>
      <c r="DH169" s="285"/>
      <c r="DI169" s="285"/>
      <c r="DJ169" s="285"/>
      <c r="DK169" s="285"/>
      <c r="DL169" s="285"/>
      <c r="DM169" s="285"/>
      <c r="DN169" s="285"/>
      <c r="DO169" s="285"/>
      <c r="DP169" s="285"/>
      <c r="DQ169" s="285"/>
      <c r="DR169" s="285"/>
      <c r="DS169" s="285"/>
      <c r="DT169" s="285"/>
      <c r="DU169" s="285"/>
      <c r="DV169" s="285"/>
      <c r="DW169" s="285"/>
      <c r="DX169" s="285"/>
      <c r="DY169" s="285"/>
      <c r="DZ169" s="285"/>
      <c r="EA169" s="285"/>
      <c r="EB169" s="285"/>
      <c r="EC169" s="285"/>
      <c r="ED169" s="285"/>
      <c r="EE169" s="285"/>
      <c r="EF169" s="285"/>
      <c r="EG169" s="285"/>
      <c r="EH169" s="285"/>
      <c r="EI169" s="285"/>
      <c r="EJ169" s="285"/>
      <c r="EK169" s="285"/>
      <c r="EL169" s="285"/>
      <c r="EM169" s="285"/>
      <c r="EN169" s="285"/>
      <c r="EO169" s="285"/>
      <c r="EP169" s="285"/>
      <c r="EQ169" s="285"/>
      <c r="ER169" s="330"/>
      <c r="ES169" s="330"/>
      <c r="ET169" s="330"/>
      <c r="EU169" s="285"/>
      <c r="EV169" s="285"/>
      <c r="EW169" s="285"/>
      <c r="EX169" s="285"/>
      <c r="EY169" s="285"/>
      <c r="EZ169" s="285"/>
      <c r="FA169" s="285"/>
      <c r="FB169" s="285"/>
      <c r="FC169" s="285"/>
      <c r="FD169" s="285"/>
      <c r="FE169" s="285"/>
      <c r="FF169" s="285"/>
      <c r="FG169" s="285"/>
      <c r="FH169" s="285"/>
      <c r="FI169" s="285"/>
      <c r="FJ169" s="285"/>
      <c r="FK169" s="285"/>
      <c r="FL169" s="285"/>
      <c r="FM169" s="285"/>
      <c r="FN169" s="285"/>
      <c r="FO169" s="285"/>
      <c r="FP169" s="285"/>
      <c r="FQ169" s="285"/>
      <c r="FR169" s="285"/>
      <c r="FS169" s="285"/>
      <c r="FT169" s="285"/>
      <c r="FU169" s="285"/>
      <c r="FV169" s="330"/>
      <c r="FW169" s="330"/>
      <c r="FX169" s="330"/>
      <c r="FY169" s="285"/>
      <c r="FZ169" s="285"/>
      <c r="GA169" s="285"/>
      <c r="GB169" s="330"/>
      <c r="GC169" s="330"/>
      <c r="GD169" s="330"/>
      <c r="GE169" s="330"/>
      <c r="GF169" s="330"/>
      <c r="GG169" s="330"/>
    </row>
    <row r="170" spans="1:189" s="146" customFormat="1">
      <c r="A170" s="151"/>
      <c r="B170" s="152"/>
      <c r="C170" s="201"/>
      <c r="D170" s="201"/>
      <c r="E170" s="201"/>
      <c r="J170" s="201"/>
      <c r="BE170" s="201"/>
      <c r="BF170" s="201"/>
      <c r="BG170" s="201"/>
      <c r="CI170" s="201"/>
      <c r="CJ170" s="201"/>
      <c r="CK170" s="201"/>
      <c r="CO170" s="295"/>
      <c r="CP170" s="330"/>
      <c r="CQ170" s="330"/>
      <c r="CR170" s="330"/>
      <c r="CS170" s="285"/>
      <c r="CT170" s="285"/>
      <c r="CU170" s="285"/>
      <c r="CV170" s="285"/>
      <c r="CW170" s="330"/>
      <c r="CX170" s="285"/>
      <c r="CY170" s="285"/>
      <c r="CZ170" s="285"/>
      <c r="DA170" s="285"/>
      <c r="DB170" s="285"/>
      <c r="DC170" s="285"/>
      <c r="DD170" s="285"/>
      <c r="DE170" s="285"/>
      <c r="DF170" s="285"/>
      <c r="DG170" s="285"/>
      <c r="DH170" s="285"/>
      <c r="DI170" s="285"/>
      <c r="DJ170" s="285"/>
      <c r="DK170" s="285"/>
      <c r="DL170" s="285"/>
      <c r="DM170" s="285"/>
      <c r="DN170" s="285"/>
      <c r="DO170" s="285"/>
      <c r="DP170" s="285"/>
      <c r="DQ170" s="285"/>
      <c r="DR170" s="285"/>
      <c r="DS170" s="285"/>
      <c r="DT170" s="285"/>
      <c r="DU170" s="285"/>
      <c r="DV170" s="285"/>
      <c r="DW170" s="285"/>
      <c r="DX170" s="285"/>
      <c r="DY170" s="285"/>
      <c r="DZ170" s="285"/>
      <c r="EA170" s="285"/>
      <c r="EB170" s="285"/>
      <c r="EC170" s="285"/>
      <c r="ED170" s="285"/>
      <c r="EE170" s="285"/>
      <c r="EF170" s="285"/>
      <c r="EG170" s="285"/>
      <c r="EH170" s="285"/>
      <c r="EI170" s="285"/>
      <c r="EJ170" s="285"/>
      <c r="EK170" s="285"/>
      <c r="EL170" s="285"/>
      <c r="EM170" s="285"/>
      <c r="EN170" s="285"/>
      <c r="EO170" s="285"/>
      <c r="EP170" s="285"/>
      <c r="EQ170" s="285"/>
      <c r="ER170" s="330"/>
      <c r="ES170" s="330"/>
      <c r="ET170" s="330"/>
      <c r="EU170" s="285"/>
      <c r="EV170" s="285"/>
      <c r="EW170" s="285"/>
      <c r="EX170" s="285"/>
      <c r="EY170" s="285"/>
      <c r="EZ170" s="285"/>
      <c r="FA170" s="285"/>
      <c r="FB170" s="285"/>
      <c r="FC170" s="285"/>
      <c r="FD170" s="285"/>
      <c r="FE170" s="285"/>
      <c r="FF170" s="285"/>
      <c r="FG170" s="285"/>
      <c r="FH170" s="285"/>
      <c r="FI170" s="285"/>
      <c r="FJ170" s="285"/>
      <c r="FK170" s="285"/>
      <c r="FL170" s="285"/>
      <c r="FM170" s="285"/>
      <c r="FN170" s="285"/>
      <c r="FO170" s="285"/>
      <c r="FP170" s="285"/>
      <c r="FQ170" s="285"/>
      <c r="FR170" s="285"/>
      <c r="FS170" s="285"/>
      <c r="FT170" s="285"/>
      <c r="FU170" s="285"/>
      <c r="FV170" s="330"/>
      <c r="FW170" s="330"/>
      <c r="FX170" s="330"/>
      <c r="FY170" s="285"/>
      <c r="FZ170" s="285"/>
      <c r="GA170" s="285"/>
      <c r="GB170" s="330"/>
      <c r="GC170" s="330"/>
      <c r="GD170" s="330"/>
      <c r="GE170" s="330"/>
      <c r="GF170" s="330"/>
      <c r="GG170" s="330"/>
    </row>
    <row r="171" spans="1:189" s="146" customFormat="1">
      <c r="A171" s="151"/>
      <c r="B171" s="152"/>
      <c r="C171" s="201"/>
      <c r="D171" s="201"/>
      <c r="E171" s="201"/>
      <c r="J171" s="201"/>
      <c r="BE171" s="201"/>
      <c r="BF171" s="201"/>
      <c r="BG171" s="201"/>
      <c r="CI171" s="201"/>
      <c r="CJ171" s="201"/>
      <c r="CK171" s="201"/>
      <c r="CO171" s="295"/>
      <c r="CP171" s="330"/>
      <c r="CQ171" s="330"/>
      <c r="CR171" s="330"/>
      <c r="CS171" s="285"/>
      <c r="CT171" s="285"/>
      <c r="CU171" s="285"/>
      <c r="CV171" s="285"/>
      <c r="CW171" s="330"/>
      <c r="CX171" s="285"/>
      <c r="CY171" s="285"/>
      <c r="CZ171" s="285"/>
      <c r="DA171" s="285"/>
      <c r="DB171" s="285"/>
      <c r="DC171" s="285"/>
      <c r="DD171" s="285"/>
      <c r="DE171" s="285"/>
      <c r="DF171" s="285"/>
      <c r="DG171" s="285"/>
      <c r="DH171" s="285"/>
      <c r="DI171" s="285"/>
      <c r="DJ171" s="285"/>
      <c r="DK171" s="285"/>
      <c r="DL171" s="285"/>
      <c r="DM171" s="285"/>
      <c r="DN171" s="285"/>
      <c r="DO171" s="285"/>
      <c r="DP171" s="285"/>
      <c r="DQ171" s="285"/>
      <c r="DR171" s="285"/>
      <c r="DS171" s="285"/>
      <c r="DT171" s="285"/>
      <c r="DU171" s="285"/>
      <c r="DV171" s="285"/>
      <c r="DW171" s="285"/>
      <c r="DX171" s="285"/>
      <c r="DY171" s="285"/>
      <c r="DZ171" s="285"/>
      <c r="EA171" s="285"/>
      <c r="EB171" s="285"/>
      <c r="EC171" s="285"/>
      <c r="ED171" s="285"/>
      <c r="EE171" s="285"/>
      <c r="EF171" s="285"/>
      <c r="EG171" s="285"/>
      <c r="EH171" s="285"/>
      <c r="EI171" s="285"/>
      <c r="EJ171" s="285"/>
      <c r="EK171" s="285"/>
      <c r="EL171" s="285"/>
      <c r="EM171" s="285"/>
      <c r="EN171" s="285"/>
      <c r="EO171" s="285"/>
      <c r="EP171" s="285"/>
      <c r="EQ171" s="285"/>
      <c r="ER171" s="330"/>
      <c r="ES171" s="330"/>
      <c r="ET171" s="330"/>
      <c r="EU171" s="285"/>
      <c r="EV171" s="285"/>
      <c r="EW171" s="285"/>
      <c r="EX171" s="285"/>
      <c r="EY171" s="285"/>
      <c r="EZ171" s="285"/>
      <c r="FA171" s="285"/>
      <c r="FB171" s="285"/>
      <c r="FC171" s="285"/>
      <c r="FD171" s="285"/>
      <c r="FE171" s="285"/>
      <c r="FF171" s="285"/>
      <c r="FG171" s="285"/>
      <c r="FH171" s="285"/>
      <c r="FI171" s="285"/>
      <c r="FJ171" s="285"/>
      <c r="FK171" s="285"/>
      <c r="FL171" s="285"/>
      <c r="FM171" s="285"/>
      <c r="FN171" s="285"/>
      <c r="FO171" s="285"/>
      <c r="FP171" s="285"/>
      <c r="FQ171" s="285"/>
      <c r="FR171" s="285"/>
      <c r="FS171" s="285"/>
      <c r="FT171" s="285"/>
      <c r="FU171" s="285"/>
      <c r="FV171" s="330"/>
      <c r="FW171" s="330"/>
      <c r="FX171" s="330"/>
      <c r="FY171" s="285"/>
      <c r="FZ171" s="285"/>
      <c r="GA171" s="285"/>
      <c r="GB171" s="330"/>
      <c r="GC171" s="330"/>
      <c r="GD171" s="330"/>
      <c r="GE171" s="330"/>
      <c r="GF171" s="330"/>
      <c r="GG171" s="330"/>
    </row>
    <row r="172" spans="1:189" s="146" customFormat="1">
      <c r="A172" s="151"/>
      <c r="B172" s="152"/>
      <c r="C172" s="201"/>
      <c r="D172" s="201"/>
      <c r="E172" s="201"/>
      <c r="J172" s="201"/>
      <c r="BE172" s="201"/>
      <c r="BF172" s="201"/>
      <c r="BG172" s="201"/>
      <c r="CI172" s="201"/>
      <c r="CJ172" s="201"/>
      <c r="CK172" s="201"/>
      <c r="CO172" s="295"/>
      <c r="CP172" s="330"/>
      <c r="CQ172" s="330"/>
      <c r="CR172" s="330"/>
      <c r="CS172" s="285"/>
      <c r="CT172" s="285"/>
      <c r="CU172" s="285"/>
      <c r="CV172" s="285"/>
      <c r="CW172" s="330"/>
      <c r="CX172" s="285"/>
      <c r="CY172" s="285"/>
      <c r="CZ172" s="285"/>
      <c r="DA172" s="285"/>
      <c r="DB172" s="285"/>
      <c r="DC172" s="285"/>
      <c r="DD172" s="285"/>
      <c r="DE172" s="285"/>
      <c r="DF172" s="285"/>
      <c r="DG172" s="285"/>
      <c r="DH172" s="285"/>
      <c r="DI172" s="285"/>
      <c r="DJ172" s="285"/>
      <c r="DK172" s="285"/>
      <c r="DL172" s="285"/>
      <c r="DM172" s="285"/>
      <c r="DN172" s="285"/>
      <c r="DO172" s="285"/>
      <c r="DP172" s="285"/>
      <c r="DQ172" s="285"/>
      <c r="DR172" s="285"/>
      <c r="DS172" s="285"/>
      <c r="DT172" s="285"/>
      <c r="DU172" s="285"/>
      <c r="DV172" s="285"/>
      <c r="DW172" s="285"/>
      <c r="DX172" s="285"/>
      <c r="DY172" s="285"/>
      <c r="DZ172" s="285"/>
      <c r="EA172" s="285"/>
      <c r="EB172" s="285"/>
      <c r="EC172" s="285"/>
      <c r="ED172" s="285"/>
      <c r="EE172" s="285"/>
      <c r="EF172" s="285"/>
      <c r="EG172" s="285"/>
      <c r="EH172" s="285"/>
      <c r="EI172" s="285"/>
      <c r="EJ172" s="285"/>
      <c r="EK172" s="285"/>
      <c r="EL172" s="285"/>
      <c r="EM172" s="285"/>
      <c r="EN172" s="285"/>
      <c r="EO172" s="285"/>
      <c r="EP172" s="285"/>
      <c r="EQ172" s="285"/>
      <c r="ER172" s="330"/>
      <c r="ES172" s="330"/>
      <c r="ET172" s="330"/>
      <c r="EU172" s="285"/>
      <c r="EV172" s="285"/>
      <c r="EW172" s="285"/>
      <c r="EX172" s="285"/>
      <c r="EY172" s="285"/>
      <c r="EZ172" s="285"/>
      <c r="FA172" s="285"/>
      <c r="FB172" s="285"/>
      <c r="FC172" s="285"/>
      <c r="FD172" s="285"/>
      <c r="FE172" s="285"/>
      <c r="FF172" s="285"/>
      <c r="FG172" s="285"/>
      <c r="FH172" s="285"/>
      <c r="FI172" s="285"/>
      <c r="FJ172" s="285"/>
      <c r="FK172" s="285"/>
      <c r="FL172" s="285"/>
      <c r="FM172" s="285"/>
      <c r="FN172" s="285"/>
      <c r="FO172" s="285"/>
      <c r="FP172" s="285"/>
      <c r="FQ172" s="285"/>
      <c r="FR172" s="285"/>
      <c r="FS172" s="285"/>
      <c r="FT172" s="285"/>
      <c r="FU172" s="285"/>
      <c r="FV172" s="330"/>
      <c r="FW172" s="330"/>
      <c r="FX172" s="330"/>
      <c r="FY172" s="285"/>
      <c r="FZ172" s="285"/>
      <c r="GA172" s="285"/>
      <c r="GB172" s="330"/>
      <c r="GC172" s="330"/>
      <c r="GD172" s="330"/>
      <c r="GE172" s="330"/>
      <c r="GF172" s="330"/>
      <c r="GG172" s="330"/>
    </row>
    <row r="173" spans="1:189" s="146" customFormat="1" ht="15.75" customHeight="1">
      <c r="A173" s="151"/>
      <c r="B173" s="152"/>
      <c r="C173" s="201"/>
      <c r="D173" s="201"/>
      <c r="E173" s="201"/>
      <c r="J173" s="201"/>
      <c r="BE173" s="201"/>
      <c r="BF173" s="201"/>
      <c r="BG173" s="201"/>
      <c r="CI173" s="201"/>
      <c r="CJ173" s="201"/>
      <c r="CK173" s="201"/>
      <c r="CO173" s="295"/>
      <c r="CP173" s="330"/>
      <c r="CQ173" s="330"/>
      <c r="CR173" s="330"/>
      <c r="CS173" s="285"/>
      <c r="CT173" s="285"/>
      <c r="CU173" s="285"/>
      <c r="CV173" s="285"/>
      <c r="CW173" s="330"/>
      <c r="CX173" s="285"/>
      <c r="CY173" s="285"/>
      <c r="CZ173" s="285"/>
      <c r="DA173" s="285"/>
      <c r="DB173" s="285"/>
      <c r="DC173" s="285"/>
      <c r="DD173" s="285"/>
      <c r="DE173" s="285"/>
      <c r="DF173" s="285"/>
      <c r="DG173" s="285"/>
      <c r="DH173" s="285"/>
      <c r="DI173" s="285"/>
      <c r="DJ173" s="285"/>
      <c r="DK173" s="285"/>
      <c r="DL173" s="285"/>
      <c r="DM173" s="285"/>
      <c r="DN173" s="285"/>
      <c r="DO173" s="285"/>
      <c r="DP173" s="285"/>
      <c r="DQ173" s="285"/>
      <c r="DR173" s="285"/>
      <c r="DS173" s="285"/>
      <c r="DT173" s="285"/>
      <c r="DU173" s="285"/>
      <c r="DV173" s="285"/>
      <c r="DW173" s="285"/>
      <c r="DX173" s="285"/>
      <c r="DY173" s="285"/>
      <c r="DZ173" s="285"/>
      <c r="EA173" s="285"/>
      <c r="EB173" s="285"/>
      <c r="EC173" s="285"/>
      <c r="ED173" s="285"/>
      <c r="EE173" s="285"/>
      <c r="EF173" s="285"/>
      <c r="EG173" s="285"/>
      <c r="EH173" s="285"/>
      <c r="EI173" s="285"/>
      <c r="EJ173" s="285"/>
      <c r="EK173" s="285"/>
      <c r="EL173" s="285"/>
      <c r="EM173" s="285"/>
      <c r="EN173" s="285"/>
      <c r="EO173" s="285"/>
      <c r="EP173" s="285"/>
      <c r="EQ173" s="285"/>
      <c r="ER173" s="330"/>
      <c r="ES173" s="330"/>
      <c r="ET173" s="330"/>
      <c r="EU173" s="285"/>
      <c r="EV173" s="285"/>
      <c r="EW173" s="285"/>
      <c r="EX173" s="285"/>
      <c r="EY173" s="285"/>
      <c r="EZ173" s="285"/>
      <c r="FA173" s="285"/>
      <c r="FB173" s="285"/>
      <c r="FC173" s="285"/>
      <c r="FD173" s="285"/>
      <c r="FE173" s="285"/>
      <c r="FF173" s="285"/>
      <c r="FG173" s="285"/>
      <c r="FH173" s="285"/>
      <c r="FI173" s="285"/>
      <c r="FJ173" s="285"/>
      <c r="FK173" s="285"/>
      <c r="FL173" s="285"/>
      <c r="FM173" s="285"/>
      <c r="FN173" s="285"/>
      <c r="FO173" s="285"/>
      <c r="FP173" s="285"/>
      <c r="FQ173" s="285"/>
      <c r="FR173" s="285"/>
      <c r="FS173" s="285"/>
      <c r="FT173" s="285"/>
      <c r="FU173" s="285"/>
      <c r="FV173" s="330"/>
      <c r="FW173" s="330"/>
      <c r="FX173" s="330"/>
      <c r="FY173" s="285"/>
      <c r="FZ173" s="285"/>
      <c r="GA173" s="285"/>
      <c r="GB173" s="330"/>
      <c r="GC173" s="330"/>
      <c r="GD173" s="330"/>
      <c r="GE173" s="330"/>
      <c r="GF173" s="330"/>
      <c r="GG173" s="330"/>
    </row>
    <row r="174" spans="1:189" s="146" customFormat="1">
      <c r="A174" s="151"/>
      <c r="B174" s="152"/>
      <c r="C174" s="201"/>
      <c r="D174" s="201"/>
      <c r="E174" s="201"/>
      <c r="J174" s="201"/>
      <c r="BE174" s="201"/>
      <c r="BF174" s="201"/>
      <c r="BG174" s="201"/>
      <c r="CI174" s="201"/>
      <c r="CJ174" s="201"/>
      <c r="CK174" s="201"/>
      <c r="CO174" s="295"/>
      <c r="CP174" s="330"/>
      <c r="CQ174" s="330"/>
      <c r="CR174" s="330"/>
      <c r="CS174" s="285"/>
      <c r="CT174" s="285"/>
      <c r="CU174" s="285"/>
      <c r="CV174" s="285"/>
      <c r="CW174" s="330"/>
      <c r="CX174" s="285"/>
      <c r="CY174" s="285"/>
      <c r="CZ174" s="285"/>
      <c r="DA174" s="285"/>
      <c r="DB174" s="285"/>
      <c r="DC174" s="285"/>
      <c r="DD174" s="285"/>
      <c r="DE174" s="285"/>
      <c r="DF174" s="285"/>
      <c r="DG174" s="285"/>
      <c r="DH174" s="285"/>
      <c r="DI174" s="285"/>
      <c r="DJ174" s="285"/>
      <c r="DK174" s="285"/>
      <c r="DL174" s="285"/>
      <c r="DM174" s="285"/>
      <c r="DN174" s="285"/>
      <c r="DO174" s="285"/>
      <c r="DP174" s="285"/>
      <c r="DQ174" s="285"/>
      <c r="DR174" s="285"/>
      <c r="DS174" s="285"/>
      <c r="DT174" s="285"/>
      <c r="DU174" s="285"/>
      <c r="DV174" s="285"/>
      <c r="DW174" s="285"/>
      <c r="DX174" s="285"/>
      <c r="DY174" s="285"/>
      <c r="DZ174" s="285"/>
      <c r="EA174" s="285"/>
      <c r="EB174" s="285"/>
      <c r="EC174" s="285"/>
      <c r="ED174" s="285"/>
      <c r="EE174" s="285"/>
      <c r="EF174" s="285"/>
      <c r="EG174" s="285"/>
      <c r="EH174" s="285"/>
      <c r="EI174" s="285"/>
      <c r="EJ174" s="285"/>
      <c r="EK174" s="285"/>
      <c r="EL174" s="285"/>
      <c r="EM174" s="285"/>
      <c r="EN174" s="285"/>
      <c r="EO174" s="285"/>
      <c r="EP174" s="285"/>
      <c r="EQ174" s="285"/>
      <c r="ER174" s="330"/>
      <c r="ES174" s="330"/>
      <c r="ET174" s="330"/>
      <c r="EU174" s="285"/>
      <c r="EV174" s="285"/>
      <c r="EW174" s="285"/>
      <c r="EX174" s="285"/>
      <c r="EY174" s="285"/>
      <c r="EZ174" s="285"/>
      <c r="FA174" s="285"/>
      <c r="FB174" s="285"/>
      <c r="FC174" s="285"/>
      <c r="FD174" s="285"/>
      <c r="FE174" s="285"/>
      <c r="FF174" s="285"/>
      <c r="FG174" s="285"/>
      <c r="FH174" s="285"/>
      <c r="FI174" s="285"/>
      <c r="FJ174" s="285"/>
      <c r="FK174" s="285"/>
      <c r="FL174" s="285"/>
      <c r="FM174" s="285"/>
      <c r="FN174" s="285"/>
      <c r="FO174" s="285"/>
      <c r="FP174" s="285"/>
      <c r="FQ174" s="285"/>
      <c r="FR174" s="285"/>
      <c r="FS174" s="285"/>
      <c r="FT174" s="285"/>
      <c r="FU174" s="285"/>
      <c r="FV174" s="330"/>
      <c r="FW174" s="330"/>
      <c r="FX174" s="330"/>
      <c r="FY174" s="285"/>
      <c r="FZ174" s="285"/>
      <c r="GA174" s="285"/>
      <c r="GB174" s="330"/>
      <c r="GC174" s="330"/>
      <c r="GD174" s="330"/>
      <c r="GE174" s="330"/>
      <c r="GF174" s="330"/>
      <c r="GG174" s="330"/>
    </row>
    <row r="175" spans="1:189" s="146" customFormat="1">
      <c r="A175" s="151"/>
      <c r="B175" s="152"/>
      <c r="C175" s="201"/>
      <c r="D175" s="201"/>
      <c r="E175" s="201"/>
      <c r="J175" s="201"/>
      <c r="BE175" s="201"/>
      <c r="BF175" s="201"/>
      <c r="BG175" s="201"/>
      <c r="CI175" s="201"/>
      <c r="CJ175" s="201"/>
      <c r="CK175" s="201"/>
      <c r="CO175" s="295"/>
      <c r="CP175" s="330"/>
      <c r="CQ175" s="330"/>
      <c r="CR175" s="330"/>
      <c r="CS175" s="285"/>
      <c r="CT175" s="285"/>
      <c r="CU175" s="285"/>
      <c r="CV175" s="285"/>
      <c r="CW175" s="330"/>
      <c r="CX175" s="285"/>
      <c r="CY175" s="285"/>
      <c r="CZ175" s="285"/>
      <c r="DA175" s="285"/>
      <c r="DB175" s="285"/>
      <c r="DC175" s="285"/>
      <c r="DD175" s="285"/>
      <c r="DE175" s="285"/>
      <c r="DF175" s="285"/>
      <c r="DG175" s="285"/>
      <c r="DH175" s="285"/>
      <c r="DI175" s="285"/>
      <c r="DJ175" s="285"/>
      <c r="DK175" s="285"/>
      <c r="DL175" s="285"/>
      <c r="DM175" s="285"/>
      <c r="DN175" s="285"/>
      <c r="DO175" s="285"/>
      <c r="DP175" s="285"/>
      <c r="DQ175" s="285"/>
      <c r="DR175" s="285"/>
      <c r="DS175" s="285"/>
      <c r="DT175" s="285"/>
      <c r="DU175" s="285"/>
      <c r="DV175" s="285"/>
      <c r="DW175" s="285"/>
      <c r="DX175" s="285"/>
      <c r="DY175" s="285"/>
      <c r="DZ175" s="285"/>
      <c r="EA175" s="285"/>
      <c r="EB175" s="285"/>
      <c r="EC175" s="285"/>
      <c r="ED175" s="285"/>
      <c r="EE175" s="285"/>
      <c r="EF175" s="285"/>
      <c r="EG175" s="285"/>
      <c r="EH175" s="285"/>
      <c r="EI175" s="285"/>
      <c r="EJ175" s="285"/>
      <c r="EK175" s="285"/>
      <c r="EL175" s="285"/>
      <c r="EM175" s="285"/>
      <c r="EN175" s="285"/>
      <c r="EO175" s="285"/>
      <c r="EP175" s="285"/>
      <c r="EQ175" s="285"/>
      <c r="ER175" s="330"/>
      <c r="ES175" s="330"/>
      <c r="ET175" s="330"/>
      <c r="EU175" s="285"/>
      <c r="EV175" s="285"/>
      <c r="EW175" s="285"/>
      <c r="EX175" s="285"/>
      <c r="EY175" s="285"/>
      <c r="EZ175" s="285"/>
      <c r="FA175" s="285"/>
      <c r="FB175" s="285"/>
      <c r="FC175" s="285"/>
      <c r="FD175" s="285"/>
      <c r="FE175" s="285"/>
      <c r="FF175" s="285"/>
      <c r="FG175" s="285"/>
      <c r="FH175" s="285"/>
      <c r="FI175" s="285"/>
      <c r="FJ175" s="285"/>
      <c r="FK175" s="285"/>
      <c r="FL175" s="285"/>
      <c r="FM175" s="285"/>
      <c r="FN175" s="285"/>
      <c r="FO175" s="285"/>
      <c r="FP175" s="285"/>
      <c r="FQ175" s="285"/>
      <c r="FR175" s="285"/>
      <c r="FS175" s="285"/>
      <c r="FT175" s="285"/>
      <c r="FU175" s="285"/>
      <c r="FV175" s="330"/>
      <c r="FW175" s="330"/>
      <c r="FX175" s="330"/>
      <c r="FY175" s="285"/>
      <c r="FZ175" s="285"/>
      <c r="GA175" s="285"/>
      <c r="GB175" s="330"/>
      <c r="GC175" s="330"/>
      <c r="GD175" s="330"/>
      <c r="GE175" s="330"/>
      <c r="GF175" s="330"/>
      <c r="GG175" s="330"/>
    </row>
    <row r="176" spans="1:189" s="146" customFormat="1">
      <c r="A176" s="151"/>
      <c r="B176" s="152"/>
      <c r="C176" s="201"/>
      <c r="D176" s="201"/>
      <c r="E176" s="201"/>
      <c r="J176" s="201"/>
      <c r="BE176" s="201"/>
      <c r="BF176" s="201"/>
      <c r="BG176" s="201"/>
      <c r="CI176" s="201"/>
      <c r="CJ176" s="201"/>
      <c r="CK176" s="201"/>
      <c r="CO176" s="295"/>
      <c r="CP176" s="330"/>
      <c r="CQ176" s="330"/>
      <c r="CR176" s="330"/>
      <c r="CS176" s="285"/>
      <c r="CT176" s="285"/>
      <c r="CU176" s="285"/>
      <c r="CV176" s="285"/>
      <c r="CW176" s="330"/>
      <c r="CX176" s="285"/>
      <c r="CY176" s="285"/>
      <c r="CZ176" s="285"/>
      <c r="DA176" s="285"/>
      <c r="DB176" s="285"/>
      <c r="DC176" s="285"/>
      <c r="DD176" s="285"/>
      <c r="DE176" s="285"/>
      <c r="DF176" s="285"/>
      <c r="DG176" s="285"/>
      <c r="DH176" s="285"/>
      <c r="DI176" s="285"/>
      <c r="DJ176" s="285"/>
      <c r="DK176" s="285"/>
      <c r="DL176" s="285"/>
      <c r="DM176" s="285"/>
      <c r="DN176" s="285"/>
      <c r="DO176" s="285"/>
      <c r="DP176" s="285"/>
      <c r="DQ176" s="285"/>
      <c r="DR176" s="285"/>
      <c r="DS176" s="285"/>
      <c r="DT176" s="285"/>
      <c r="DU176" s="285"/>
      <c r="DV176" s="285"/>
      <c r="DW176" s="285"/>
      <c r="DX176" s="285"/>
      <c r="DY176" s="285"/>
      <c r="DZ176" s="285"/>
      <c r="EA176" s="285"/>
      <c r="EB176" s="285"/>
      <c r="EC176" s="285"/>
      <c r="ED176" s="285"/>
      <c r="EE176" s="285"/>
      <c r="EF176" s="285"/>
      <c r="EG176" s="285"/>
      <c r="EH176" s="285"/>
      <c r="EI176" s="285"/>
      <c r="EJ176" s="285"/>
      <c r="EK176" s="285"/>
      <c r="EL176" s="285"/>
      <c r="EM176" s="285"/>
      <c r="EN176" s="285"/>
      <c r="EO176" s="285"/>
      <c r="EP176" s="285"/>
      <c r="EQ176" s="285"/>
      <c r="ER176" s="330"/>
      <c r="ES176" s="330"/>
      <c r="ET176" s="330"/>
      <c r="EU176" s="285"/>
      <c r="EV176" s="285"/>
      <c r="EW176" s="285"/>
      <c r="EX176" s="285"/>
      <c r="EY176" s="285"/>
      <c r="EZ176" s="285"/>
      <c r="FA176" s="285"/>
      <c r="FB176" s="285"/>
      <c r="FC176" s="285"/>
      <c r="FD176" s="285"/>
      <c r="FE176" s="285"/>
      <c r="FF176" s="285"/>
      <c r="FG176" s="285"/>
      <c r="FH176" s="285"/>
      <c r="FI176" s="285"/>
      <c r="FJ176" s="285"/>
      <c r="FK176" s="285"/>
      <c r="FL176" s="285"/>
      <c r="FM176" s="285"/>
      <c r="FN176" s="285"/>
      <c r="FO176" s="285"/>
      <c r="FP176" s="285"/>
      <c r="FQ176" s="285"/>
      <c r="FR176" s="285"/>
      <c r="FS176" s="285"/>
      <c r="FT176" s="285"/>
      <c r="FU176" s="285"/>
      <c r="FV176" s="330"/>
      <c r="FW176" s="330"/>
      <c r="FX176" s="330"/>
      <c r="FY176" s="285"/>
      <c r="FZ176" s="285"/>
      <c r="GA176" s="285"/>
      <c r="GB176" s="330"/>
      <c r="GC176" s="330"/>
      <c r="GD176" s="330"/>
      <c r="GE176" s="330"/>
      <c r="GF176" s="330"/>
      <c r="GG176" s="330"/>
    </row>
    <row r="177" spans="1:189" s="146" customFormat="1" ht="15.75" customHeight="1">
      <c r="A177" s="151"/>
      <c r="B177" s="152"/>
      <c r="C177" s="201"/>
      <c r="D177" s="201"/>
      <c r="E177" s="201"/>
      <c r="J177" s="201"/>
      <c r="BE177" s="201"/>
      <c r="BF177" s="201"/>
      <c r="BG177" s="201"/>
      <c r="CI177" s="201"/>
      <c r="CJ177" s="201"/>
      <c r="CK177" s="201"/>
      <c r="CO177" s="295"/>
      <c r="CP177" s="330"/>
      <c r="CQ177" s="330"/>
      <c r="CR177" s="330"/>
      <c r="CS177" s="285"/>
      <c r="CT177" s="285"/>
      <c r="CU177" s="285"/>
      <c r="CV177" s="285"/>
      <c r="CW177" s="330"/>
      <c r="CX177" s="285"/>
      <c r="CY177" s="285"/>
      <c r="CZ177" s="285"/>
      <c r="DA177" s="285"/>
      <c r="DB177" s="285"/>
      <c r="DC177" s="285"/>
      <c r="DD177" s="285"/>
      <c r="DE177" s="285"/>
      <c r="DF177" s="285"/>
      <c r="DG177" s="285"/>
      <c r="DH177" s="285"/>
      <c r="DI177" s="285"/>
      <c r="DJ177" s="285"/>
      <c r="DK177" s="285"/>
      <c r="DL177" s="285"/>
      <c r="DM177" s="285"/>
      <c r="DN177" s="285"/>
      <c r="DO177" s="285"/>
      <c r="DP177" s="285"/>
      <c r="DQ177" s="285"/>
      <c r="DR177" s="285"/>
      <c r="DS177" s="285"/>
      <c r="DT177" s="285"/>
      <c r="DU177" s="285"/>
      <c r="DV177" s="285"/>
      <c r="DW177" s="285"/>
      <c r="DX177" s="285"/>
      <c r="DY177" s="285"/>
      <c r="DZ177" s="285"/>
      <c r="EA177" s="285"/>
      <c r="EB177" s="285"/>
      <c r="EC177" s="285"/>
      <c r="ED177" s="285"/>
      <c r="EE177" s="285"/>
      <c r="EF177" s="285"/>
      <c r="EG177" s="285"/>
      <c r="EH177" s="285"/>
      <c r="EI177" s="285"/>
      <c r="EJ177" s="285"/>
      <c r="EK177" s="285"/>
      <c r="EL177" s="285"/>
      <c r="EM177" s="285"/>
      <c r="EN177" s="285"/>
      <c r="EO177" s="285"/>
      <c r="EP177" s="285"/>
      <c r="EQ177" s="285"/>
      <c r="ER177" s="330"/>
      <c r="ES177" s="330"/>
      <c r="ET177" s="330"/>
      <c r="EU177" s="285"/>
      <c r="EV177" s="285"/>
      <c r="EW177" s="285"/>
      <c r="EX177" s="285"/>
      <c r="EY177" s="285"/>
      <c r="EZ177" s="285"/>
      <c r="FA177" s="285"/>
      <c r="FB177" s="285"/>
      <c r="FC177" s="285"/>
      <c r="FD177" s="285"/>
      <c r="FE177" s="285"/>
      <c r="FF177" s="285"/>
      <c r="FG177" s="285"/>
      <c r="FH177" s="285"/>
      <c r="FI177" s="285"/>
      <c r="FJ177" s="285"/>
      <c r="FK177" s="285"/>
      <c r="FL177" s="285"/>
      <c r="FM177" s="285"/>
      <c r="FN177" s="285"/>
      <c r="FO177" s="285"/>
      <c r="FP177" s="285"/>
      <c r="FQ177" s="285"/>
      <c r="FR177" s="285"/>
      <c r="FS177" s="285"/>
      <c r="FT177" s="285"/>
      <c r="FU177" s="285"/>
      <c r="FV177" s="330"/>
      <c r="FW177" s="330"/>
      <c r="FX177" s="330"/>
      <c r="FY177" s="285"/>
      <c r="FZ177" s="285"/>
      <c r="GA177" s="285"/>
      <c r="GB177" s="330"/>
      <c r="GC177" s="330"/>
      <c r="GD177" s="330"/>
      <c r="GE177" s="330"/>
      <c r="GF177" s="330"/>
      <c r="GG177" s="330"/>
    </row>
    <row r="178" spans="1:189" s="146" customFormat="1">
      <c r="A178" s="151"/>
      <c r="B178" s="152"/>
      <c r="C178" s="201"/>
      <c r="D178" s="201"/>
      <c r="E178" s="201"/>
      <c r="J178" s="201"/>
      <c r="BE178" s="201"/>
      <c r="BF178" s="201"/>
      <c r="BG178" s="201"/>
      <c r="CI178" s="201"/>
      <c r="CJ178" s="201"/>
      <c r="CK178" s="201"/>
      <c r="CO178" s="295"/>
      <c r="CP178" s="330"/>
      <c r="CQ178" s="330"/>
      <c r="CR178" s="330"/>
      <c r="CS178" s="285"/>
      <c r="CT178" s="285"/>
      <c r="CU178" s="285"/>
      <c r="CV178" s="285"/>
      <c r="CW178" s="330"/>
      <c r="CX178" s="285"/>
      <c r="CY178" s="285"/>
      <c r="CZ178" s="285"/>
      <c r="DA178" s="285"/>
      <c r="DB178" s="285"/>
      <c r="DC178" s="285"/>
      <c r="DD178" s="285"/>
      <c r="DE178" s="285"/>
      <c r="DF178" s="285"/>
      <c r="DG178" s="285"/>
      <c r="DH178" s="285"/>
      <c r="DI178" s="285"/>
      <c r="DJ178" s="285"/>
      <c r="DK178" s="285"/>
      <c r="DL178" s="285"/>
      <c r="DM178" s="285"/>
      <c r="DN178" s="285"/>
      <c r="DO178" s="285"/>
      <c r="DP178" s="285"/>
      <c r="DQ178" s="285"/>
      <c r="DR178" s="285"/>
      <c r="DS178" s="285"/>
      <c r="DT178" s="285"/>
      <c r="DU178" s="285"/>
      <c r="DV178" s="285"/>
      <c r="DW178" s="285"/>
      <c r="DX178" s="285"/>
      <c r="DY178" s="285"/>
      <c r="DZ178" s="285"/>
      <c r="EA178" s="285"/>
      <c r="EB178" s="285"/>
      <c r="EC178" s="285"/>
      <c r="ED178" s="285"/>
      <c r="EE178" s="285"/>
      <c r="EF178" s="285"/>
      <c r="EG178" s="285"/>
      <c r="EH178" s="285"/>
      <c r="EI178" s="285"/>
      <c r="EJ178" s="285"/>
      <c r="EK178" s="285"/>
      <c r="EL178" s="285"/>
      <c r="EM178" s="285"/>
      <c r="EN178" s="285"/>
      <c r="EO178" s="285"/>
      <c r="EP178" s="285"/>
      <c r="EQ178" s="285"/>
      <c r="ER178" s="330"/>
      <c r="ES178" s="330"/>
      <c r="ET178" s="330"/>
      <c r="EU178" s="285"/>
      <c r="EV178" s="285"/>
      <c r="EW178" s="285"/>
      <c r="EX178" s="285"/>
      <c r="EY178" s="285"/>
      <c r="EZ178" s="285"/>
      <c r="FA178" s="285"/>
      <c r="FB178" s="285"/>
      <c r="FC178" s="285"/>
      <c r="FD178" s="285"/>
      <c r="FE178" s="285"/>
      <c r="FF178" s="285"/>
      <c r="FG178" s="285"/>
      <c r="FH178" s="285"/>
      <c r="FI178" s="285"/>
      <c r="FJ178" s="285"/>
      <c r="FK178" s="285"/>
      <c r="FL178" s="285"/>
      <c r="FM178" s="285"/>
      <c r="FN178" s="285"/>
      <c r="FO178" s="285"/>
      <c r="FP178" s="285"/>
      <c r="FQ178" s="285"/>
      <c r="FR178" s="285"/>
      <c r="FS178" s="285"/>
      <c r="FT178" s="285"/>
      <c r="FU178" s="285"/>
      <c r="FV178" s="330"/>
      <c r="FW178" s="330"/>
      <c r="FX178" s="330"/>
      <c r="FY178" s="285"/>
      <c r="FZ178" s="285"/>
      <c r="GA178" s="285"/>
      <c r="GB178" s="330"/>
      <c r="GC178" s="330"/>
      <c r="GD178" s="330"/>
      <c r="GE178" s="330"/>
      <c r="GF178" s="330"/>
      <c r="GG178" s="330"/>
    </row>
    <row r="179" spans="1:189" s="146" customFormat="1">
      <c r="A179" s="151"/>
      <c r="B179" s="152"/>
      <c r="C179" s="201"/>
      <c r="D179" s="201"/>
      <c r="E179" s="201"/>
      <c r="J179" s="201"/>
      <c r="BE179" s="201"/>
      <c r="BF179" s="201"/>
      <c r="BG179" s="201"/>
      <c r="CI179" s="201"/>
      <c r="CJ179" s="201"/>
      <c r="CK179" s="201"/>
      <c r="CO179" s="295"/>
      <c r="CP179" s="330"/>
      <c r="CQ179" s="330"/>
      <c r="CR179" s="330"/>
      <c r="CS179" s="285"/>
      <c r="CT179" s="285"/>
      <c r="CU179" s="285"/>
      <c r="CV179" s="285"/>
      <c r="CW179" s="330"/>
      <c r="CX179" s="285"/>
      <c r="CY179" s="285"/>
      <c r="CZ179" s="285"/>
      <c r="DA179" s="285"/>
      <c r="DB179" s="285"/>
      <c r="DC179" s="285"/>
      <c r="DD179" s="285"/>
      <c r="DE179" s="285"/>
      <c r="DF179" s="285"/>
      <c r="DG179" s="285"/>
      <c r="DH179" s="285"/>
      <c r="DI179" s="285"/>
      <c r="DJ179" s="285"/>
      <c r="DK179" s="285"/>
      <c r="DL179" s="285"/>
      <c r="DM179" s="285"/>
      <c r="DN179" s="285"/>
      <c r="DO179" s="285"/>
      <c r="DP179" s="285"/>
      <c r="DQ179" s="285"/>
      <c r="DR179" s="285"/>
      <c r="DS179" s="285"/>
      <c r="DT179" s="285"/>
      <c r="DU179" s="285"/>
      <c r="DV179" s="285"/>
      <c r="DW179" s="285"/>
      <c r="DX179" s="285"/>
      <c r="DY179" s="285"/>
      <c r="DZ179" s="285"/>
      <c r="EA179" s="285"/>
      <c r="EB179" s="285"/>
      <c r="EC179" s="285"/>
      <c r="ED179" s="285"/>
      <c r="EE179" s="285"/>
      <c r="EF179" s="285"/>
      <c r="EG179" s="285"/>
      <c r="EH179" s="285"/>
      <c r="EI179" s="285"/>
      <c r="EJ179" s="285"/>
      <c r="EK179" s="285"/>
      <c r="EL179" s="285"/>
      <c r="EM179" s="285"/>
      <c r="EN179" s="285"/>
      <c r="EO179" s="285"/>
      <c r="EP179" s="285"/>
      <c r="EQ179" s="285"/>
      <c r="ER179" s="330"/>
      <c r="ES179" s="330"/>
      <c r="ET179" s="330"/>
      <c r="EU179" s="285"/>
      <c r="EV179" s="285"/>
      <c r="EW179" s="285"/>
      <c r="EX179" s="285"/>
      <c r="EY179" s="285"/>
      <c r="EZ179" s="285"/>
      <c r="FA179" s="285"/>
      <c r="FB179" s="285"/>
      <c r="FC179" s="285"/>
      <c r="FD179" s="285"/>
      <c r="FE179" s="285"/>
      <c r="FF179" s="285"/>
      <c r="FG179" s="285"/>
      <c r="FH179" s="285"/>
      <c r="FI179" s="285"/>
      <c r="FJ179" s="285"/>
      <c r="FK179" s="285"/>
      <c r="FL179" s="285"/>
      <c r="FM179" s="285"/>
      <c r="FN179" s="285"/>
      <c r="FO179" s="285"/>
      <c r="FP179" s="285"/>
      <c r="FQ179" s="285"/>
      <c r="FR179" s="285"/>
      <c r="FS179" s="285"/>
      <c r="FT179" s="285"/>
      <c r="FU179" s="285"/>
      <c r="FV179" s="330"/>
      <c r="FW179" s="330"/>
      <c r="FX179" s="330"/>
      <c r="FY179" s="285"/>
      <c r="FZ179" s="285"/>
      <c r="GA179" s="285"/>
      <c r="GB179" s="330"/>
      <c r="GC179" s="330"/>
      <c r="GD179" s="330"/>
      <c r="GE179" s="330"/>
      <c r="GF179" s="330"/>
      <c r="GG179" s="330"/>
    </row>
    <row r="180" spans="1:189" s="146" customFormat="1">
      <c r="A180" s="151"/>
      <c r="B180" s="152"/>
      <c r="C180" s="201"/>
      <c r="D180" s="201"/>
      <c r="E180" s="201"/>
      <c r="J180" s="201"/>
      <c r="BE180" s="201"/>
      <c r="BF180" s="201"/>
      <c r="BG180" s="201"/>
      <c r="CI180" s="201"/>
      <c r="CJ180" s="201"/>
      <c r="CK180" s="201"/>
      <c r="CO180" s="295"/>
      <c r="CP180" s="330"/>
      <c r="CQ180" s="330"/>
      <c r="CR180" s="330"/>
      <c r="CS180" s="285"/>
      <c r="CT180" s="285"/>
      <c r="CU180" s="285"/>
      <c r="CV180" s="285"/>
      <c r="CW180" s="330"/>
      <c r="CX180" s="285"/>
      <c r="CY180" s="285"/>
      <c r="CZ180" s="285"/>
      <c r="DA180" s="285"/>
      <c r="DB180" s="285"/>
      <c r="DC180" s="285"/>
      <c r="DD180" s="285"/>
      <c r="DE180" s="285"/>
      <c r="DF180" s="285"/>
      <c r="DG180" s="285"/>
      <c r="DH180" s="285"/>
      <c r="DI180" s="285"/>
      <c r="DJ180" s="285"/>
      <c r="DK180" s="285"/>
      <c r="DL180" s="285"/>
      <c r="DM180" s="285"/>
      <c r="DN180" s="285"/>
      <c r="DO180" s="285"/>
      <c r="DP180" s="285"/>
      <c r="DQ180" s="285"/>
      <c r="DR180" s="285"/>
      <c r="DS180" s="285"/>
      <c r="DT180" s="285"/>
      <c r="DU180" s="285"/>
      <c r="DV180" s="285"/>
      <c r="DW180" s="285"/>
      <c r="DX180" s="285"/>
      <c r="DY180" s="285"/>
      <c r="DZ180" s="285"/>
      <c r="EA180" s="285"/>
      <c r="EB180" s="285"/>
      <c r="EC180" s="285"/>
      <c r="ED180" s="285"/>
      <c r="EE180" s="285"/>
      <c r="EF180" s="285"/>
      <c r="EG180" s="285"/>
      <c r="EH180" s="285"/>
      <c r="EI180" s="285"/>
      <c r="EJ180" s="285"/>
      <c r="EK180" s="285"/>
      <c r="EL180" s="285"/>
      <c r="EM180" s="285"/>
      <c r="EN180" s="285"/>
      <c r="EO180" s="285"/>
      <c r="EP180" s="285"/>
      <c r="EQ180" s="285"/>
      <c r="ER180" s="330"/>
      <c r="ES180" s="330"/>
      <c r="ET180" s="330"/>
      <c r="EU180" s="285"/>
      <c r="EV180" s="285"/>
      <c r="EW180" s="285"/>
      <c r="EX180" s="285"/>
      <c r="EY180" s="285"/>
      <c r="EZ180" s="285"/>
      <c r="FA180" s="285"/>
      <c r="FB180" s="285"/>
      <c r="FC180" s="285"/>
      <c r="FD180" s="285"/>
      <c r="FE180" s="285"/>
      <c r="FF180" s="285"/>
      <c r="FG180" s="285"/>
      <c r="FH180" s="285"/>
      <c r="FI180" s="285"/>
      <c r="FJ180" s="285"/>
      <c r="FK180" s="285"/>
      <c r="FL180" s="285"/>
      <c r="FM180" s="285"/>
      <c r="FN180" s="285"/>
      <c r="FO180" s="285"/>
      <c r="FP180" s="285"/>
      <c r="FQ180" s="285"/>
      <c r="FR180" s="285"/>
      <c r="FS180" s="285"/>
      <c r="FT180" s="285"/>
      <c r="FU180" s="285"/>
      <c r="FV180" s="330"/>
      <c r="FW180" s="330"/>
      <c r="FX180" s="330"/>
      <c r="FY180" s="285"/>
      <c r="FZ180" s="285"/>
      <c r="GA180" s="285"/>
      <c r="GB180" s="330"/>
      <c r="GC180" s="330"/>
      <c r="GD180" s="330"/>
      <c r="GE180" s="330"/>
      <c r="GF180" s="330"/>
      <c r="GG180" s="330"/>
    </row>
    <row r="181" spans="1:189" s="146" customFormat="1" ht="15.75" customHeight="1">
      <c r="A181" s="151"/>
      <c r="B181" s="152"/>
      <c r="C181" s="201"/>
      <c r="D181" s="201"/>
      <c r="E181" s="201"/>
      <c r="J181" s="201"/>
      <c r="BE181" s="201"/>
      <c r="BF181" s="201"/>
      <c r="BG181" s="201"/>
      <c r="CI181" s="201"/>
      <c r="CJ181" s="201"/>
      <c r="CK181" s="201"/>
      <c r="CO181" s="295"/>
      <c r="CP181" s="330"/>
      <c r="CQ181" s="330"/>
      <c r="CR181" s="330"/>
      <c r="CS181" s="285"/>
      <c r="CT181" s="285"/>
      <c r="CU181" s="285"/>
      <c r="CV181" s="285"/>
      <c r="CW181" s="330"/>
      <c r="CX181" s="285"/>
      <c r="CY181" s="285"/>
      <c r="CZ181" s="285"/>
      <c r="DA181" s="285"/>
      <c r="DB181" s="285"/>
      <c r="DC181" s="285"/>
      <c r="DD181" s="285"/>
      <c r="DE181" s="285"/>
      <c r="DF181" s="285"/>
      <c r="DG181" s="285"/>
      <c r="DH181" s="285"/>
      <c r="DI181" s="285"/>
      <c r="DJ181" s="285"/>
      <c r="DK181" s="285"/>
      <c r="DL181" s="285"/>
      <c r="DM181" s="285"/>
      <c r="DN181" s="285"/>
      <c r="DO181" s="285"/>
      <c r="DP181" s="285"/>
      <c r="DQ181" s="285"/>
      <c r="DR181" s="285"/>
      <c r="DS181" s="285"/>
      <c r="DT181" s="285"/>
      <c r="DU181" s="285"/>
      <c r="DV181" s="285"/>
      <c r="DW181" s="285"/>
      <c r="DX181" s="285"/>
      <c r="DY181" s="285"/>
      <c r="DZ181" s="285"/>
      <c r="EA181" s="285"/>
      <c r="EB181" s="285"/>
      <c r="EC181" s="285"/>
      <c r="ED181" s="285"/>
      <c r="EE181" s="285"/>
      <c r="EF181" s="285"/>
      <c r="EG181" s="285"/>
      <c r="EH181" s="285"/>
      <c r="EI181" s="285"/>
      <c r="EJ181" s="285"/>
      <c r="EK181" s="285"/>
      <c r="EL181" s="285"/>
      <c r="EM181" s="285"/>
      <c r="EN181" s="285"/>
      <c r="EO181" s="285"/>
      <c r="EP181" s="285"/>
      <c r="EQ181" s="285"/>
      <c r="ER181" s="330"/>
      <c r="ES181" s="330"/>
      <c r="ET181" s="330"/>
      <c r="EU181" s="285"/>
      <c r="EV181" s="285"/>
      <c r="EW181" s="285"/>
      <c r="EX181" s="285"/>
      <c r="EY181" s="285"/>
      <c r="EZ181" s="285"/>
      <c r="FA181" s="285"/>
      <c r="FB181" s="285"/>
      <c r="FC181" s="285"/>
      <c r="FD181" s="285"/>
      <c r="FE181" s="285"/>
      <c r="FF181" s="285"/>
      <c r="FG181" s="285"/>
      <c r="FH181" s="285"/>
      <c r="FI181" s="285"/>
      <c r="FJ181" s="285"/>
      <c r="FK181" s="285"/>
      <c r="FL181" s="285"/>
      <c r="FM181" s="285"/>
      <c r="FN181" s="285"/>
      <c r="FO181" s="285"/>
      <c r="FP181" s="285"/>
      <c r="FQ181" s="285"/>
      <c r="FR181" s="285"/>
      <c r="FS181" s="285"/>
      <c r="FT181" s="285"/>
      <c r="FU181" s="285"/>
      <c r="FV181" s="330"/>
      <c r="FW181" s="330"/>
      <c r="FX181" s="330"/>
      <c r="FY181" s="285"/>
      <c r="FZ181" s="285"/>
      <c r="GA181" s="285"/>
      <c r="GB181" s="330"/>
      <c r="GC181" s="330"/>
      <c r="GD181" s="330"/>
      <c r="GE181" s="330"/>
      <c r="GF181" s="330"/>
      <c r="GG181" s="330"/>
    </row>
    <row r="182" spans="1:189" s="146" customFormat="1">
      <c r="A182" s="151"/>
      <c r="B182" s="152"/>
      <c r="C182" s="201"/>
      <c r="D182" s="201"/>
      <c r="E182" s="201"/>
      <c r="J182" s="201"/>
      <c r="BE182" s="201"/>
      <c r="BF182" s="201"/>
      <c r="BG182" s="201"/>
      <c r="CI182" s="201"/>
      <c r="CJ182" s="201"/>
      <c r="CK182" s="201"/>
      <c r="CO182" s="295"/>
      <c r="CP182" s="330"/>
      <c r="CQ182" s="330"/>
      <c r="CR182" s="330"/>
      <c r="CS182" s="285"/>
      <c r="CT182" s="285"/>
      <c r="CU182" s="285"/>
      <c r="CV182" s="285"/>
      <c r="CW182" s="330"/>
      <c r="CX182" s="285"/>
      <c r="CY182" s="285"/>
      <c r="CZ182" s="285"/>
      <c r="DA182" s="285"/>
      <c r="DB182" s="285"/>
      <c r="DC182" s="285"/>
      <c r="DD182" s="285"/>
      <c r="DE182" s="285"/>
      <c r="DF182" s="285"/>
      <c r="DG182" s="285"/>
      <c r="DH182" s="285"/>
      <c r="DI182" s="285"/>
      <c r="DJ182" s="285"/>
      <c r="DK182" s="285"/>
      <c r="DL182" s="285"/>
      <c r="DM182" s="285"/>
      <c r="DN182" s="285"/>
      <c r="DO182" s="285"/>
      <c r="DP182" s="285"/>
      <c r="DQ182" s="285"/>
      <c r="DR182" s="285"/>
      <c r="DS182" s="285"/>
      <c r="DT182" s="285"/>
      <c r="DU182" s="285"/>
      <c r="DV182" s="285"/>
      <c r="DW182" s="285"/>
      <c r="DX182" s="285"/>
      <c r="DY182" s="285"/>
      <c r="DZ182" s="285"/>
      <c r="EA182" s="285"/>
      <c r="EB182" s="285"/>
      <c r="EC182" s="285"/>
      <c r="ED182" s="285"/>
      <c r="EE182" s="285"/>
      <c r="EF182" s="285"/>
      <c r="EG182" s="285"/>
      <c r="EH182" s="285"/>
      <c r="EI182" s="285"/>
      <c r="EJ182" s="285"/>
      <c r="EK182" s="285"/>
      <c r="EL182" s="285"/>
      <c r="EM182" s="285"/>
      <c r="EN182" s="285"/>
      <c r="EO182" s="285"/>
      <c r="EP182" s="285"/>
      <c r="EQ182" s="285"/>
      <c r="ER182" s="330"/>
      <c r="ES182" s="330"/>
      <c r="ET182" s="330"/>
      <c r="EU182" s="285"/>
      <c r="EV182" s="285"/>
      <c r="EW182" s="285"/>
      <c r="EX182" s="285"/>
      <c r="EY182" s="285"/>
      <c r="EZ182" s="285"/>
      <c r="FA182" s="285"/>
      <c r="FB182" s="285"/>
      <c r="FC182" s="285"/>
      <c r="FD182" s="285"/>
      <c r="FE182" s="285"/>
      <c r="FF182" s="285"/>
      <c r="FG182" s="285"/>
      <c r="FH182" s="285"/>
      <c r="FI182" s="285"/>
      <c r="FJ182" s="285"/>
      <c r="FK182" s="285"/>
      <c r="FL182" s="285"/>
      <c r="FM182" s="285"/>
      <c r="FN182" s="285"/>
      <c r="FO182" s="285"/>
      <c r="FP182" s="285"/>
      <c r="FQ182" s="285"/>
      <c r="FR182" s="285"/>
      <c r="FS182" s="285"/>
      <c r="FT182" s="285"/>
      <c r="FU182" s="285"/>
      <c r="FV182" s="330"/>
      <c r="FW182" s="330"/>
      <c r="FX182" s="330"/>
      <c r="FY182" s="285"/>
      <c r="FZ182" s="285"/>
      <c r="GA182" s="285"/>
      <c r="GB182" s="330"/>
      <c r="GC182" s="330"/>
      <c r="GD182" s="330"/>
      <c r="GE182" s="330"/>
      <c r="GF182" s="330"/>
      <c r="GG182" s="330"/>
    </row>
    <row r="183" spans="1:189" s="146" customFormat="1">
      <c r="A183" s="151"/>
      <c r="B183" s="152"/>
      <c r="C183" s="201"/>
      <c r="D183" s="201"/>
      <c r="E183" s="201"/>
      <c r="J183" s="201"/>
      <c r="BE183" s="201"/>
      <c r="BF183" s="201"/>
      <c r="BG183" s="201"/>
      <c r="CI183" s="201"/>
      <c r="CJ183" s="201"/>
      <c r="CK183" s="201"/>
      <c r="CO183" s="295"/>
      <c r="CP183" s="330"/>
      <c r="CQ183" s="330"/>
      <c r="CR183" s="330"/>
      <c r="CS183" s="285"/>
      <c r="CT183" s="285"/>
      <c r="CU183" s="285"/>
      <c r="CV183" s="285"/>
      <c r="CW183" s="330"/>
      <c r="CX183" s="285"/>
      <c r="CY183" s="285"/>
      <c r="CZ183" s="285"/>
      <c r="DA183" s="285"/>
      <c r="DB183" s="285"/>
      <c r="DC183" s="285"/>
      <c r="DD183" s="285"/>
      <c r="DE183" s="285"/>
      <c r="DF183" s="285"/>
      <c r="DG183" s="285"/>
      <c r="DH183" s="285"/>
      <c r="DI183" s="285"/>
      <c r="DJ183" s="285"/>
      <c r="DK183" s="285"/>
      <c r="DL183" s="285"/>
      <c r="DM183" s="285"/>
      <c r="DN183" s="285"/>
      <c r="DO183" s="285"/>
      <c r="DP183" s="285"/>
      <c r="DQ183" s="285"/>
      <c r="DR183" s="285"/>
      <c r="DS183" s="285"/>
      <c r="DT183" s="285"/>
      <c r="DU183" s="285"/>
      <c r="DV183" s="285"/>
      <c r="DW183" s="285"/>
      <c r="DX183" s="285"/>
      <c r="DY183" s="285"/>
      <c r="DZ183" s="285"/>
      <c r="EA183" s="285"/>
      <c r="EB183" s="285"/>
      <c r="EC183" s="285"/>
      <c r="ED183" s="285"/>
      <c r="EE183" s="285"/>
      <c r="EF183" s="285"/>
      <c r="EG183" s="285"/>
      <c r="EH183" s="285"/>
      <c r="EI183" s="285"/>
      <c r="EJ183" s="285"/>
      <c r="EK183" s="285"/>
      <c r="EL183" s="285"/>
      <c r="EM183" s="285"/>
      <c r="EN183" s="285"/>
      <c r="EO183" s="285"/>
      <c r="EP183" s="285"/>
      <c r="EQ183" s="285"/>
      <c r="ER183" s="330"/>
      <c r="ES183" s="330"/>
      <c r="ET183" s="330"/>
      <c r="EU183" s="285"/>
      <c r="EV183" s="285"/>
      <c r="EW183" s="285"/>
      <c r="EX183" s="285"/>
      <c r="EY183" s="285"/>
      <c r="EZ183" s="285"/>
      <c r="FA183" s="285"/>
      <c r="FB183" s="285"/>
      <c r="FC183" s="285"/>
      <c r="FD183" s="285"/>
      <c r="FE183" s="285"/>
      <c r="FF183" s="285"/>
      <c r="FG183" s="285"/>
      <c r="FH183" s="285"/>
      <c r="FI183" s="285"/>
      <c r="FJ183" s="285"/>
      <c r="FK183" s="285"/>
      <c r="FL183" s="285"/>
      <c r="FM183" s="285"/>
      <c r="FN183" s="285"/>
      <c r="FO183" s="285"/>
      <c r="FP183" s="285"/>
      <c r="FQ183" s="285"/>
      <c r="FR183" s="285"/>
      <c r="FS183" s="285"/>
      <c r="FT183" s="285"/>
      <c r="FU183" s="285"/>
      <c r="FV183" s="330"/>
      <c r="FW183" s="330"/>
      <c r="FX183" s="330"/>
      <c r="FY183" s="285"/>
      <c r="FZ183" s="285"/>
      <c r="GA183" s="285"/>
      <c r="GB183" s="330"/>
      <c r="GC183" s="330"/>
      <c r="GD183" s="330"/>
      <c r="GE183" s="330"/>
      <c r="GF183" s="330"/>
      <c r="GG183" s="330"/>
    </row>
    <row r="184" spans="1:189" s="146" customFormat="1">
      <c r="A184" s="151"/>
      <c r="B184" s="152"/>
      <c r="C184" s="201"/>
      <c r="D184" s="201"/>
      <c r="E184" s="201"/>
      <c r="J184" s="201"/>
      <c r="BE184" s="201"/>
      <c r="BF184" s="201"/>
      <c r="BG184" s="201"/>
      <c r="CI184" s="201"/>
      <c r="CJ184" s="201"/>
      <c r="CK184" s="201"/>
      <c r="CO184" s="295"/>
      <c r="CP184" s="330"/>
      <c r="CQ184" s="330"/>
      <c r="CR184" s="330"/>
      <c r="CS184" s="285"/>
      <c r="CT184" s="285"/>
      <c r="CU184" s="285"/>
      <c r="CV184" s="285"/>
      <c r="CW184" s="330"/>
      <c r="CX184" s="285"/>
      <c r="CY184" s="285"/>
      <c r="CZ184" s="285"/>
      <c r="DA184" s="285"/>
      <c r="DB184" s="285"/>
      <c r="DC184" s="285"/>
      <c r="DD184" s="285"/>
      <c r="DE184" s="285"/>
      <c r="DF184" s="285"/>
      <c r="DG184" s="285"/>
      <c r="DH184" s="285"/>
      <c r="DI184" s="285"/>
      <c r="DJ184" s="285"/>
      <c r="DK184" s="285"/>
      <c r="DL184" s="285"/>
      <c r="DM184" s="285"/>
      <c r="DN184" s="285"/>
      <c r="DO184" s="285"/>
      <c r="DP184" s="285"/>
      <c r="DQ184" s="285"/>
      <c r="DR184" s="285"/>
      <c r="DS184" s="285"/>
      <c r="DT184" s="285"/>
      <c r="DU184" s="285"/>
      <c r="DV184" s="285"/>
      <c r="DW184" s="285"/>
      <c r="DX184" s="285"/>
      <c r="DY184" s="285"/>
      <c r="DZ184" s="285"/>
      <c r="EA184" s="285"/>
      <c r="EB184" s="285"/>
      <c r="EC184" s="285"/>
      <c r="ED184" s="285"/>
      <c r="EE184" s="285"/>
      <c r="EF184" s="285"/>
      <c r="EG184" s="285"/>
      <c r="EH184" s="285"/>
      <c r="EI184" s="285"/>
      <c r="EJ184" s="285"/>
      <c r="EK184" s="285"/>
      <c r="EL184" s="285"/>
      <c r="EM184" s="285"/>
      <c r="EN184" s="285"/>
      <c r="EO184" s="285"/>
      <c r="EP184" s="285"/>
      <c r="EQ184" s="285"/>
      <c r="ER184" s="330"/>
      <c r="ES184" s="330"/>
      <c r="ET184" s="330"/>
      <c r="EU184" s="285"/>
      <c r="EV184" s="285"/>
      <c r="EW184" s="285"/>
      <c r="EX184" s="285"/>
      <c r="EY184" s="285"/>
      <c r="EZ184" s="285"/>
      <c r="FA184" s="285"/>
      <c r="FB184" s="285"/>
      <c r="FC184" s="285"/>
      <c r="FD184" s="285"/>
      <c r="FE184" s="285"/>
      <c r="FF184" s="285"/>
      <c r="FG184" s="285"/>
      <c r="FH184" s="285"/>
      <c r="FI184" s="285"/>
      <c r="FJ184" s="285"/>
      <c r="FK184" s="285"/>
      <c r="FL184" s="285"/>
      <c r="FM184" s="285"/>
      <c r="FN184" s="285"/>
      <c r="FO184" s="285"/>
      <c r="FP184" s="285"/>
      <c r="FQ184" s="285"/>
      <c r="FR184" s="285"/>
      <c r="FS184" s="285"/>
      <c r="FT184" s="285"/>
      <c r="FU184" s="285"/>
      <c r="FV184" s="330"/>
      <c r="FW184" s="330"/>
      <c r="FX184" s="330"/>
      <c r="FY184" s="285"/>
      <c r="FZ184" s="285"/>
      <c r="GA184" s="285"/>
      <c r="GB184" s="330"/>
      <c r="GC184" s="330"/>
      <c r="GD184" s="330"/>
      <c r="GE184" s="330"/>
      <c r="GF184" s="330"/>
      <c r="GG184" s="330"/>
    </row>
    <row r="185" spans="1:189" s="146" customFormat="1" ht="15.75" customHeight="1">
      <c r="A185" s="151"/>
      <c r="B185" s="152"/>
      <c r="C185" s="201"/>
      <c r="D185" s="201"/>
      <c r="E185" s="201"/>
      <c r="J185" s="201"/>
      <c r="BE185" s="201"/>
      <c r="BF185" s="201"/>
      <c r="BG185" s="201"/>
      <c r="CI185" s="201"/>
      <c r="CJ185" s="201"/>
      <c r="CK185" s="201"/>
      <c r="CO185" s="295"/>
      <c r="CP185" s="330"/>
      <c r="CQ185" s="330"/>
      <c r="CR185" s="330"/>
      <c r="CS185" s="285"/>
      <c r="CT185" s="285"/>
      <c r="CU185" s="285"/>
      <c r="CV185" s="285"/>
      <c r="CW185" s="330"/>
      <c r="CX185" s="285"/>
      <c r="CY185" s="285"/>
      <c r="CZ185" s="285"/>
      <c r="DA185" s="285"/>
      <c r="DB185" s="285"/>
      <c r="DC185" s="285"/>
      <c r="DD185" s="285"/>
      <c r="DE185" s="285"/>
      <c r="DF185" s="285"/>
      <c r="DG185" s="285"/>
      <c r="DH185" s="285"/>
      <c r="DI185" s="285"/>
      <c r="DJ185" s="285"/>
      <c r="DK185" s="285"/>
      <c r="DL185" s="285"/>
      <c r="DM185" s="285"/>
      <c r="DN185" s="285"/>
      <c r="DO185" s="285"/>
      <c r="DP185" s="285"/>
      <c r="DQ185" s="285"/>
      <c r="DR185" s="285"/>
      <c r="DS185" s="285"/>
      <c r="DT185" s="285"/>
      <c r="DU185" s="285"/>
      <c r="DV185" s="285"/>
      <c r="DW185" s="285"/>
      <c r="DX185" s="285"/>
      <c r="DY185" s="285"/>
      <c r="DZ185" s="285"/>
      <c r="EA185" s="285"/>
      <c r="EB185" s="285"/>
      <c r="EC185" s="285"/>
      <c r="ED185" s="285"/>
      <c r="EE185" s="285"/>
      <c r="EF185" s="285"/>
      <c r="EG185" s="285"/>
      <c r="EH185" s="285"/>
      <c r="EI185" s="285"/>
      <c r="EJ185" s="285"/>
      <c r="EK185" s="285"/>
      <c r="EL185" s="285"/>
      <c r="EM185" s="285"/>
      <c r="EN185" s="285"/>
      <c r="EO185" s="285"/>
      <c r="EP185" s="285"/>
      <c r="EQ185" s="285"/>
      <c r="ER185" s="330"/>
      <c r="ES185" s="330"/>
      <c r="ET185" s="330"/>
      <c r="EU185" s="285"/>
      <c r="EV185" s="285"/>
      <c r="EW185" s="285"/>
      <c r="EX185" s="285"/>
      <c r="EY185" s="285"/>
      <c r="EZ185" s="285"/>
      <c r="FA185" s="285"/>
      <c r="FB185" s="285"/>
      <c r="FC185" s="285"/>
      <c r="FD185" s="285"/>
      <c r="FE185" s="285"/>
      <c r="FF185" s="285"/>
      <c r="FG185" s="285"/>
      <c r="FH185" s="285"/>
      <c r="FI185" s="285"/>
      <c r="FJ185" s="285"/>
      <c r="FK185" s="285"/>
      <c r="FL185" s="285"/>
      <c r="FM185" s="285"/>
      <c r="FN185" s="285"/>
      <c r="FO185" s="285"/>
      <c r="FP185" s="285"/>
      <c r="FQ185" s="285"/>
      <c r="FR185" s="285"/>
      <c r="FS185" s="285"/>
      <c r="FT185" s="285"/>
      <c r="FU185" s="285"/>
      <c r="FV185" s="330"/>
      <c r="FW185" s="330"/>
      <c r="FX185" s="330"/>
      <c r="FY185" s="285"/>
      <c r="FZ185" s="285"/>
      <c r="GA185" s="285"/>
      <c r="GB185" s="330"/>
      <c r="GC185" s="330"/>
      <c r="GD185" s="330"/>
      <c r="GE185" s="330"/>
      <c r="GF185" s="330"/>
      <c r="GG185" s="330"/>
    </row>
    <row r="186" spans="1:189" s="146" customFormat="1">
      <c r="A186" s="151"/>
      <c r="B186" s="152"/>
      <c r="C186" s="201"/>
      <c r="D186" s="201"/>
      <c r="E186" s="201"/>
      <c r="J186" s="201"/>
      <c r="BE186" s="201"/>
      <c r="BF186" s="201"/>
      <c r="BG186" s="201"/>
      <c r="CI186" s="201"/>
      <c r="CJ186" s="201"/>
      <c r="CK186" s="201"/>
      <c r="CO186" s="295"/>
      <c r="CP186" s="330"/>
      <c r="CQ186" s="330"/>
      <c r="CR186" s="330"/>
      <c r="CS186" s="285"/>
      <c r="CT186" s="285"/>
      <c r="CU186" s="285"/>
      <c r="CV186" s="285"/>
      <c r="CW186" s="330"/>
      <c r="CX186" s="285"/>
      <c r="CY186" s="285"/>
      <c r="CZ186" s="285"/>
      <c r="DA186" s="285"/>
      <c r="DB186" s="285"/>
      <c r="DC186" s="285"/>
      <c r="DD186" s="285"/>
      <c r="DE186" s="285"/>
      <c r="DF186" s="285"/>
      <c r="DG186" s="285"/>
      <c r="DH186" s="285"/>
      <c r="DI186" s="285"/>
      <c r="DJ186" s="285"/>
      <c r="DK186" s="285"/>
      <c r="DL186" s="285"/>
      <c r="DM186" s="285"/>
      <c r="DN186" s="285"/>
      <c r="DO186" s="285"/>
      <c r="DP186" s="285"/>
      <c r="DQ186" s="285"/>
      <c r="DR186" s="285"/>
      <c r="DS186" s="285"/>
      <c r="DT186" s="285"/>
      <c r="DU186" s="285"/>
      <c r="DV186" s="285"/>
      <c r="DW186" s="285"/>
      <c r="DX186" s="285"/>
      <c r="DY186" s="285"/>
      <c r="DZ186" s="285"/>
      <c r="EA186" s="285"/>
      <c r="EB186" s="285"/>
      <c r="EC186" s="285"/>
      <c r="ED186" s="285"/>
      <c r="EE186" s="285"/>
      <c r="EF186" s="285"/>
      <c r="EG186" s="285"/>
      <c r="EH186" s="285"/>
      <c r="EI186" s="285"/>
      <c r="EJ186" s="285"/>
      <c r="EK186" s="285"/>
      <c r="EL186" s="285"/>
      <c r="EM186" s="285"/>
      <c r="EN186" s="285"/>
      <c r="EO186" s="285"/>
      <c r="EP186" s="285"/>
      <c r="EQ186" s="285"/>
      <c r="ER186" s="330"/>
      <c r="ES186" s="330"/>
      <c r="ET186" s="330"/>
      <c r="EU186" s="285"/>
      <c r="EV186" s="285"/>
      <c r="EW186" s="285"/>
      <c r="EX186" s="285"/>
      <c r="EY186" s="285"/>
      <c r="EZ186" s="285"/>
      <c r="FA186" s="285"/>
      <c r="FB186" s="285"/>
      <c r="FC186" s="285"/>
      <c r="FD186" s="285"/>
      <c r="FE186" s="285"/>
      <c r="FF186" s="285"/>
      <c r="FG186" s="285"/>
      <c r="FH186" s="285"/>
      <c r="FI186" s="285"/>
      <c r="FJ186" s="285"/>
      <c r="FK186" s="285"/>
      <c r="FL186" s="285"/>
      <c r="FM186" s="285"/>
      <c r="FN186" s="285"/>
      <c r="FO186" s="285"/>
      <c r="FP186" s="285"/>
      <c r="FQ186" s="285"/>
      <c r="FR186" s="285"/>
      <c r="FS186" s="285"/>
      <c r="FT186" s="285"/>
      <c r="FU186" s="285"/>
      <c r="FV186" s="330"/>
      <c r="FW186" s="330"/>
      <c r="FX186" s="330"/>
      <c r="FY186" s="285"/>
      <c r="FZ186" s="285"/>
      <c r="GA186" s="285"/>
      <c r="GB186" s="330"/>
      <c r="GC186" s="330"/>
      <c r="GD186" s="330"/>
      <c r="GE186" s="330"/>
      <c r="GF186" s="330"/>
      <c r="GG186" s="330"/>
    </row>
    <row r="187" spans="1:189" s="146" customFormat="1">
      <c r="A187" s="151"/>
      <c r="B187" s="152"/>
      <c r="C187" s="201"/>
      <c r="D187" s="201"/>
      <c r="E187" s="201"/>
      <c r="J187" s="201"/>
      <c r="BE187" s="201"/>
      <c r="BF187" s="201"/>
      <c r="BG187" s="201"/>
      <c r="CI187" s="201"/>
      <c r="CJ187" s="201"/>
      <c r="CK187" s="201"/>
      <c r="CO187" s="295"/>
      <c r="CP187" s="330"/>
      <c r="CQ187" s="330"/>
      <c r="CR187" s="330"/>
      <c r="CS187" s="285"/>
      <c r="CT187" s="285"/>
      <c r="CU187" s="285"/>
      <c r="CV187" s="285"/>
      <c r="CW187" s="330"/>
      <c r="CX187" s="285"/>
      <c r="CY187" s="285"/>
      <c r="CZ187" s="285"/>
      <c r="DA187" s="285"/>
      <c r="DB187" s="285"/>
      <c r="DC187" s="285"/>
      <c r="DD187" s="285"/>
      <c r="DE187" s="285"/>
      <c r="DF187" s="285"/>
      <c r="DG187" s="285"/>
      <c r="DH187" s="285"/>
      <c r="DI187" s="285"/>
      <c r="DJ187" s="285"/>
      <c r="DK187" s="285"/>
      <c r="DL187" s="285"/>
      <c r="DM187" s="285"/>
      <c r="DN187" s="285"/>
      <c r="DO187" s="285"/>
      <c r="DP187" s="285"/>
      <c r="DQ187" s="285"/>
      <c r="DR187" s="285"/>
      <c r="DS187" s="285"/>
      <c r="DT187" s="285"/>
      <c r="DU187" s="285"/>
      <c r="DV187" s="285"/>
      <c r="DW187" s="285"/>
      <c r="DX187" s="285"/>
      <c r="DY187" s="285"/>
      <c r="DZ187" s="285"/>
      <c r="EA187" s="285"/>
      <c r="EB187" s="285"/>
      <c r="EC187" s="285"/>
      <c r="ED187" s="285"/>
      <c r="EE187" s="285"/>
      <c r="EF187" s="285"/>
      <c r="EG187" s="285"/>
      <c r="EH187" s="285"/>
      <c r="EI187" s="285"/>
      <c r="EJ187" s="285"/>
      <c r="EK187" s="285"/>
      <c r="EL187" s="285"/>
      <c r="EM187" s="285"/>
      <c r="EN187" s="285"/>
      <c r="EO187" s="285"/>
      <c r="EP187" s="285"/>
      <c r="EQ187" s="285"/>
      <c r="ER187" s="330"/>
      <c r="ES187" s="330"/>
      <c r="ET187" s="330"/>
      <c r="EU187" s="285"/>
      <c r="EV187" s="285"/>
      <c r="EW187" s="285"/>
      <c r="EX187" s="285"/>
      <c r="EY187" s="285"/>
      <c r="EZ187" s="285"/>
      <c r="FA187" s="285"/>
      <c r="FB187" s="285"/>
      <c r="FC187" s="285"/>
      <c r="FD187" s="285"/>
      <c r="FE187" s="285"/>
      <c r="FF187" s="285"/>
      <c r="FG187" s="285"/>
      <c r="FH187" s="285"/>
      <c r="FI187" s="285"/>
      <c r="FJ187" s="285"/>
      <c r="FK187" s="285"/>
      <c r="FL187" s="285"/>
      <c r="FM187" s="285"/>
      <c r="FN187" s="285"/>
      <c r="FO187" s="285"/>
      <c r="FP187" s="285"/>
      <c r="FQ187" s="285"/>
      <c r="FR187" s="285"/>
      <c r="FS187" s="285"/>
      <c r="FT187" s="285"/>
      <c r="FU187" s="285"/>
      <c r="FV187" s="330"/>
      <c r="FW187" s="330"/>
      <c r="FX187" s="330"/>
      <c r="FY187" s="285"/>
      <c r="FZ187" s="285"/>
      <c r="GA187" s="285"/>
      <c r="GB187" s="330"/>
      <c r="GC187" s="330"/>
      <c r="GD187" s="330"/>
      <c r="GE187" s="330"/>
      <c r="GF187" s="330"/>
      <c r="GG187" s="330"/>
    </row>
    <row r="188" spans="1:189" s="146" customFormat="1">
      <c r="A188" s="151"/>
      <c r="B188" s="152"/>
      <c r="C188" s="201"/>
      <c r="D188" s="201"/>
      <c r="E188" s="201"/>
      <c r="J188" s="201"/>
      <c r="BE188" s="201"/>
      <c r="BF188" s="201"/>
      <c r="BG188" s="201"/>
      <c r="CI188" s="201"/>
      <c r="CJ188" s="201"/>
      <c r="CK188" s="201"/>
      <c r="CO188" s="295"/>
      <c r="CP188" s="330"/>
      <c r="CQ188" s="330"/>
      <c r="CR188" s="330"/>
      <c r="CS188" s="285"/>
      <c r="CT188" s="285"/>
      <c r="CU188" s="285"/>
      <c r="CV188" s="285"/>
      <c r="CW188" s="330"/>
      <c r="CX188" s="285"/>
      <c r="CY188" s="285"/>
      <c r="CZ188" s="285"/>
      <c r="DA188" s="285"/>
      <c r="DB188" s="285"/>
      <c r="DC188" s="285"/>
      <c r="DD188" s="285"/>
      <c r="DE188" s="285"/>
      <c r="DF188" s="285"/>
      <c r="DG188" s="285"/>
      <c r="DH188" s="285"/>
      <c r="DI188" s="285"/>
      <c r="DJ188" s="285"/>
      <c r="DK188" s="285"/>
      <c r="DL188" s="285"/>
      <c r="DM188" s="285"/>
      <c r="DN188" s="285"/>
      <c r="DO188" s="285"/>
      <c r="DP188" s="285"/>
      <c r="DQ188" s="285"/>
      <c r="DR188" s="285"/>
      <c r="DS188" s="285"/>
      <c r="DT188" s="285"/>
      <c r="DU188" s="285"/>
      <c r="DV188" s="285"/>
      <c r="DW188" s="285"/>
      <c r="DX188" s="285"/>
      <c r="DY188" s="285"/>
      <c r="DZ188" s="285"/>
      <c r="EA188" s="285"/>
      <c r="EB188" s="285"/>
      <c r="EC188" s="285"/>
      <c r="ED188" s="285"/>
      <c r="EE188" s="285"/>
      <c r="EF188" s="285"/>
      <c r="EG188" s="285"/>
      <c r="EH188" s="285"/>
      <c r="EI188" s="285"/>
      <c r="EJ188" s="285"/>
      <c r="EK188" s="285"/>
      <c r="EL188" s="285"/>
      <c r="EM188" s="285"/>
      <c r="EN188" s="285"/>
      <c r="EO188" s="285"/>
      <c r="EP188" s="285"/>
      <c r="EQ188" s="285"/>
      <c r="ER188" s="330"/>
      <c r="ES188" s="330"/>
      <c r="ET188" s="330"/>
      <c r="EU188" s="285"/>
      <c r="EV188" s="285"/>
      <c r="EW188" s="285"/>
      <c r="EX188" s="285"/>
      <c r="EY188" s="285"/>
      <c r="EZ188" s="285"/>
      <c r="FA188" s="285"/>
      <c r="FB188" s="285"/>
      <c r="FC188" s="285"/>
      <c r="FD188" s="285"/>
      <c r="FE188" s="285"/>
      <c r="FF188" s="285"/>
      <c r="FG188" s="285"/>
      <c r="FH188" s="285"/>
      <c r="FI188" s="285"/>
      <c r="FJ188" s="285"/>
      <c r="FK188" s="285"/>
      <c r="FL188" s="285"/>
      <c r="FM188" s="285"/>
      <c r="FN188" s="285"/>
      <c r="FO188" s="285"/>
      <c r="FP188" s="285"/>
      <c r="FQ188" s="285"/>
      <c r="FR188" s="285"/>
      <c r="FS188" s="285"/>
      <c r="FT188" s="285"/>
      <c r="FU188" s="285"/>
      <c r="FV188" s="330"/>
      <c r="FW188" s="330"/>
      <c r="FX188" s="330"/>
      <c r="FY188" s="285"/>
      <c r="FZ188" s="285"/>
      <c r="GA188" s="285"/>
      <c r="GB188" s="330"/>
      <c r="GC188" s="330"/>
      <c r="GD188" s="330"/>
      <c r="GE188" s="330"/>
      <c r="GF188" s="330"/>
      <c r="GG188" s="330"/>
    </row>
    <row r="189" spans="1:189" s="146" customFormat="1" ht="15.75" customHeight="1">
      <c r="A189" s="151"/>
      <c r="B189" s="152"/>
      <c r="C189" s="201"/>
      <c r="D189" s="201"/>
      <c r="E189" s="201"/>
      <c r="J189" s="201"/>
      <c r="BE189" s="201"/>
      <c r="BF189" s="201"/>
      <c r="BG189" s="201"/>
      <c r="CI189" s="201"/>
      <c r="CJ189" s="201"/>
      <c r="CK189" s="201"/>
      <c r="CO189" s="295"/>
      <c r="CP189" s="330"/>
      <c r="CQ189" s="330"/>
      <c r="CR189" s="330"/>
      <c r="CS189" s="285"/>
      <c r="CT189" s="285"/>
      <c r="CU189" s="285"/>
      <c r="CV189" s="285"/>
      <c r="CW189" s="330"/>
      <c r="CX189" s="285"/>
      <c r="CY189" s="285"/>
      <c r="CZ189" s="285"/>
      <c r="DA189" s="285"/>
      <c r="DB189" s="285"/>
      <c r="DC189" s="285"/>
      <c r="DD189" s="285"/>
      <c r="DE189" s="285"/>
      <c r="DF189" s="285"/>
      <c r="DG189" s="285"/>
      <c r="DH189" s="285"/>
      <c r="DI189" s="285"/>
      <c r="DJ189" s="285"/>
      <c r="DK189" s="285"/>
      <c r="DL189" s="285"/>
      <c r="DM189" s="285"/>
      <c r="DN189" s="285"/>
      <c r="DO189" s="285"/>
      <c r="DP189" s="285"/>
      <c r="DQ189" s="285"/>
      <c r="DR189" s="285"/>
      <c r="DS189" s="285"/>
      <c r="DT189" s="285"/>
      <c r="DU189" s="285"/>
      <c r="DV189" s="285"/>
      <c r="DW189" s="285"/>
      <c r="DX189" s="285"/>
      <c r="DY189" s="285"/>
      <c r="DZ189" s="285"/>
      <c r="EA189" s="285"/>
      <c r="EB189" s="285"/>
      <c r="EC189" s="285"/>
      <c r="ED189" s="285"/>
      <c r="EE189" s="285"/>
      <c r="EF189" s="285"/>
      <c r="EG189" s="285"/>
      <c r="EH189" s="285"/>
      <c r="EI189" s="285"/>
      <c r="EJ189" s="285"/>
      <c r="EK189" s="285"/>
      <c r="EL189" s="285"/>
      <c r="EM189" s="285"/>
      <c r="EN189" s="285"/>
      <c r="EO189" s="285"/>
      <c r="EP189" s="285"/>
      <c r="EQ189" s="285"/>
      <c r="ER189" s="330"/>
      <c r="ES189" s="330"/>
      <c r="ET189" s="330"/>
      <c r="EU189" s="285"/>
      <c r="EV189" s="285"/>
      <c r="EW189" s="285"/>
      <c r="EX189" s="285"/>
      <c r="EY189" s="285"/>
      <c r="EZ189" s="285"/>
      <c r="FA189" s="285"/>
      <c r="FB189" s="285"/>
      <c r="FC189" s="285"/>
      <c r="FD189" s="285"/>
      <c r="FE189" s="285"/>
      <c r="FF189" s="285"/>
      <c r="FG189" s="285"/>
      <c r="FH189" s="285"/>
      <c r="FI189" s="285"/>
      <c r="FJ189" s="285"/>
      <c r="FK189" s="285"/>
      <c r="FL189" s="285"/>
      <c r="FM189" s="285"/>
      <c r="FN189" s="285"/>
      <c r="FO189" s="285"/>
      <c r="FP189" s="285"/>
      <c r="FQ189" s="285"/>
      <c r="FR189" s="285"/>
      <c r="FS189" s="285"/>
      <c r="FT189" s="285"/>
      <c r="FU189" s="285"/>
      <c r="FV189" s="330"/>
      <c r="FW189" s="330"/>
      <c r="FX189" s="330"/>
      <c r="FY189" s="285"/>
      <c r="FZ189" s="285"/>
      <c r="GA189" s="285"/>
      <c r="GB189" s="330"/>
      <c r="GC189" s="330"/>
      <c r="GD189" s="330"/>
      <c r="GE189" s="330"/>
      <c r="GF189" s="330"/>
      <c r="GG189" s="330"/>
    </row>
    <row r="190" spans="1:189" s="146" customFormat="1">
      <c r="A190" s="151"/>
      <c r="B190" s="152"/>
      <c r="C190" s="201"/>
      <c r="D190" s="201"/>
      <c r="E190" s="201"/>
      <c r="J190" s="201"/>
      <c r="BE190" s="201"/>
      <c r="BF190" s="201"/>
      <c r="BG190" s="201"/>
      <c r="CI190" s="201"/>
      <c r="CJ190" s="201"/>
      <c r="CK190" s="201"/>
      <c r="CO190" s="295"/>
      <c r="CP190" s="330"/>
      <c r="CQ190" s="330"/>
      <c r="CR190" s="330"/>
      <c r="CS190" s="285"/>
      <c r="CT190" s="285"/>
      <c r="CU190" s="285"/>
      <c r="CV190" s="285"/>
      <c r="CW190" s="330"/>
      <c r="CX190" s="285"/>
      <c r="CY190" s="285"/>
      <c r="CZ190" s="285"/>
      <c r="DA190" s="285"/>
      <c r="DB190" s="285"/>
      <c r="DC190" s="285"/>
      <c r="DD190" s="285"/>
      <c r="DE190" s="285"/>
      <c r="DF190" s="285"/>
      <c r="DG190" s="285"/>
      <c r="DH190" s="285"/>
      <c r="DI190" s="285"/>
      <c r="DJ190" s="285"/>
      <c r="DK190" s="285"/>
      <c r="DL190" s="285"/>
      <c r="DM190" s="285"/>
      <c r="DN190" s="285"/>
      <c r="DO190" s="285"/>
      <c r="DP190" s="285"/>
      <c r="DQ190" s="285"/>
      <c r="DR190" s="285"/>
      <c r="DS190" s="285"/>
      <c r="DT190" s="285"/>
      <c r="DU190" s="285"/>
      <c r="DV190" s="285"/>
      <c r="DW190" s="285"/>
      <c r="DX190" s="285"/>
      <c r="DY190" s="285"/>
      <c r="DZ190" s="285"/>
      <c r="EA190" s="285"/>
      <c r="EB190" s="285"/>
      <c r="EC190" s="285"/>
      <c r="ED190" s="285"/>
      <c r="EE190" s="285"/>
      <c r="EF190" s="285"/>
      <c r="EG190" s="285"/>
      <c r="EH190" s="285"/>
      <c r="EI190" s="285"/>
      <c r="EJ190" s="285"/>
      <c r="EK190" s="285"/>
      <c r="EL190" s="285"/>
      <c r="EM190" s="285"/>
      <c r="EN190" s="285"/>
      <c r="EO190" s="285"/>
      <c r="EP190" s="285"/>
      <c r="EQ190" s="285"/>
      <c r="ER190" s="330"/>
      <c r="ES190" s="330"/>
      <c r="ET190" s="330"/>
      <c r="EU190" s="285"/>
      <c r="EV190" s="285"/>
      <c r="EW190" s="285"/>
      <c r="EX190" s="285"/>
      <c r="EY190" s="285"/>
      <c r="EZ190" s="285"/>
      <c r="FA190" s="285"/>
      <c r="FB190" s="285"/>
      <c r="FC190" s="285"/>
      <c r="FD190" s="285"/>
      <c r="FE190" s="285"/>
      <c r="FF190" s="285"/>
      <c r="FG190" s="285"/>
      <c r="FH190" s="285"/>
      <c r="FI190" s="285"/>
      <c r="FJ190" s="285"/>
      <c r="FK190" s="285"/>
      <c r="FL190" s="285"/>
      <c r="FM190" s="285"/>
      <c r="FN190" s="285"/>
      <c r="FO190" s="285"/>
      <c r="FP190" s="285"/>
      <c r="FQ190" s="285"/>
      <c r="FR190" s="285"/>
      <c r="FS190" s="285"/>
      <c r="FT190" s="285"/>
      <c r="FU190" s="285"/>
      <c r="FV190" s="330"/>
      <c r="FW190" s="330"/>
      <c r="FX190" s="330"/>
      <c r="FY190" s="285"/>
      <c r="FZ190" s="285"/>
      <c r="GA190" s="285"/>
      <c r="GB190" s="330"/>
      <c r="GC190" s="330"/>
      <c r="GD190" s="330"/>
      <c r="GE190" s="330"/>
      <c r="GF190" s="330"/>
      <c r="GG190" s="330"/>
    </row>
    <row r="191" spans="1:189" s="146" customFormat="1">
      <c r="A191" s="151"/>
      <c r="B191" s="152"/>
      <c r="C191" s="201"/>
      <c r="D191" s="201"/>
      <c r="E191" s="201"/>
      <c r="J191" s="201"/>
      <c r="BE191" s="201"/>
      <c r="BF191" s="201"/>
      <c r="BG191" s="201"/>
      <c r="CI191" s="201"/>
      <c r="CJ191" s="201"/>
      <c r="CK191" s="201"/>
      <c r="CO191" s="295"/>
      <c r="CP191" s="330"/>
      <c r="CQ191" s="330"/>
      <c r="CR191" s="330"/>
      <c r="CS191" s="285"/>
      <c r="CT191" s="285"/>
      <c r="CU191" s="285"/>
      <c r="CV191" s="285"/>
      <c r="CW191" s="330"/>
      <c r="CX191" s="285"/>
      <c r="CY191" s="285"/>
      <c r="CZ191" s="285"/>
      <c r="DA191" s="285"/>
      <c r="DB191" s="285"/>
      <c r="DC191" s="285"/>
      <c r="DD191" s="285"/>
      <c r="DE191" s="285"/>
      <c r="DF191" s="285"/>
      <c r="DG191" s="285"/>
      <c r="DH191" s="285"/>
      <c r="DI191" s="285"/>
      <c r="DJ191" s="285"/>
      <c r="DK191" s="285"/>
      <c r="DL191" s="285"/>
      <c r="DM191" s="285"/>
      <c r="DN191" s="285"/>
      <c r="DO191" s="285"/>
      <c r="DP191" s="285"/>
      <c r="DQ191" s="285"/>
      <c r="DR191" s="285"/>
      <c r="DS191" s="285"/>
      <c r="DT191" s="285"/>
      <c r="DU191" s="285"/>
      <c r="DV191" s="285"/>
      <c r="DW191" s="285"/>
      <c r="DX191" s="285"/>
      <c r="DY191" s="285"/>
      <c r="DZ191" s="285"/>
      <c r="EA191" s="285"/>
      <c r="EB191" s="285"/>
      <c r="EC191" s="285"/>
      <c r="ED191" s="285"/>
      <c r="EE191" s="285"/>
      <c r="EF191" s="285"/>
      <c r="EG191" s="285"/>
      <c r="EH191" s="285"/>
      <c r="EI191" s="285"/>
      <c r="EJ191" s="285"/>
      <c r="EK191" s="285"/>
      <c r="EL191" s="285"/>
      <c r="EM191" s="285"/>
      <c r="EN191" s="285"/>
      <c r="EO191" s="285"/>
      <c r="EP191" s="285"/>
      <c r="EQ191" s="285"/>
      <c r="ER191" s="330"/>
      <c r="ES191" s="330"/>
      <c r="ET191" s="330"/>
      <c r="EU191" s="285"/>
      <c r="EV191" s="285"/>
      <c r="EW191" s="285"/>
      <c r="EX191" s="285"/>
      <c r="EY191" s="285"/>
      <c r="EZ191" s="285"/>
      <c r="FA191" s="285"/>
      <c r="FB191" s="285"/>
      <c r="FC191" s="285"/>
      <c r="FD191" s="285"/>
      <c r="FE191" s="285"/>
      <c r="FF191" s="285"/>
      <c r="FG191" s="285"/>
      <c r="FH191" s="285"/>
      <c r="FI191" s="285"/>
      <c r="FJ191" s="285"/>
      <c r="FK191" s="285"/>
      <c r="FL191" s="285"/>
      <c r="FM191" s="285"/>
      <c r="FN191" s="285"/>
      <c r="FO191" s="285"/>
      <c r="FP191" s="285"/>
      <c r="FQ191" s="285"/>
      <c r="FR191" s="285"/>
      <c r="FS191" s="285"/>
      <c r="FT191" s="285"/>
      <c r="FU191" s="285"/>
      <c r="FV191" s="330"/>
      <c r="FW191" s="330"/>
      <c r="FX191" s="330"/>
      <c r="FY191" s="285"/>
      <c r="FZ191" s="285"/>
      <c r="GA191" s="285"/>
      <c r="GB191" s="330"/>
      <c r="GC191" s="330"/>
      <c r="GD191" s="330"/>
      <c r="GE191" s="330"/>
      <c r="GF191" s="330"/>
      <c r="GG191" s="330"/>
    </row>
    <row r="192" spans="1:189" s="146" customFormat="1">
      <c r="A192" s="151"/>
      <c r="B192" s="152"/>
      <c r="C192" s="201"/>
      <c r="D192" s="201"/>
      <c r="E192" s="201"/>
      <c r="J192" s="201"/>
      <c r="BE192" s="201"/>
      <c r="BF192" s="201"/>
      <c r="BG192" s="201"/>
      <c r="CI192" s="201"/>
      <c r="CJ192" s="201"/>
      <c r="CK192" s="201"/>
      <c r="CO192" s="295"/>
      <c r="CP192" s="330"/>
      <c r="CQ192" s="330"/>
      <c r="CR192" s="330"/>
      <c r="CS192" s="285"/>
      <c r="CT192" s="285"/>
      <c r="CU192" s="285"/>
      <c r="CV192" s="285"/>
      <c r="CW192" s="330"/>
      <c r="CX192" s="285"/>
      <c r="CY192" s="285"/>
      <c r="CZ192" s="285"/>
      <c r="DA192" s="285"/>
      <c r="DB192" s="285"/>
      <c r="DC192" s="285"/>
      <c r="DD192" s="285"/>
      <c r="DE192" s="285"/>
      <c r="DF192" s="285"/>
      <c r="DG192" s="285"/>
      <c r="DH192" s="285"/>
      <c r="DI192" s="285"/>
      <c r="DJ192" s="285"/>
      <c r="DK192" s="285"/>
      <c r="DL192" s="285"/>
      <c r="DM192" s="285"/>
      <c r="DN192" s="285"/>
      <c r="DO192" s="285"/>
      <c r="DP192" s="285"/>
      <c r="DQ192" s="285"/>
      <c r="DR192" s="285"/>
      <c r="DS192" s="285"/>
      <c r="DT192" s="285"/>
      <c r="DU192" s="285"/>
      <c r="DV192" s="285"/>
      <c r="DW192" s="285"/>
      <c r="DX192" s="285"/>
      <c r="DY192" s="285"/>
      <c r="DZ192" s="285"/>
      <c r="EA192" s="285"/>
      <c r="EB192" s="285"/>
      <c r="EC192" s="285"/>
      <c r="ED192" s="285"/>
      <c r="EE192" s="285"/>
      <c r="EF192" s="285"/>
      <c r="EG192" s="285"/>
      <c r="EH192" s="285"/>
      <c r="EI192" s="285"/>
      <c r="EJ192" s="285"/>
      <c r="EK192" s="285"/>
      <c r="EL192" s="285"/>
      <c r="EM192" s="285"/>
      <c r="EN192" s="285"/>
      <c r="EO192" s="285"/>
      <c r="EP192" s="285"/>
      <c r="EQ192" s="285"/>
      <c r="ER192" s="330"/>
      <c r="ES192" s="330"/>
      <c r="ET192" s="330"/>
      <c r="EU192" s="285"/>
      <c r="EV192" s="285"/>
      <c r="EW192" s="285"/>
      <c r="EX192" s="285"/>
      <c r="EY192" s="285"/>
      <c r="EZ192" s="285"/>
      <c r="FA192" s="285"/>
      <c r="FB192" s="285"/>
      <c r="FC192" s="285"/>
      <c r="FD192" s="285"/>
      <c r="FE192" s="285"/>
      <c r="FF192" s="285"/>
      <c r="FG192" s="285"/>
      <c r="FH192" s="285"/>
      <c r="FI192" s="285"/>
      <c r="FJ192" s="285"/>
      <c r="FK192" s="285"/>
      <c r="FL192" s="285"/>
      <c r="FM192" s="285"/>
      <c r="FN192" s="285"/>
      <c r="FO192" s="285"/>
      <c r="FP192" s="285"/>
      <c r="FQ192" s="285"/>
      <c r="FR192" s="285"/>
      <c r="FS192" s="285"/>
      <c r="FT192" s="285"/>
      <c r="FU192" s="285"/>
      <c r="FV192" s="330"/>
      <c r="FW192" s="330"/>
      <c r="FX192" s="330"/>
      <c r="FY192" s="285"/>
      <c r="FZ192" s="285"/>
      <c r="GA192" s="285"/>
      <c r="GB192" s="330"/>
      <c r="GC192" s="330"/>
      <c r="GD192" s="330"/>
      <c r="GE192" s="330"/>
      <c r="GF192" s="330"/>
      <c r="GG192" s="330"/>
    </row>
    <row r="193" spans="1:189" s="146" customFormat="1" ht="15.75" customHeight="1">
      <c r="A193" s="151"/>
      <c r="B193" s="152"/>
      <c r="C193" s="201"/>
      <c r="D193" s="201"/>
      <c r="E193" s="201"/>
      <c r="J193" s="201"/>
      <c r="BE193" s="201"/>
      <c r="BF193" s="201"/>
      <c r="BG193" s="201"/>
      <c r="CI193" s="201"/>
      <c r="CJ193" s="201"/>
      <c r="CK193" s="201"/>
      <c r="CO193" s="295"/>
      <c r="CP193" s="330"/>
      <c r="CQ193" s="330"/>
      <c r="CR193" s="330"/>
      <c r="CS193" s="285"/>
      <c r="CT193" s="285"/>
      <c r="CU193" s="285"/>
      <c r="CV193" s="285"/>
      <c r="CW193" s="330"/>
      <c r="CX193" s="285"/>
      <c r="CY193" s="285"/>
      <c r="CZ193" s="285"/>
      <c r="DA193" s="285"/>
      <c r="DB193" s="285"/>
      <c r="DC193" s="285"/>
      <c r="DD193" s="285"/>
      <c r="DE193" s="285"/>
      <c r="DF193" s="285"/>
      <c r="DG193" s="285"/>
      <c r="DH193" s="285"/>
      <c r="DI193" s="285"/>
      <c r="DJ193" s="285"/>
      <c r="DK193" s="285"/>
      <c r="DL193" s="285"/>
      <c r="DM193" s="285"/>
      <c r="DN193" s="285"/>
      <c r="DO193" s="285"/>
      <c r="DP193" s="285"/>
      <c r="DQ193" s="285"/>
      <c r="DR193" s="285"/>
      <c r="DS193" s="285"/>
      <c r="DT193" s="285"/>
      <c r="DU193" s="285"/>
      <c r="DV193" s="285"/>
      <c r="DW193" s="285"/>
      <c r="DX193" s="285"/>
      <c r="DY193" s="285"/>
      <c r="DZ193" s="285"/>
      <c r="EA193" s="285"/>
      <c r="EB193" s="285"/>
      <c r="EC193" s="285"/>
      <c r="ED193" s="285"/>
      <c r="EE193" s="285"/>
      <c r="EF193" s="285"/>
      <c r="EG193" s="285"/>
      <c r="EH193" s="285"/>
      <c r="EI193" s="285"/>
      <c r="EJ193" s="285"/>
      <c r="EK193" s="285"/>
      <c r="EL193" s="285"/>
      <c r="EM193" s="285"/>
      <c r="EN193" s="285"/>
      <c r="EO193" s="285"/>
      <c r="EP193" s="285"/>
      <c r="EQ193" s="285"/>
      <c r="ER193" s="330"/>
      <c r="ES193" s="330"/>
      <c r="ET193" s="330"/>
      <c r="EU193" s="285"/>
      <c r="EV193" s="285"/>
      <c r="EW193" s="285"/>
      <c r="EX193" s="285"/>
      <c r="EY193" s="285"/>
      <c r="EZ193" s="285"/>
      <c r="FA193" s="285"/>
      <c r="FB193" s="285"/>
      <c r="FC193" s="285"/>
      <c r="FD193" s="285"/>
      <c r="FE193" s="285"/>
      <c r="FF193" s="285"/>
      <c r="FG193" s="285"/>
      <c r="FH193" s="285"/>
      <c r="FI193" s="285"/>
      <c r="FJ193" s="285"/>
      <c r="FK193" s="285"/>
      <c r="FL193" s="285"/>
      <c r="FM193" s="285"/>
      <c r="FN193" s="285"/>
      <c r="FO193" s="285"/>
      <c r="FP193" s="285"/>
      <c r="FQ193" s="285"/>
      <c r="FR193" s="285"/>
      <c r="FS193" s="285"/>
      <c r="FT193" s="285"/>
      <c r="FU193" s="285"/>
      <c r="FV193" s="330"/>
      <c r="FW193" s="330"/>
      <c r="FX193" s="330"/>
      <c r="FY193" s="285"/>
      <c r="FZ193" s="285"/>
      <c r="GA193" s="285"/>
      <c r="GB193" s="330"/>
      <c r="GC193" s="330"/>
      <c r="GD193" s="330"/>
      <c r="GE193" s="330"/>
      <c r="GF193" s="330"/>
      <c r="GG193" s="330"/>
    </row>
    <row r="194" spans="1:189" s="146" customFormat="1">
      <c r="A194" s="151"/>
      <c r="B194" s="152"/>
      <c r="C194" s="201"/>
      <c r="D194" s="201"/>
      <c r="E194" s="201"/>
      <c r="J194" s="201"/>
      <c r="BE194" s="201"/>
      <c r="BF194" s="201"/>
      <c r="BG194" s="201"/>
      <c r="CI194" s="201"/>
      <c r="CJ194" s="201"/>
      <c r="CK194" s="201"/>
      <c r="CO194" s="295"/>
      <c r="CP194" s="330"/>
      <c r="CQ194" s="330"/>
      <c r="CR194" s="330"/>
      <c r="CS194" s="285"/>
      <c r="CT194" s="285"/>
      <c r="CU194" s="285"/>
      <c r="CV194" s="285"/>
      <c r="CW194" s="330"/>
      <c r="CX194" s="285"/>
      <c r="CY194" s="285"/>
      <c r="CZ194" s="285"/>
      <c r="DA194" s="285"/>
      <c r="DB194" s="285"/>
      <c r="DC194" s="285"/>
      <c r="DD194" s="285"/>
      <c r="DE194" s="285"/>
      <c r="DF194" s="285"/>
      <c r="DG194" s="285"/>
      <c r="DH194" s="285"/>
      <c r="DI194" s="285"/>
      <c r="DJ194" s="285"/>
      <c r="DK194" s="285"/>
      <c r="DL194" s="285"/>
      <c r="DM194" s="285"/>
      <c r="DN194" s="285"/>
      <c r="DO194" s="285"/>
      <c r="DP194" s="285"/>
      <c r="DQ194" s="285"/>
      <c r="DR194" s="285"/>
      <c r="DS194" s="285"/>
      <c r="DT194" s="285"/>
      <c r="DU194" s="285"/>
      <c r="DV194" s="285"/>
      <c r="DW194" s="285"/>
      <c r="DX194" s="285"/>
      <c r="DY194" s="285"/>
      <c r="DZ194" s="285"/>
      <c r="EA194" s="285"/>
      <c r="EB194" s="285"/>
      <c r="EC194" s="285"/>
      <c r="ED194" s="285"/>
      <c r="EE194" s="285"/>
      <c r="EF194" s="285"/>
      <c r="EG194" s="285"/>
      <c r="EH194" s="285"/>
      <c r="EI194" s="285"/>
      <c r="EJ194" s="285"/>
      <c r="EK194" s="285"/>
      <c r="EL194" s="285"/>
      <c r="EM194" s="285"/>
      <c r="EN194" s="285"/>
      <c r="EO194" s="285"/>
      <c r="EP194" s="285"/>
      <c r="EQ194" s="285"/>
      <c r="ER194" s="330"/>
      <c r="ES194" s="330"/>
      <c r="ET194" s="330"/>
      <c r="EU194" s="285"/>
      <c r="EV194" s="285"/>
      <c r="EW194" s="285"/>
      <c r="EX194" s="285"/>
      <c r="EY194" s="285"/>
      <c r="EZ194" s="285"/>
      <c r="FA194" s="285"/>
      <c r="FB194" s="285"/>
      <c r="FC194" s="285"/>
      <c r="FD194" s="285"/>
      <c r="FE194" s="285"/>
      <c r="FF194" s="285"/>
      <c r="FG194" s="285"/>
      <c r="FH194" s="285"/>
      <c r="FI194" s="285"/>
      <c r="FJ194" s="285"/>
      <c r="FK194" s="285"/>
      <c r="FL194" s="285"/>
      <c r="FM194" s="285"/>
      <c r="FN194" s="285"/>
      <c r="FO194" s="285"/>
      <c r="FP194" s="285"/>
      <c r="FQ194" s="285"/>
      <c r="FR194" s="285"/>
      <c r="FS194" s="285"/>
      <c r="FT194" s="285"/>
      <c r="FU194" s="285"/>
      <c r="FV194" s="330"/>
      <c r="FW194" s="330"/>
      <c r="FX194" s="330"/>
      <c r="FY194" s="285"/>
      <c r="FZ194" s="285"/>
      <c r="GA194" s="285"/>
      <c r="GB194" s="330"/>
      <c r="GC194" s="330"/>
      <c r="GD194" s="330"/>
      <c r="GE194" s="330"/>
      <c r="GF194" s="330"/>
      <c r="GG194" s="330"/>
    </row>
    <row r="195" spans="1:189" s="146" customFormat="1">
      <c r="A195" s="151"/>
      <c r="B195" s="152"/>
      <c r="C195" s="201"/>
      <c r="D195" s="201"/>
      <c r="E195" s="201"/>
      <c r="J195" s="201"/>
      <c r="BE195" s="201"/>
      <c r="BF195" s="201"/>
      <c r="BG195" s="201"/>
      <c r="CI195" s="201"/>
      <c r="CJ195" s="201"/>
      <c r="CK195" s="201"/>
      <c r="CO195" s="295"/>
      <c r="CP195" s="330"/>
      <c r="CQ195" s="330"/>
      <c r="CR195" s="330"/>
      <c r="CS195" s="285"/>
      <c r="CT195" s="285"/>
      <c r="CU195" s="285"/>
      <c r="CV195" s="285"/>
      <c r="CW195" s="330"/>
      <c r="CX195" s="285"/>
      <c r="CY195" s="285"/>
      <c r="CZ195" s="285"/>
      <c r="DA195" s="285"/>
      <c r="DB195" s="285"/>
      <c r="DC195" s="285"/>
      <c r="DD195" s="285"/>
      <c r="DE195" s="285"/>
      <c r="DF195" s="285"/>
      <c r="DG195" s="285"/>
      <c r="DH195" s="285"/>
      <c r="DI195" s="285"/>
      <c r="DJ195" s="285"/>
      <c r="DK195" s="285"/>
      <c r="DL195" s="285"/>
      <c r="DM195" s="285"/>
      <c r="DN195" s="285"/>
      <c r="DO195" s="285"/>
      <c r="DP195" s="285"/>
      <c r="DQ195" s="285"/>
      <c r="DR195" s="285"/>
      <c r="DS195" s="285"/>
      <c r="DT195" s="285"/>
      <c r="DU195" s="285"/>
      <c r="DV195" s="285"/>
      <c r="DW195" s="285"/>
      <c r="DX195" s="285"/>
      <c r="DY195" s="285"/>
      <c r="DZ195" s="285"/>
      <c r="EA195" s="285"/>
      <c r="EB195" s="285"/>
      <c r="EC195" s="285"/>
      <c r="ED195" s="285"/>
      <c r="EE195" s="285"/>
      <c r="EF195" s="285"/>
      <c r="EG195" s="285"/>
      <c r="EH195" s="285"/>
      <c r="EI195" s="285"/>
      <c r="EJ195" s="285"/>
      <c r="EK195" s="285"/>
      <c r="EL195" s="285"/>
      <c r="EM195" s="285"/>
      <c r="EN195" s="285"/>
      <c r="EO195" s="285"/>
      <c r="EP195" s="285"/>
      <c r="EQ195" s="285"/>
      <c r="ER195" s="330"/>
      <c r="ES195" s="330"/>
      <c r="ET195" s="330"/>
      <c r="EU195" s="285"/>
      <c r="EV195" s="285"/>
      <c r="EW195" s="285"/>
      <c r="EX195" s="285"/>
      <c r="EY195" s="285"/>
      <c r="EZ195" s="285"/>
      <c r="FA195" s="285"/>
      <c r="FB195" s="285"/>
      <c r="FC195" s="285"/>
      <c r="FD195" s="285"/>
      <c r="FE195" s="285"/>
      <c r="FF195" s="285"/>
      <c r="FG195" s="285"/>
      <c r="FH195" s="285"/>
      <c r="FI195" s="285"/>
      <c r="FJ195" s="285"/>
      <c r="FK195" s="285"/>
      <c r="FL195" s="285"/>
      <c r="FM195" s="285"/>
      <c r="FN195" s="285"/>
      <c r="FO195" s="285"/>
      <c r="FP195" s="285"/>
      <c r="FQ195" s="285"/>
      <c r="FR195" s="285"/>
      <c r="FS195" s="285"/>
      <c r="FT195" s="285"/>
      <c r="FU195" s="285"/>
      <c r="FV195" s="330"/>
      <c r="FW195" s="330"/>
      <c r="FX195" s="330"/>
      <c r="FY195" s="285"/>
      <c r="FZ195" s="285"/>
      <c r="GA195" s="285"/>
      <c r="GB195" s="330"/>
      <c r="GC195" s="330"/>
      <c r="GD195" s="330"/>
      <c r="GE195" s="330"/>
      <c r="GF195" s="330"/>
      <c r="GG195" s="330"/>
    </row>
    <row r="196" spans="1:189" s="146" customFormat="1">
      <c r="A196" s="151"/>
      <c r="B196" s="152"/>
      <c r="C196" s="201"/>
      <c r="D196" s="201"/>
      <c r="E196" s="201"/>
      <c r="J196" s="201"/>
      <c r="BE196" s="201"/>
      <c r="BF196" s="201"/>
      <c r="BG196" s="201"/>
      <c r="CI196" s="201"/>
      <c r="CJ196" s="201"/>
      <c r="CK196" s="201"/>
      <c r="CO196" s="295"/>
      <c r="CP196" s="330"/>
      <c r="CQ196" s="330"/>
      <c r="CR196" s="330"/>
      <c r="CS196" s="285"/>
      <c r="CT196" s="285"/>
      <c r="CU196" s="285"/>
      <c r="CV196" s="285"/>
      <c r="CW196" s="330"/>
      <c r="CX196" s="285"/>
      <c r="CY196" s="285"/>
      <c r="CZ196" s="285"/>
      <c r="DA196" s="285"/>
      <c r="DB196" s="285"/>
      <c r="DC196" s="285"/>
      <c r="DD196" s="285"/>
      <c r="DE196" s="285"/>
      <c r="DF196" s="285"/>
      <c r="DG196" s="285"/>
      <c r="DH196" s="285"/>
      <c r="DI196" s="285"/>
      <c r="DJ196" s="285"/>
      <c r="DK196" s="285"/>
      <c r="DL196" s="285"/>
      <c r="DM196" s="285"/>
      <c r="DN196" s="285"/>
      <c r="DO196" s="285"/>
      <c r="DP196" s="285"/>
      <c r="DQ196" s="285"/>
      <c r="DR196" s="285"/>
      <c r="DS196" s="285"/>
      <c r="DT196" s="285"/>
      <c r="DU196" s="285"/>
      <c r="DV196" s="285"/>
      <c r="DW196" s="285"/>
      <c r="DX196" s="285"/>
      <c r="DY196" s="285"/>
      <c r="DZ196" s="285"/>
      <c r="EA196" s="285"/>
      <c r="EB196" s="285"/>
      <c r="EC196" s="285"/>
      <c r="ED196" s="285"/>
      <c r="EE196" s="285"/>
      <c r="EF196" s="285"/>
      <c r="EG196" s="285"/>
      <c r="EH196" s="285"/>
      <c r="EI196" s="285"/>
      <c r="EJ196" s="285"/>
      <c r="EK196" s="285"/>
      <c r="EL196" s="285"/>
      <c r="EM196" s="285"/>
      <c r="EN196" s="285"/>
      <c r="EO196" s="285"/>
      <c r="EP196" s="285"/>
      <c r="EQ196" s="285"/>
      <c r="ER196" s="330"/>
      <c r="ES196" s="330"/>
      <c r="ET196" s="330"/>
      <c r="EU196" s="285"/>
      <c r="EV196" s="285"/>
      <c r="EW196" s="285"/>
      <c r="EX196" s="285"/>
      <c r="EY196" s="285"/>
      <c r="EZ196" s="285"/>
      <c r="FA196" s="285"/>
      <c r="FB196" s="285"/>
      <c r="FC196" s="285"/>
      <c r="FD196" s="285"/>
      <c r="FE196" s="285"/>
      <c r="FF196" s="285"/>
      <c r="FG196" s="285"/>
      <c r="FH196" s="285"/>
      <c r="FI196" s="285"/>
      <c r="FJ196" s="285"/>
      <c r="FK196" s="285"/>
      <c r="FL196" s="285"/>
      <c r="FM196" s="285"/>
      <c r="FN196" s="285"/>
      <c r="FO196" s="285"/>
      <c r="FP196" s="285"/>
      <c r="FQ196" s="285"/>
      <c r="FR196" s="285"/>
      <c r="FS196" s="285"/>
      <c r="FT196" s="285"/>
      <c r="FU196" s="285"/>
      <c r="FV196" s="330"/>
      <c r="FW196" s="330"/>
      <c r="FX196" s="330"/>
      <c r="FY196" s="285"/>
      <c r="FZ196" s="285"/>
      <c r="GA196" s="285"/>
      <c r="GB196" s="330"/>
      <c r="GC196" s="330"/>
      <c r="GD196" s="330"/>
      <c r="GE196" s="330"/>
      <c r="GF196" s="330"/>
      <c r="GG196" s="330"/>
    </row>
    <row r="197" spans="1:189" s="146" customFormat="1" ht="15.75" customHeight="1">
      <c r="A197" s="151"/>
      <c r="B197" s="152"/>
      <c r="C197" s="201"/>
      <c r="D197" s="201"/>
      <c r="E197" s="201"/>
      <c r="J197" s="201"/>
      <c r="BE197" s="201"/>
      <c r="BF197" s="201"/>
      <c r="BG197" s="201"/>
      <c r="CI197" s="201"/>
      <c r="CJ197" s="201"/>
      <c r="CK197" s="201"/>
      <c r="CO197" s="295"/>
      <c r="CP197" s="330"/>
      <c r="CQ197" s="330"/>
      <c r="CR197" s="330"/>
      <c r="CS197" s="285"/>
      <c r="CT197" s="285"/>
      <c r="CU197" s="285"/>
      <c r="CV197" s="285"/>
      <c r="CW197" s="330"/>
      <c r="CX197" s="285"/>
      <c r="CY197" s="285"/>
      <c r="CZ197" s="285"/>
      <c r="DA197" s="285"/>
      <c r="DB197" s="285"/>
      <c r="DC197" s="285"/>
      <c r="DD197" s="285"/>
      <c r="DE197" s="285"/>
      <c r="DF197" s="285"/>
      <c r="DG197" s="285"/>
      <c r="DH197" s="285"/>
      <c r="DI197" s="285"/>
      <c r="DJ197" s="285"/>
      <c r="DK197" s="285"/>
      <c r="DL197" s="285"/>
      <c r="DM197" s="285"/>
      <c r="DN197" s="285"/>
      <c r="DO197" s="285"/>
      <c r="DP197" s="285"/>
      <c r="DQ197" s="285"/>
      <c r="DR197" s="285"/>
      <c r="DS197" s="285"/>
      <c r="DT197" s="285"/>
      <c r="DU197" s="285"/>
      <c r="DV197" s="285"/>
      <c r="DW197" s="285"/>
      <c r="DX197" s="285"/>
      <c r="DY197" s="285"/>
      <c r="DZ197" s="285"/>
      <c r="EA197" s="285"/>
      <c r="EB197" s="285"/>
      <c r="EC197" s="285"/>
      <c r="ED197" s="285"/>
      <c r="EE197" s="285"/>
      <c r="EF197" s="285"/>
      <c r="EG197" s="285"/>
      <c r="EH197" s="285"/>
      <c r="EI197" s="285"/>
      <c r="EJ197" s="285"/>
      <c r="EK197" s="285"/>
      <c r="EL197" s="285"/>
      <c r="EM197" s="285"/>
      <c r="EN197" s="285"/>
      <c r="EO197" s="285"/>
      <c r="EP197" s="285"/>
      <c r="EQ197" s="285"/>
      <c r="ER197" s="330"/>
      <c r="ES197" s="330"/>
      <c r="ET197" s="330"/>
      <c r="EU197" s="285"/>
      <c r="EV197" s="285"/>
      <c r="EW197" s="285"/>
      <c r="EX197" s="285"/>
      <c r="EY197" s="285"/>
      <c r="EZ197" s="285"/>
      <c r="FA197" s="285"/>
      <c r="FB197" s="285"/>
      <c r="FC197" s="285"/>
      <c r="FD197" s="285"/>
      <c r="FE197" s="285"/>
      <c r="FF197" s="285"/>
      <c r="FG197" s="285"/>
      <c r="FH197" s="285"/>
      <c r="FI197" s="285"/>
      <c r="FJ197" s="285"/>
      <c r="FK197" s="285"/>
      <c r="FL197" s="285"/>
      <c r="FM197" s="285"/>
      <c r="FN197" s="285"/>
      <c r="FO197" s="285"/>
      <c r="FP197" s="285"/>
      <c r="FQ197" s="285"/>
      <c r="FR197" s="285"/>
      <c r="FS197" s="285"/>
      <c r="FT197" s="285"/>
      <c r="FU197" s="285"/>
      <c r="FV197" s="330"/>
      <c r="FW197" s="330"/>
      <c r="FX197" s="330"/>
      <c r="FY197" s="285"/>
      <c r="FZ197" s="285"/>
      <c r="GA197" s="285"/>
      <c r="GB197" s="330"/>
      <c r="GC197" s="330"/>
      <c r="GD197" s="330"/>
      <c r="GE197" s="330"/>
      <c r="GF197" s="330"/>
      <c r="GG197" s="330"/>
    </row>
    <row r="198" spans="1:189" s="146" customFormat="1">
      <c r="A198" s="151"/>
      <c r="B198" s="152"/>
      <c r="C198" s="201"/>
      <c r="D198" s="201"/>
      <c r="E198" s="201"/>
      <c r="J198" s="201"/>
      <c r="BE198" s="201"/>
      <c r="BF198" s="201"/>
      <c r="BG198" s="201"/>
      <c r="CI198" s="201"/>
      <c r="CJ198" s="201"/>
      <c r="CK198" s="201"/>
      <c r="CO198" s="295"/>
      <c r="CP198" s="330"/>
      <c r="CQ198" s="330"/>
      <c r="CR198" s="330"/>
      <c r="CS198" s="285"/>
      <c r="CT198" s="285"/>
      <c r="CU198" s="285"/>
      <c r="CV198" s="285"/>
      <c r="CW198" s="330"/>
      <c r="CX198" s="285"/>
      <c r="CY198" s="285"/>
      <c r="CZ198" s="285"/>
      <c r="DA198" s="285"/>
      <c r="DB198" s="285"/>
      <c r="DC198" s="285"/>
      <c r="DD198" s="285"/>
      <c r="DE198" s="285"/>
      <c r="DF198" s="285"/>
      <c r="DG198" s="285"/>
      <c r="DH198" s="285"/>
      <c r="DI198" s="285"/>
      <c r="DJ198" s="285"/>
      <c r="DK198" s="285"/>
      <c r="DL198" s="285"/>
      <c r="DM198" s="285"/>
      <c r="DN198" s="285"/>
      <c r="DO198" s="285"/>
      <c r="DP198" s="285"/>
      <c r="DQ198" s="285"/>
      <c r="DR198" s="285"/>
      <c r="DS198" s="285"/>
      <c r="DT198" s="285"/>
      <c r="DU198" s="285"/>
      <c r="DV198" s="285"/>
      <c r="DW198" s="285"/>
      <c r="DX198" s="285"/>
      <c r="DY198" s="285"/>
      <c r="DZ198" s="285"/>
      <c r="EA198" s="285"/>
      <c r="EB198" s="285"/>
      <c r="EC198" s="285"/>
      <c r="ED198" s="285"/>
      <c r="EE198" s="285"/>
      <c r="EF198" s="285"/>
      <c r="EG198" s="285"/>
      <c r="EH198" s="285"/>
      <c r="EI198" s="285"/>
      <c r="EJ198" s="285"/>
      <c r="EK198" s="285"/>
      <c r="EL198" s="285"/>
      <c r="EM198" s="285"/>
      <c r="EN198" s="285"/>
      <c r="EO198" s="285"/>
      <c r="EP198" s="285"/>
      <c r="EQ198" s="285"/>
      <c r="ER198" s="330"/>
      <c r="ES198" s="330"/>
      <c r="ET198" s="330"/>
      <c r="EU198" s="285"/>
      <c r="EV198" s="285"/>
      <c r="EW198" s="285"/>
      <c r="EX198" s="285"/>
      <c r="EY198" s="285"/>
      <c r="EZ198" s="285"/>
      <c r="FA198" s="285"/>
      <c r="FB198" s="285"/>
      <c r="FC198" s="285"/>
      <c r="FD198" s="285"/>
      <c r="FE198" s="285"/>
      <c r="FF198" s="285"/>
      <c r="FG198" s="285"/>
      <c r="FH198" s="285"/>
      <c r="FI198" s="285"/>
      <c r="FJ198" s="285"/>
      <c r="FK198" s="285"/>
      <c r="FL198" s="285"/>
      <c r="FM198" s="285"/>
      <c r="FN198" s="285"/>
      <c r="FO198" s="285"/>
      <c r="FP198" s="285"/>
      <c r="FQ198" s="285"/>
      <c r="FR198" s="285"/>
      <c r="FS198" s="285"/>
      <c r="FT198" s="285"/>
      <c r="FU198" s="285"/>
      <c r="FV198" s="330"/>
      <c r="FW198" s="330"/>
      <c r="FX198" s="330"/>
      <c r="FY198" s="285"/>
      <c r="FZ198" s="285"/>
      <c r="GA198" s="285"/>
      <c r="GB198" s="330"/>
      <c r="GC198" s="330"/>
      <c r="GD198" s="330"/>
      <c r="GE198" s="330"/>
      <c r="GF198" s="330"/>
      <c r="GG198" s="330"/>
    </row>
    <row r="199" spans="1:189" s="146" customFormat="1">
      <c r="A199" s="151"/>
      <c r="B199" s="152"/>
      <c r="C199" s="201"/>
      <c r="D199" s="201"/>
      <c r="E199" s="201"/>
      <c r="J199" s="201"/>
      <c r="BE199" s="201"/>
      <c r="BF199" s="201"/>
      <c r="BG199" s="201"/>
      <c r="CI199" s="201"/>
      <c r="CJ199" s="201"/>
      <c r="CK199" s="201"/>
      <c r="CO199" s="295"/>
      <c r="CP199" s="330"/>
      <c r="CQ199" s="330"/>
      <c r="CR199" s="330"/>
      <c r="CS199" s="285"/>
      <c r="CT199" s="285"/>
      <c r="CU199" s="285"/>
      <c r="CV199" s="285"/>
      <c r="CW199" s="330"/>
      <c r="CX199" s="285"/>
      <c r="CY199" s="285"/>
      <c r="CZ199" s="285"/>
      <c r="DA199" s="285"/>
      <c r="DB199" s="285"/>
      <c r="DC199" s="285"/>
      <c r="DD199" s="285"/>
      <c r="DE199" s="285"/>
      <c r="DF199" s="285"/>
      <c r="DG199" s="285"/>
      <c r="DH199" s="285"/>
      <c r="DI199" s="285"/>
      <c r="DJ199" s="285"/>
      <c r="DK199" s="285"/>
      <c r="DL199" s="285"/>
      <c r="DM199" s="285"/>
      <c r="DN199" s="285"/>
      <c r="DO199" s="285"/>
      <c r="DP199" s="285"/>
      <c r="DQ199" s="285"/>
      <c r="DR199" s="285"/>
      <c r="DS199" s="285"/>
      <c r="DT199" s="285"/>
      <c r="DU199" s="285"/>
      <c r="DV199" s="285"/>
      <c r="DW199" s="285"/>
      <c r="DX199" s="285"/>
      <c r="DY199" s="285"/>
      <c r="DZ199" s="285"/>
      <c r="EA199" s="285"/>
      <c r="EB199" s="285"/>
      <c r="EC199" s="285"/>
      <c r="ED199" s="285"/>
      <c r="EE199" s="285"/>
      <c r="EF199" s="285"/>
      <c r="EG199" s="285"/>
      <c r="EH199" s="285"/>
      <c r="EI199" s="285"/>
      <c r="EJ199" s="285"/>
      <c r="EK199" s="285"/>
      <c r="EL199" s="285"/>
      <c r="EM199" s="285"/>
      <c r="EN199" s="285"/>
      <c r="EO199" s="285"/>
      <c r="EP199" s="285"/>
      <c r="EQ199" s="285"/>
      <c r="ER199" s="330"/>
      <c r="ES199" s="330"/>
      <c r="ET199" s="330"/>
      <c r="EU199" s="285"/>
      <c r="EV199" s="285"/>
      <c r="EW199" s="285"/>
      <c r="EX199" s="285"/>
      <c r="EY199" s="285"/>
      <c r="EZ199" s="285"/>
      <c r="FA199" s="285"/>
      <c r="FB199" s="285"/>
      <c r="FC199" s="285"/>
      <c r="FD199" s="285"/>
      <c r="FE199" s="285"/>
      <c r="FF199" s="285"/>
      <c r="FG199" s="285"/>
      <c r="FH199" s="285"/>
      <c r="FI199" s="285"/>
      <c r="FJ199" s="285"/>
      <c r="FK199" s="285"/>
      <c r="FL199" s="285"/>
      <c r="FM199" s="285"/>
      <c r="FN199" s="285"/>
      <c r="FO199" s="285"/>
      <c r="FP199" s="285"/>
      <c r="FQ199" s="285"/>
      <c r="FR199" s="285"/>
      <c r="FS199" s="285"/>
      <c r="FT199" s="285"/>
      <c r="FU199" s="285"/>
      <c r="FV199" s="330"/>
      <c r="FW199" s="330"/>
      <c r="FX199" s="330"/>
      <c r="FY199" s="285"/>
      <c r="FZ199" s="285"/>
      <c r="GA199" s="285"/>
      <c r="GB199" s="330"/>
      <c r="GC199" s="330"/>
      <c r="GD199" s="330"/>
      <c r="GE199" s="330"/>
      <c r="GF199" s="330"/>
      <c r="GG199" s="330"/>
    </row>
    <row r="200" spans="1:189" s="146" customFormat="1">
      <c r="A200" s="151"/>
      <c r="B200" s="152"/>
      <c r="C200" s="201"/>
      <c r="D200" s="201"/>
      <c r="E200" s="201"/>
      <c r="J200" s="201"/>
      <c r="BE200" s="201"/>
      <c r="BF200" s="201"/>
      <c r="BG200" s="201"/>
      <c r="CI200" s="201"/>
      <c r="CJ200" s="201"/>
      <c r="CK200" s="201"/>
      <c r="CO200" s="295"/>
      <c r="CP200" s="330"/>
      <c r="CQ200" s="330"/>
      <c r="CR200" s="330"/>
      <c r="CS200" s="285"/>
      <c r="CT200" s="285"/>
      <c r="CU200" s="285"/>
      <c r="CV200" s="285"/>
      <c r="CW200" s="330"/>
      <c r="CX200" s="285"/>
      <c r="CY200" s="285"/>
      <c r="CZ200" s="285"/>
      <c r="DA200" s="285"/>
      <c r="DB200" s="285"/>
      <c r="DC200" s="285"/>
      <c r="DD200" s="285"/>
      <c r="DE200" s="285"/>
      <c r="DF200" s="285"/>
      <c r="DG200" s="285"/>
      <c r="DH200" s="285"/>
      <c r="DI200" s="285"/>
      <c r="DJ200" s="285"/>
      <c r="DK200" s="285"/>
      <c r="DL200" s="285"/>
      <c r="DM200" s="285"/>
      <c r="DN200" s="285"/>
      <c r="DO200" s="285"/>
      <c r="DP200" s="285"/>
      <c r="DQ200" s="285"/>
      <c r="DR200" s="285"/>
      <c r="DS200" s="285"/>
      <c r="DT200" s="285"/>
      <c r="DU200" s="285"/>
      <c r="DV200" s="285"/>
      <c r="DW200" s="285"/>
      <c r="DX200" s="285"/>
      <c r="DY200" s="285"/>
      <c r="DZ200" s="285"/>
      <c r="EA200" s="285"/>
      <c r="EB200" s="285"/>
      <c r="EC200" s="285"/>
      <c r="ED200" s="285"/>
      <c r="EE200" s="285"/>
      <c r="EF200" s="285"/>
      <c r="EG200" s="285"/>
      <c r="EH200" s="285"/>
      <c r="EI200" s="285"/>
      <c r="EJ200" s="285"/>
      <c r="EK200" s="285"/>
      <c r="EL200" s="285"/>
      <c r="EM200" s="285"/>
      <c r="EN200" s="285"/>
      <c r="EO200" s="285"/>
      <c r="EP200" s="285"/>
      <c r="EQ200" s="285"/>
      <c r="ER200" s="330"/>
      <c r="ES200" s="330"/>
      <c r="ET200" s="330"/>
      <c r="EU200" s="285"/>
      <c r="EV200" s="285"/>
      <c r="EW200" s="285"/>
      <c r="EX200" s="285"/>
      <c r="EY200" s="285"/>
      <c r="EZ200" s="285"/>
      <c r="FA200" s="285"/>
      <c r="FB200" s="285"/>
      <c r="FC200" s="285"/>
      <c r="FD200" s="285"/>
      <c r="FE200" s="285"/>
      <c r="FF200" s="285"/>
      <c r="FG200" s="285"/>
      <c r="FH200" s="285"/>
      <c r="FI200" s="285"/>
      <c r="FJ200" s="285"/>
      <c r="FK200" s="285"/>
      <c r="FL200" s="285"/>
      <c r="FM200" s="285"/>
      <c r="FN200" s="285"/>
      <c r="FO200" s="285"/>
      <c r="FP200" s="285"/>
      <c r="FQ200" s="285"/>
      <c r="FR200" s="285"/>
      <c r="FS200" s="285"/>
      <c r="FT200" s="285"/>
      <c r="FU200" s="285"/>
      <c r="FV200" s="330"/>
      <c r="FW200" s="330"/>
      <c r="FX200" s="330"/>
      <c r="FY200" s="285"/>
      <c r="FZ200" s="285"/>
      <c r="GA200" s="285"/>
      <c r="GB200" s="330"/>
      <c r="GC200" s="330"/>
      <c r="GD200" s="330"/>
      <c r="GE200" s="330"/>
      <c r="GF200" s="330"/>
      <c r="GG200" s="330"/>
    </row>
    <row r="201" spans="1:189" s="146" customFormat="1" ht="15.75" customHeight="1">
      <c r="A201" s="151"/>
      <c r="B201" s="152"/>
      <c r="C201" s="201"/>
      <c r="D201" s="201"/>
      <c r="E201" s="201"/>
      <c r="J201" s="201"/>
      <c r="BE201" s="201"/>
      <c r="BF201" s="201"/>
      <c r="BG201" s="201"/>
      <c r="CI201" s="201"/>
      <c r="CJ201" s="201"/>
      <c r="CK201" s="201"/>
      <c r="CO201" s="295"/>
      <c r="CP201" s="330"/>
      <c r="CQ201" s="330"/>
      <c r="CR201" s="330"/>
      <c r="CS201" s="285"/>
      <c r="CT201" s="285"/>
      <c r="CU201" s="285"/>
      <c r="CV201" s="285"/>
      <c r="CW201" s="330"/>
      <c r="CX201" s="285"/>
      <c r="CY201" s="285"/>
      <c r="CZ201" s="285"/>
      <c r="DA201" s="285"/>
      <c r="DB201" s="285"/>
      <c r="DC201" s="285"/>
      <c r="DD201" s="285"/>
      <c r="DE201" s="285"/>
      <c r="DF201" s="285"/>
      <c r="DG201" s="285"/>
      <c r="DH201" s="285"/>
      <c r="DI201" s="285"/>
      <c r="DJ201" s="285"/>
      <c r="DK201" s="285"/>
      <c r="DL201" s="285"/>
      <c r="DM201" s="285"/>
      <c r="DN201" s="285"/>
      <c r="DO201" s="285"/>
      <c r="DP201" s="285"/>
      <c r="DQ201" s="285"/>
      <c r="DR201" s="285"/>
      <c r="DS201" s="285"/>
      <c r="DT201" s="285"/>
      <c r="DU201" s="285"/>
      <c r="DV201" s="285"/>
      <c r="DW201" s="285"/>
      <c r="DX201" s="285"/>
      <c r="DY201" s="285"/>
      <c r="DZ201" s="285"/>
      <c r="EA201" s="285"/>
      <c r="EB201" s="285"/>
      <c r="EC201" s="285"/>
      <c r="ED201" s="285"/>
      <c r="EE201" s="285"/>
      <c r="EF201" s="285"/>
      <c r="EG201" s="285"/>
      <c r="EH201" s="285"/>
      <c r="EI201" s="285"/>
      <c r="EJ201" s="285"/>
      <c r="EK201" s="285"/>
      <c r="EL201" s="285"/>
      <c r="EM201" s="285"/>
      <c r="EN201" s="285"/>
      <c r="EO201" s="285"/>
      <c r="EP201" s="285"/>
      <c r="EQ201" s="285"/>
      <c r="ER201" s="330"/>
      <c r="ES201" s="330"/>
      <c r="ET201" s="330"/>
      <c r="EU201" s="285"/>
      <c r="EV201" s="285"/>
      <c r="EW201" s="285"/>
      <c r="EX201" s="285"/>
      <c r="EY201" s="285"/>
      <c r="EZ201" s="285"/>
      <c r="FA201" s="285"/>
      <c r="FB201" s="285"/>
      <c r="FC201" s="285"/>
      <c r="FD201" s="285"/>
      <c r="FE201" s="285"/>
      <c r="FF201" s="285"/>
      <c r="FG201" s="285"/>
      <c r="FH201" s="285"/>
      <c r="FI201" s="285"/>
      <c r="FJ201" s="285"/>
      <c r="FK201" s="285"/>
      <c r="FL201" s="285"/>
      <c r="FM201" s="285"/>
      <c r="FN201" s="285"/>
      <c r="FO201" s="285"/>
      <c r="FP201" s="285"/>
      <c r="FQ201" s="285"/>
      <c r="FR201" s="285"/>
      <c r="FS201" s="285"/>
      <c r="FT201" s="285"/>
      <c r="FU201" s="285"/>
      <c r="FV201" s="330"/>
      <c r="FW201" s="330"/>
      <c r="FX201" s="330"/>
      <c r="FY201" s="285"/>
      <c r="FZ201" s="285"/>
      <c r="GA201" s="285"/>
      <c r="GB201" s="330"/>
      <c r="GC201" s="330"/>
      <c r="GD201" s="330"/>
      <c r="GE201" s="330"/>
      <c r="GF201" s="330"/>
      <c r="GG201" s="330"/>
    </row>
    <row r="202" spans="1:189" s="146" customFormat="1">
      <c r="A202" s="151"/>
      <c r="B202" s="152"/>
      <c r="C202" s="201"/>
      <c r="D202" s="201"/>
      <c r="E202" s="201"/>
      <c r="J202" s="201"/>
      <c r="BE202" s="201"/>
      <c r="BF202" s="201"/>
      <c r="BG202" s="201"/>
      <c r="CI202" s="201"/>
      <c r="CJ202" s="201"/>
      <c r="CK202" s="201"/>
      <c r="CO202" s="295"/>
      <c r="CP202" s="330"/>
      <c r="CQ202" s="330"/>
      <c r="CR202" s="330"/>
      <c r="CS202" s="285"/>
      <c r="CT202" s="285"/>
      <c r="CU202" s="285"/>
      <c r="CV202" s="285"/>
      <c r="CW202" s="330"/>
      <c r="CX202" s="285"/>
      <c r="CY202" s="285"/>
      <c r="CZ202" s="285"/>
      <c r="DA202" s="285"/>
      <c r="DB202" s="285"/>
      <c r="DC202" s="285"/>
      <c r="DD202" s="285"/>
      <c r="DE202" s="285"/>
      <c r="DF202" s="285"/>
      <c r="DG202" s="285"/>
      <c r="DH202" s="285"/>
      <c r="DI202" s="285"/>
      <c r="DJ202" s="285"/>
      <c r="DK202" s="285"/>
      <c r="DL202" s="285"/>
      <c r="DM202" s="285"/>
      <c r="DN202" s="285"/>
      <c r="DO202" s="285"/>
      <c r="DP202" s="285"/>
      <c r="DQ202" s="285"/>
      <c r="DR202" s="285"/>
      <c r="DS202" s="285"/>
      <c r="DT202" s="285"/>
      <c r="DU202" s="285"/>
      <c r="DV202" s="285"/>
      <c r="DW202" s="285"/>
      <c r="DX202" s="285"/>
      <c r="DY202" s="285"/>
      <c r="DZ202" s="285"/>
      <c r="EA202" s="285"/>
      <c r="EB202" s="285"/>
      <c r="EC202" s="285"/>
      <c r="ED202" s="285"/>
      <c r="EE202" s="285"/>
      <c r="EF202" s="285"/>
      <c r="EG202" s="285"/>
      <c r="EH202" s="285"/>
      <c r="EI202" s="285"/>
      <c r="EJ202" s="285"/>
      <c r="EK202" s="285"/>
      <c r="EL202" s="285"/>
      <c r="EM202" s="285"/>
      <c r="EN202" s="285"/>
      <c r="EO202" s="285"/>
      <c r="EP202" s="285"/>
      <c r="EQ202" s="285"/>
      <c r="ER202" s="330"/>
      <c r="ES202" s="330"/>
      <c r="ET202" s="330"/>
      <c r="EU202" s="285"/>
      <c r="EV202" s="285"/>
      <c r="EW202" s="285"/>
      <c r="EX202" s="285"/>
      <c r="EY202" s="285"/>
      <c r="EZ202" s="285"/>
      <c r="FA202" s="285"/>
      <c r="FB202" s="285"/>
      <c r="FC202" s="285"/>
      <c r="FD202" s="285"/>
      <c r="FE202" s="285"/>
      <c r="FF202" s="285"/>
      <c r="FG202" s="285"/>
      <c r="FH202" s="285"/>
      <c r="FI202" s="285"/>
      <c r="FJ202" s="285"/>
      <c r="FK202" s="285"/>
      <c r="FL202" s="285"/>
      <c r="FM202" s="285"/>
      <c r="FN202" s="285"/>
      <c r="FO202" s="285"/>
      <c r="FP202" s="285"/>
      <c r="FQ202" s="285"/>
      <c r="FR202" s="285"/>
      <c r="FS202" s="285"/>
      <c r="FT202" s="285"/>
      <c r="FU202" s="285"/>
      <c r="FV202" s="330"/>
      <c r="FW202" s="330"/>
      <c r="FX202" s="330"/>
      <c r="FY202" s="285"/>
      <c r="FZ202" s="285"/>
      <c r="GA202" s="285"/>
      <c r="GB202" s="330"/>
      <c r="GC202" s="330"/>
      <c r="GD202" s="330"/>
      <c r="GE202" s="330"/>
      <c r="GF202" s="330"/>
      <c r="GG202" s="330"/>
    </row>
    <row r="203" spans="1:189" s="146" customFormat="1">
      <c r="A203" s="151"/>
      <c r="B203" s="152"/>
      <c r="C203" s="201"/>
      <c r="D203" s="201"/>
      <c r="E203" s="201"/>
      <c r="J203" s="201"/>
      <c r="BE203" s="201"/>
      <c r="BF203" s="201"/>
      <c r="BG203" s="201"/>
      <c r="CI203" s="201"/>
      <c r="CJ203" s="201"/>
      <c r="CK203" s="201"/>
      <c r="CO203" s="295"/>
      <c r="CP203" s="330"/>
      <c r="CQ203" s="330"/>
      <c r="CR203" s="330"/>
      <c r="CS203" s="285"/>
      <c r="CT203" s="285"/>
      <c r="CU203" s="285"/>
      <c r="CV203" s="285"/>
      <c r="CW203" s="330"/>
      <c r="CX203" s="285"/>
      <c r="CY203" s="285"/>
      <c r="CZ203" s="285"/>
      <c r="DA203" s="285"/>
      <c r="DB203" s="285"/>
      <c r="DC203" s="285"/>
      <c r="DD203" s="285"/>
      <c r="DE203" s="285"/>
      <c r="DF203" s="285"/>
      <c r="DG203" s="285"/>
      <c r="DH203" s="285"/>
      <c r="DI203" s="285"/>
      <c r="DJ203" s="285"/>
      <c r="DK203" s="285"/>
      <c r="DL203" s="285"/>
      <c r="DM203" s="285"/>
      <c r="DN203" s="285"/>
      <c r="DO203" s="285"/>
      <c r="DP203" s="285"/>
      <c r="DQ203" s="285"/>
      <c r="DR203" s="285"/>
      <c r="DS203" s="285"/>
      <c r="DT203" s="285"/>
      <c r="DU203" s="285"/>
      <c r="DV203" s="285"/>
      <c r="DW203" s="285"/>
      <c r="DX203" s="285"/>
      <c r="DY203" s="285"/>
      <c r="DZ203" s="285"/>
      <c r="EA203" s="285"/>
      <c r="EB203" s="285"/>
      <c r="EC203" s="285"/>
      <c r="ED203" s="285"/>
      <c r="EE203" s="285"/>
      <c r="EF203" s="285"/>
      <c r="EG203" s="285"/>
      <c r="EH203" s="285"/>
      <c r="EI203" s="285"/>
      <c r="EJ203" s="285"/>
      <c r="EK203" s="285"/>
      <c r="EL203" s="285"/>
      <c r="EM203" s="285"/>
      <c r="EN203" s="285"/>
      <c r="EO203" s="285"/>
      <c r="EP203" s="285"/>
      <c r="EQ203" s="285"/>
      <c r="ER203" s="330"/>
      <c r="ES203" s="330"/>
      <c r="ET203" s="330"/>
      <c r="EU203" s="285"/>
      <c r="EV203" s="285"/>
      <c r="EW203" s="285"/>
      <c r="EX203" s="285"/>
      <c r="EY203" s="285"/>
      <c r="EZ203" s="285"/>
      <c r="FA203" s="285"/>
      <c r="FB203" s="285"/>
      <c r="FC203" s="285"/>
      <c r="FD203" s="285"/>
      <c r="FE203" s="285"/>
      <c r="FF203" s="285"/>
      <c r="FG203" s="285"/>
      <c r="FH203" s="285"/>
      <c r="FI203" s="285"/>
      <c r="FJ203" s="285"/>
      <c r="FK203" s="285"/>
      <c r="FL203" s="285"/>
      <c r="FM203" s="285"/>
      <c r="FN203" s="285"/>
      <c r="FO203" s="285"/>
      <c r="FP203" s="285"/>
      <c r="FQ203" s="285"/>
      <c r="FR203" s="285"/>
      <c r="FS203" s="285"/>
      <c r="FT203" s="285"/>
      <c r="FU203" s="285"/>
      <c r="FV203" s="330"/>
      <c r="FW203" s="330"/>
      <c r="FX203" s="330"/>
      <c r="FY203" s="285"/>
      <c r="FZ203" s="285"/>
      <c r="GA203" s="285"/>
      <c r="GB203" s="330"/>
      <c r="GC203" s="330"/>
      <c r="GD203" s="330"/>
      <c r="GE203" s="330"/>
      <c r="GF203" s="330"/>
      <c r="GG203" s="330"/>
    </row>
    <row r="204" spans="1:189" s="146" customFormat="1">
      <c r="A204" s="151"/>
      <c r="B204" s="152"/>
      <c r="C204" s="201"/>
      <c r="D204" s="201"/>
      <c r="E204" s="201"/>
      <c r="J204" s="201"/>
      <c r="BE204" s="201"/>
      <c r="BF204" s="201"/>
      <c r="BG204" s="201"/>
      <c r="CI204" s="201"/>
      <c r="CJ204" s="201"/>
      <c r="CK204" s="201"/>
      <c r="CO204" s="295"/>
      <c r="CP204" s="330"/>
      <c r="CQ204" s="330"/>
      <c r="CR204" s="330"/>
      <c r="CS204" s="285"/>
      <c r="CT204" s="285"/>
      <c r="CU204" s="285"/>
      <c r="CV204" s="285"/>
      <c r="CW204" s="330"/>
      <c r="CX204" s="285"/>
      <c r="CY204" s="285"/>
      <c r="CZ204" s="285"/>
      <c r="DA204" s="285"/>
      <c r="DB204" s="285"/>
      <c r="DC204" s="285"/>
      <c r="DD204" s="285"/>
      <c r="DE204" s="285"/>
      <c r="DF204" s="285"/>
      <c r="DG204" s="285"/>
      <c r="DH204" s="285"/>
      <c r="DI204" s="285"/>
      <c r="DJ204" s="285"/>
      <c r="DK204" s="285"/>
      <c r="DL204" s="285"/>
      <c r="DM204" s="285"/>
      <c r="DN204" s="285"/>
      <c r="DO204" s="285"/>
      <c r="DP204" s="285"/>
      <c r="DQ204" s="285"/>
      <c r="DR204" s="285"/>
      <c r="DS204" s="285"/>
      <c r="DT204" s="285"/>
      <c r="DU204" s="285"/>
      <c r="DV204" s="285"/>
      <c r="DW204" s="285"/>
      <c r="DX204" s="285"/>
      <c r="DY204" s="285"/>
      <c r="DZ204" s="285"/>
      <c r="EA204" s="285"/>
      <c r="EB204" s="285"/>
      <c r="EC204" s="285"/>
      <c r="ED204" s="285"/>
      <c r="EE204" s="285"/>
      <c r="EF204" s="285"/>
      <c r="EG204" s="285"/>
      <c r="EH204" s="285"/>
      <c r="EI204" s="285"/>
      <c r="EJ204" s="285"/>
      <c r="EK204" s="285"/>
      <c r="EL204" s="285"/>
      <c r="EM204" s="285"/>
      <c r="EN204" s="285"/>
      <c r="EO204" s="285"/>
      <c r="EP204" s="285"/>
      <c r="EQ204" s="285"/>
      <c r="ER204" s="330"/>
      <c r="ES204" s="330"/>
      <c r="ET204" s="330"/>
      <c r="EU204" s="285"/>
      <c r="EV204" s="285"/>
      <c r="EW204" s="285"/>
      <c r="EX204" s="285"/>
      <c r="EY204" s="285"/>
      <c r="EZ204" s="285"/>
      <c r="FA204" s="285"/>
      <c r="FB204" s="285"/>
      <c r="FC204" s="285"/>
      <c r="FD204" s="285"/>
      <c r="FE204" s="285"/>
      <c r="FF204" s="285"/>
      <c r="FG204" s="285"/>
      <c r="FH204" s="285"/>
      <c r="FI204" s="285"/>
      <c r="FJ204" s="285"/>
      <c r="FK204" s="285"/>
      <c r="FL204" s="285"/>
      <c r="FM204" s="285"/>
      <c r="FN204" s="285"/>
      <c r="FO204" s="285"/>
      <c r="FP204" s="285"/>
      <c r="FQ204" s="285"/>
      <c r="FR204" s="285"/>
      <c r="FS204" s="285"/>
      <c r="FT204" s="285"/>
      <c r="FU204" s="285"/>
      <c r="FV204" s="330"/>
      <c r="FW204" s="330"/>
      <c r="FX204" s="330"/>
      <c r="FY204" s="285"/>
      <c r="FZ204" s="285"/>
      <c r="GA204" s="285"/>
      <c r="GB204" s="330"/>
      <c r="GC204" s="330"/>
      <c r="GD204" s="330"/>
      <c r="GE204" s="330"/>
      <c r="GF204" s="330"/>
      <c r="GG204" s="330"/>
    </row>
    <row r="205" spans="1:189" s="146" customFormat="1" ht="15.75" customHeight="1">
      <c r="A205" s="151"/>
      <c r="B205" s="152"/>
      <c r="C205" s="201"/>
      <c r="D205" s="201"/>
      <c r="E205" s="201"/>
      <c r="J205" s="201"/>
      <c r="BE205" s="201"/>
      <c r="BF205" s="201"/>
      <c r="BG205" s="201"/>
      <c r="CI205" s="201"/>
      <c r="CJ205" s="201"/>
      <c r="CK205" s="201"/>
      <c r="CO205" s="295"/>
      <c r="CP205" s="330"/>
      <c r="CQ205" s="330"/>
      <c r="CR205" s="330"/>
      <c r="CS205" s="285"/>
      <c r="CT205" s="285"/>
      <c r="CU205" s="285"/>
      <c r="CV205" s="285"/>
      <c r="CW205" s="330"/>
      <c r="CX205" s="285"/>
      <c r="CY205" s="285"/>
      <c r="CZ205" s="285"/>
      <c r="DA205" s="285"/>
      <c r="DB205" s="285"/>
      <c r="DC205" s="285"/>
      <c r="DD205" s="285"/>
      <c r="DE205" s="285"/>
      <c r="DF205" s="285"/>
      <c r="DG205" s="285"/>
      <c r="DH205" s="285"/>
      <c r="DI205" s="285"/>
      <c r="DJ205" s="285"/>
      <c r="DK205" s="285"/>
      <c r="DL205" s="285"/>
      <c r="DM205" s="285"/>
      <c r="DN205" s="285"/>
      <c r="DO205" s="285"/>
      <c r="DP205" s="285"/>
      <c r="DQ205" s="285"/>
      <c r="DR205" s="285"/>
      <c r="DS205" s="285"/>
      <c r="DT205" s="285"/>
      <c r="DU205" s="285"/>
      <c r="DV205" s="285"/>
      <c r="DW205" s="285"/>
      <c r="DX205" s="285"/>
      <c r="DY205" s="285"/>
      <c r="DZ205" s="285"/>
      <c r="EA205" s="285"/>
      <c r="EB205" s="285"/>
      <c r="EC205" s="285"/>
      <c r="ED205" s="285"/>
      <c r="EE205" s="285"/>
      <c r="EF205" s="285"/>
      <c r="EG205" s="285"/>
      <c r="EH205" s="285"/>
      <c r="EI205" s="285"/>
      <c r="EJ205" s="285"/>
      <c r="EK205" s="285"/>
      <c r="EL205" s="285"/>
      <c r="EM205" s="285"/>
      <c r="EN205" s="285"/>
      <c r="EO205" s="285"/>
      <c r="EP205" s="285"/>
      <c r="EQ205" s="285"/>
      <c r="ER205" s="330"/>
      <c r="ES205" s="330"/>
      <c r="ET205" s="330"/>
      <c r="EU205" s="285"/>
      <c r="EV205" s="285"/>
      <c r="EW205" s="285"/>
      <c r="EX205" s="285"/>
      <c r="EY205" s="285"/>
      <c r="EZ205" s="285"/>
      <c r="FA205" s="285"/>
      <c r="FB205" s="285"/>
      <c r="FC205" s="285"/>
      <c r="FD205" s="285"/>
      <c r="FE205" s="285"/>
      <c r="FF205" s="285"/>
      <c r="FG205" s="285"/>
      <c r="FH205" s="285"/>
      <c r="FI205" s="285"/>
      <c r="FJ205" s="285"/>
      <c r="FK205" s="285"/>
      <c r="FL205" s="285"/>
      <c r="FM205" s="285"/>
      <c r="FN205" s="285"/>
      <c r="FO205" s="285"/>
      <c r="FP205" s="285"/>
      <c r="FQ205" s="285"/>
      <c r="FR205" s="285"/>
      <c r="FS205" s="285"/>
      <c r="FT205" s="285"/>
      <c r="FU205" s="285"/>
      <c r="FV205" s="330"/>
      <c r="FW205" s="330"/>
      <c r="FX205" s="330"/>
      <c r="FY205" s="285"/>
      <c r="FZ205" s="285"/>
      <c r="GA205" s="285"/>
      <c r="GB205" s="330"/>
      <c r="GC205" s="330"/>
      <c r="GD205" s="330"/>
      <c r="GE205" s="330"/>
      <c r="GF205" s="330"/>
      <c r="GG205" s="330"/>
    </row>
    <row r="206" spans="1:189" s="146" customFormat="1">
      <c r="A206" s="151"/>
      <c r="B206" s="152"/>
      <c r="C206" s="201"/>
      <c r="D206" s="201"/>
      <c r="E206" s="201"/>
      <c r="J206" s="201"/>
      <c r="BE206" s="201"/>
      <c r="BF206" s="201"/>
      <c r="BG206" s="201"/>
      <c r="CI206" s="201"/>
      <c r="CJ206" s="201"/>
      <c r="CK206" s="201"/>
      <c r="CO206" s="295"/>
      <c r="CP206" s="330"/>
      <c r="CQ206" s="330"/>
      <c r="CR206" s="330"/>
      <c r="CS206" s="285"/>
      <c r="CT206" s="285"/>
      <c r="CU206" s="285"/>
      <c r="CV206" s="285"/>
      <c r="CW206" s="330"/>
      <c r="CX206" s="285"/>
      <c r="CY206" s="285"/>
      <c r="CZ206" s="285"/>
      <c r="DA206" s="285"/>
      <c r="DB206" s="285"/>
      <c r="DC206" s="285"/>
      <c r="DD206" s="285"/>
      <c r="DE206" s="285"/>
      <c r="DF206" s="285"/>
      <c r="DG206" s="285"/>
      <c r="DH206" s="285"/>
      <c r="DI206" s="285"/>
      <c r="DJ206" s="285"/>
      <c r="DK206" s="285"/>
      <c r="DL206" s="285"/>
      <c r="DM206" s="285"/>
      <c r="DN206" s="285"/>
      <c r="DO206" s="285"/>
      <c r="DP206" s="285"/>
      <c r="DQ206" s="285"/>
      <c r="DR206" s="285"/>
      <c r="DS206" s="285"/>
      <c r="DT206" s="285"/>
      <c r="DU206" s="285"/>
      <c r="DV206" s="285"/>
      <c r="DW206" s="285"/>
      <c r="DX206" s="285"/>
      <c r="DY206" s="285"/>
      <c r="DZ206" s="285"/>
      <c r="EA206" s="285"/>
      <c r="EB206" s="285"/>
      <c r="EC206" s="285"/>
      <c r="ED206" s="285"/>
      <c r="EE206" s="285"/>
      <c r="EF206" s="285"/>
      <c r="EG206" s="285"/>
      <c r="EH206" s="285"/>
      <c r="EI206" s="285"/>
      <c r="EJ206" s="285"/>
      <c r="EK206" s="285"/>
      <c r="EL206" s="285"/>
      <c r="EM206" s="285"/>
      <c r="EN206" s="285"/>
      <c r="EO206" s="285"/>
      <c r="EP206" s="285"/>
      <c r="EQ206" s="285"/>
      <c r="ER206" s="330"/>
      <c r="ES206" s="330"/>
      <c r="ET206" s="330"/>
      <c r="EU206" s="285"/>
      <c r="EV206" s="285"/>
      <c r="EW206" s="285"/>
      <c r="EX206" s="285"/>
      <c r="EY206" s="285"/>
      <c r="EZ206" s="285"/>
      <c r="FA206" s="285"/>
      <c r="FB206" s="285"/>
      <c r="FC206" s="285"/>
      <c r="FD206" s="285"/>
      <c r="FE206" s="285"/>
      <c r="FF206" s="285"/>
      <c r="FG206" s="285"/>
      <c r="FH206" s="285"/>
      <c r="FI206" s="285"/>
      <c r="FJ206" s="285"/>
      <c r="FK206" s="285"/>
      <c r="FL206" s="285"/>
      <c r="FM206" s="285"/>
      <c r="FN206" s="285"/>
      <c r="FO206" s="285"/>
      <c r="FP206" s="285"/>
      <c r="FQ206" s="285"/>
      <c r="FR206" s="285"/>
      <c r="FS206" s="285"/>
      <c r="FT206" s="285"/>
      <c r="FU206" s="285"/>
      <c r="FV206" s="330"/>
      <c r="FW206" s="330"/>
      <c r="FX206" s="330"/>
      <c r="FY206" s="285"/>
      <c r="FZ206" s="285"/>
      <c r="GA206" s="285"/>
      <c r="GB206" s="330"/>
      <c r="GC206" s="330"/>
      <c r="GD206" s="330"/>
      <c r="GE206" s="330"/>
      <c r="GF206" s="330"/>
      <c r="GG206" s="330"/>
    </row>
    <row r="207" spans="1:189" s="146" customFormat="1">
      <c r="A207" s="151"/>
      <c r="B207" s="152"/>
      <c r="C207" s="201"/>
      <c r="D207" s="201"/>
      <c r="E207" s="201"/>
      <c r="J207" s="201"/>
      <c r="BE207" s="201"/>
      <c r="BF207" s="201"/>
      <c r="BG207" s="201"/>
      <c r="CI207" s="201"/>
      <c r="CJ207" s="201"/>
      <c r="CK207" s="201"/>
      <c r="CO207" s="295"/>
      <c r="CP207" s="330"/>
      <c r="CQ207" s="330"/>
      <c r="CR207" s="330"/>
      <c r="CS207" s="285"/>
      <c r="CT207" s="285"/>
      <c r="CU207" s="285"/>
      <c r="CV207" s="285"/>
      <c r="CW207" s="330"/>
      <c r="CX207" s="285"/>
      <c r="CY207" s="285"/>
      <c r="CZ207" s="285"/>
      <c r="DA207" s="285"/>
      <c r="DB207" s="285"/>
      <c r="DC207" s="285"/>
      <c r="DD207" s="285"/>
      <c r="DE207" s="285"/>
      <c r="DF207" s="285"/>
      <c r="DG207" s="285"/>
      <c r="DH207" s="285"/>
      <c r="DI207" s="285"/>
      <c r="DJ207" s="285"/>
      <c r="DK207" s="285"/>
      <c r="DL207" s="285"/>
      <c r="DM207" s="285"/>
      <c r="DN207" s="285"/>
      <c r="DO207" s="285"/>
      <c r="DP207" s="285"/>
      <c r="DQ207" s="285"/>
      <c r="DR207" s="285"/>
      <c r="DS207" s="285"/>
      <c r="DT207" s="285"/>
      <c r="DU207" s="285"/>
      <c r="DV207" s="285"/>
      <c r="DW207" s="285"/>
      <c r="DX207" s="285"/>
      <c r="DY207" s="285"/>
      <c r="DZ207" s="285"/>
      <c r="EA207" s="285"/>
      <c r="EB207" s="285"/>
      <c r="EC207" s="285"/>
      <c r="ED207" s="285"/>
      <c r="EE207" s="285"/>
      <c r="EF207" s="285"/>
      <c r="EG207" s="285"/>
      <c r="EH207" s="285"/>
      <c r="EI207" s="285"/>
      <c r="EJ207" s="285"/>
      <c r="EK207" s="285"/>
      <c r="EL207" s="285"/>
      <c r="EM207" s="285"/>
      <c r="EN207" s="285"/>
      <c r="EO207" s="285"/>
      <c r="EP207" s="285"/>
      <c r="EQ207" s="285"/>
      <c r="ER207" s="330"/>
      <c r="ES207" s="330"/>
      <c r="ET207" s="330"/>
      <c r="EU207" s="285"/>
      <c r="EV207" s="285"/>
      <c r="EW207" s="285"/>
      <c r="EX207" s="285"/>
      <c r="EY207" s="285"/>
      <c r="EZ207" s="285"/>
      <c r="FA207" s="285"/>
      <c r="FB207" s="285"/>
      <c r="FC207" s="285"/>
      <c r="FD207" s="285"/>
      <c r="FE207" s="285"/>
      <c r="FF207" s="285"/>
      <c r="FG207" s="285"/>
      <c r="FH207" s="285"/>
      <c r="FI207" s="285"/>
      <c r="FJ207" s="285"/>
      <c r="FK207" s="285"/>
      <c r="FL207" s="285"/>
      <c r="FM207" s="285"/>
      <c r="FN207" s="285"/>
      <c r="FO207" s="285"/>
      <c r="FP207" s="285"/>
      <c r="FQ207" s="285"/>
      <c r="FR207" s="285"/>
      <c r="FS207" s="285"/>
      <c r="FT207" s="285"/>
      <c r="FU207" s="285"/>
      <c r="FV207" s="330"/>
      <c r="FW207" s="330"/>
      <c r="FX207" s="330"/>
      <c r="FY207" s="285"/>
      <c r="FZ207" s="285"/>
      <c r="GA207" s="285"/>
      <c r="GB207" s="330"/>
      <c r="GC207" s="330"/>
      <c r="GD207" s="330"/>
      <c r="GE207" s="330"/>
      <c r="GF207" s="330"/>
      <c r="GG207" s="330"/>
    </row>
    <row r="208" spans="1:189" s="146" customFormat="1">
      <c r="A208" s="151"/>
      <c r="B208" s="152"/>
      <c r="C208" s="201"/>
      <c r="D208" s="201"/>
      <c r="E208" s="201"/>
      <c r="J208" s="201"/>
      <c r="BE208" s="201"/>
      <c r="BF208" s="201"/>
      <c r="BG208" s="201"/>
      <c r="CI208" s="201"/>
      <c r="CJ208" s="201"/>
      <c r="CK208" s="201"/>
      <c r="CO208" s="295"/>
      <c r="CP208" s="330"/>
      <c r="CQ208" s="330"/>
      <c r="CR208" s="330"/>
      <c r="CS208" s="285"/>
      <c r="CT208" s="285"/>
      <c r="CU208" s="285"/>
      <c r="CV208" s="285"/>
      <c r="CW208" s="330"/>
      <c r="CX208" s="285"/>
      <c r="CY208" s="285"/>
      <c r="CZ208" s="285"/>
      <c r="DA208" s="285"/>
      <c r="DB208" s="285"/>
      <c r="DC208" s="285"/>
      <c r="DD208" s="285"/>
      <c r="DE208" s="285"/>
      <c r="DF208" s="285"/>
      <c r="DG208" s="285"/>
      <c r="DH208" s="285"/>
      <c r="DI208" s="285"/>
      <c r="DJ208" s="285"/>
      <c r="DK208" s="285"/>
      <c r="DL208" s="285"/>
      <c r="DM208" s="285"/>
      <c r="DN208" s="285"/>
      <c r="DO208" s="285"/>
      <c r="DP208" s="285"/>
      <c r="DQ208" s="285"/>
      <c r="DR208" s="285"/>
      <c r="DS208" s="285"/>
      <c r="DT208" s="285"/>
      <c r="DU208" s="285"/>
      <c r="DV208" s="285"/>
      <c r="DW208" s="285"/>
      <c r="DX208" s="285"/>
      <c r="DY208" s="285"/>
      <c r="DZ208" s="285"/>
      <c r="EA208" s="285"/>
      <c r="EB208" s="285"/>
      <c r="EC208" s="285"/>
      <c r="ED208" s="285"/>
      <c r="EE208" s="285"/>
      <c r="EF208" s="285"/>
      <c r="EG208" s="285"/>
      <c r="EH208" s="285"/>
      <c r="EI208" s="285"/>
      <c r="EJ208" s="285"/>
      <c r="EK208" s="285"/>
      <c r="EL208" s="285"/>
      <c r="EM208" s="285"/>
      <c r="EN208" s="285"/>
      <c r="EO208" s="285"/>
      <c r="EP208" s="285"/>
      <c r="EQ208" s="285"/>
      <c r="ER208" s="330"/>
      <c r="ES208" s="330"/>
      <c r="ET208" s="330"/>
      <c r="EU208" s="285"/>
      <c r="EV208" s="285"/>
      <c r="EW208" s="285"/>
      <c r="EX208" s="285"/>
      <c r="EY208" s="285"/>
      <c r="EZ208" s="285"/>
      <c r="FA208" s="285"/>
      <c r="FB208" s="285"/>
      <c r="FC208" s="285"/>
      <c r="FD208" s="285"/>
      <c r="FE208" s="285"/>
      <c r="FF208" s="285"/>
      <c r="FG208" s="285"/>
      <c r="FH208" s="285"/>
      <c r="FI208" s="285"/>
      <c r="FJ208" s="285"/>
      <c r="FK208" s="285"/>
      <c r="FL208" s="285"/>
      <c r="FM208" s="285"/>
      <c r="FN208" s="285"/>
      <c r="FO208" s="285"/>
      <c r="FP208" s="285"/>
      <c r="FQ208" s="285"/>
      <c r="FR208" s="285"/>
      <c r="FS208" s="285"/>
      <c r="FT208" s="285"/>
      <c r="FU208" s="285"/>
      <c r="FV208" s="330"/>
      <c r="FW208" s="330"/>
      <c r="FX208" s="330"/>
      <c r="FY208" s="285"/>
      <c r="FZ208" s="285"/>
      <c r="GA208" s="285"/>
      <c r="GB208" s="330"/>
      <c r="GC208" s="330"/>
      <c r="GD208" s="330"/>
      <c r="GE208" s="330"/>
      <c r="GF208" s="330"/>
      <c r="GG208" s="330"/>
    </row>
    <row r="209" spans="1:189" s="146" customFormat="1" ht="15.75" customHeight="1">
      <c r="A209" s="151"/>
      <c r="B209" s="152"/>
      <c r="C209" s="201"/>
      <c r="D209" s="201"/>
      <c r="E209" s="201"/>
      <c r="J209" s="201"/>
      <c r="BE209" s="201"/>
      <c r="BF209" s="201"/>
      <c r="BG209" s="201"/>
      <c r="CI209" s="201"/>
      <c r="CJ209" s="201"/>
      <c r="CK209" s="201"/>
      <c r="CO209" s="295"/>
      <c r="CP209" s="330"/>
      <c r="CQ209" s="330"/>
      <c r="CR209" s="330"/>
      <c r="CS209" s="285"/>
      <c r="CT209" s="285"/>
      <c r="CU209" s="285"/>
      <c r="CV209" s="285"/>
      <c r="CW209" s="330"/>
      <c r="CX209" s="285"/>
      <c r="CY209" s="285"/>
      <c r="CZ209" s="285"/>
      <c r="DA209" s="285"/>
      <c r="DB209" s="285"/>
      <c r="DC209" s="285"/>
      <c r="DD209" s="285"/>
      <c r="DE209" s="285"/>
      <c r="DF209" s="285"/>
      <c r="DG209" s="285"/>
      <c r="DH209" s="285"/>
      <c r="DI209" s="285"/>
      <c r="DJ209" s="285"/>
      <c r="DK209" s="285"/>
      <c r="DL209" s="285"/>
      <c r="DM209" s="285"/>
      <c r="DN209" s="285"/>
      <c r="DO209" s="285"/>
      <c r="DP209" s="285"/>
      <c r="DQ209" s="285"/>
      <c r="DR209" s="285"/>
      <c r="DS209" s="285"/>
      <c r="DT209" s="285"/>
      <c r="DU209" s="285"/>
      <c r="DV209" s="285"/>
      <c r="DW209" s="285"/>
      <c r="DX209" s="285"/>
      <c r="DY209" s="285"/>
      <c r="DZ209" s="285"/>
      <c r="EA209" s="285"/>
      <c r="EB209" s="285"/>
      <c r="EC209" s="285"/>
      <c r="ED209" s="285"/>
      <c r="EE209" s="285"/>
      <c r="EF209" s="285"/>
      <c r="EG209" s="285"/>
      <c r="EH209" s="285"/>
      <c r="EI209" s="285"/>
      <c r="EJ209" s="285"/>
      <c r="EK209" s="285"/>
      <c r="EL209" s="285"/>
      <c r="EM209" s="285"/>
      <c r="EN209" s="285"/>
      <c r="EO209" s="285"/>
      <c r="EP209" s="285"/>
      <c r="EQ209" s="285"/>
      <c r="ER209" s="330"/>
      <c r="ES209" s="330"/>
      <c r="ET209" s="330"/>
      <c r="EU209" s="285"/>
      <c r="EV209" s="285"/>
      <c r="EW209" s="285"/>
      <c r="EX209" s="285"/>
      <c r="EY209" s="285"/>
      <c r="EZ209" s="285"/>
      <c r="FA209" s="285"/>
      <c r="FB209" s="285"/>
      <c r="FC209" s="285"/>
      <c r="FD209" s="285"/>
      <c r="FE209" s="285"/>
      <c r="FF209" s="285"/>
      <c r="FG209" s="285"/>
      <c r="FH209" s="285"/>
      <c r="FI209" s="285"/>
      <c r="FJ209" s="285"/>
      <c r="FK209" s="285"/>
      <c r="FL209" s="285"/>
      <c r="FM209" s="285"/>
      <c r="FN209" s="285"/>
      <c r="FO209" s="285"/>
      <c r="FP209" s="285"/>
      <c r="FQ209" s="285"/>
      <c r="FR209" s="285"/>
      <c r="FS209" s="285"/>
      <c r="FT209" s="285"/>
      <c r="FU209" s="285"/>
      <c r="FV209" s="330"/>
      <c r="FW209" s="330"/>
      <c r="FX209" s="330"/>
      <c r="FY209" s="285"/>
      <c r="FZ209" s="285"/>
      <c r="GA209" s="285"/>
      <c r="GB209" s="330"/>
      <c r="GC209" s="330"/>
      <c r="GD209" s="330"/>
      <c r="GE209" s="330"/>
      <c r="GF209" s="330"/>
      <c r="GG209" s="330"/>
    </row>
    <row r="210" spans="1:189" s="146" customFormat="1">
      <c r="A210" s="151"/>
      <c r="B210" s="152"/>
      <c r="C210" s="201"/>
      <c r="D210" s="201"/>
      <c r="E210" s="201"/>
      <c r="J210" s="201"/>
      <c r="BE210" s="201"/>
      <c r="BF210" s="201"/>
      <c r="BG210" s="201"/>
      <c r="CI210" s="201"/>
      <c r="CJ210" s="201"/>
      <c r="CK210" s="201"/>
      <c r="CO210" s="295"/>
      <c r="CP210" s="330"/>
      <c r="CQ210" s="330"/>
      <c r="CR210" s="330"/>
      <c r="CS210" s="285"/>
      <c r="CT210" s="285"/>
      <c r="CU210" s="285"/>
      <c r="CV210" s="285"/>
      <c r="CW210" s="330"/>
      <c r="CX210" s="285"/>
      <c r="CY210" s="285"/>
      <c r="CZ210" s="285"/>
      <c r="DA210" s="285"/>
      <c r="DB210" s="285"/>
      <c r="DC210" s="285"/>
      <c r="DD210" s="285"/>
      <c r="DE210" s="285"/>
      <c r="DF210" s="285"/>
      <c r="DG210" s="285"/>
      <c r="DH210" s="285"/>
      <c r="DI210" s="285"/>
      <c r="DJ210" s="285"/>
      <c r="DK210" s="285"/>
      <c r="DL210" s="285"/>
      <c r="DM210" s="285"/>
      <c r="DN210" s="285"/>
      <c r="DO210" s="285"/>
      <c r="DP210" s="285"/>
      <c r="DQ210" s="285"/>
      <c r="DR210" s="285"/>
      <c r="DS210" s="285"/>
      <c r="DT210" s="285"/>
      <c r="DU210" s="285"/>
      <c r="DV210" s="285"/>
      <c r="DW210" s="285"/>
      <c r="DX210" s="285"/>
      <c r="DY210" s="285"/>
      <c r="DZ210" s="285"/>
      <c r="EA210" s="285"/>
      <c r="EB210" s="285"/>
      <c r="EC210" s="285"/>
      <c r="ED210" s="285"/>
      <c r="EE210" s="285"/>
      <c r="EF210" s="285"/>
      <c r="EG210" s="285"/>
      <c r="EH210" s="285"/>
      <c r="EI210" s="285"/>
      <c r="EJ210" s="285"/>
      <c r="EK210" s="285"/>
      <c r="EL210" s="285"/>
      <c r="EM210" s="285"/>
      <c r="EN210" s="285"/>
      <c r="EO210" s="285"/>
      <c r="EP210" s="285"/>
      <c r="EQ210" s="285"/>
      <c r="ER210" s="330"/>
      <c r="ES210" s="330"/>
      <c r="ET210" s="330"/>
      <c r="EU210" s="285"/>
      <c r="EV210" s="285"/>
      <c r="EW210" s="285"/>
      <c r="EX210" s="285"/>
      <c r="EY210" s="285"/>
      <c r="EZ210" s="285"/>
      <c r="FA210" s="285"/>
      <c r="FB210" s="285"/>
      <c r="FC210" s="285"/>
      <c r="FD210" s="285"/>
      <c r="FE210" s="285"/>
      <c r="FF210" s="285"/>
      <c r="FG210" s="285"/>
      <c r="FH210" s="285"/>
      <c r="FI210" s="285"/>
      <c r="FJ210" s="285"/>
      <c r="FK210" s="285"/>
      <c r="FL210" s="285"/>
      <c r="FM210" s="285"/>
      <c r="FN210" s="285"/>
      <c r="FO210" s="285"/>
      <c r="FP210" s="285"/>
      <c r="FQ210" s="285"/>
      <c r="FR210" s="285"/>
      <c r="FS210" s="285"/>
      <c r="FT210" s="285"/>
      <c r="FU210" s="285"/>
      <c r="FV210" s="330"/>
      <c r="FW210" s="330"/>
      <c r="FX210" s="330"/>
      <c r="FY210" s="285"/>
      <c r="FZ210" s="285"/>
      <c r="GA210" s="285"/>
      <c r="GB210" s="330"/>
      <c r="GC210" s="330"/>
      <c r="GD210" s="330"/>
      <c r="GE210" s="330"/>
      <c r="GF210" s="330"/>
      <c r="GG210" s="330"/>
    </row>
    <row r="211" spans="1:189" s="146" customFormat="1">
      <c r="A211" s="151"/>
      <c r="B211" s="152"/>
      <c r="C211" s="201"/>
      <c r="D211" s="201"/>
      <c r="E211" s="201"/>
      <c r="J211" s="201"/>
      <c r="BE211" s="201"/>
      <c r="BF211" s="201"/>
      <c r="BG211" s="201"/>
      <c r="CI211" s="201"/>
      <c r="CJ211" s="201"/>
      <c r="CK211" s="201"/>
      <c r="CO211" s="295"/>
      <c r="CP211" s="330"/>
      <c r="CQ211" s="330"/>
      <c r="CR211" s="330"/>
      <c r="CS211" s="285"/>
      <c r="CT211" s="285"/>
      <c r="CU211" s="285"/>
      <c r="CV211" s="285"/>
      <c r="CW211" s="330"/>
      <c r="CX211" s="285"/>
      <c r="CY211" s="285"/>
      <c r="CZ211" s="285"/>
      <c r="DA211" s="285"/>
      <c r="DB211" s="285"/>
      <c r="DC211" s="285"/>
      <c r="DD211" s="285"/>
      <c r="DE211" s="285"/>
      <c r="DF211" s="285"/>
      <c r="DG211" s="285"/>
      <c r="DH211" s="285"/>
      <c r="DI211" s="285"/>
      <c r="DJ211" s="285"/>
      <c r="DK211" s="285"/>
      <c r="DL211" s="285"/>
      <c r="DM211" s="285"/>
      <c r="DN211" s="285"/>
      <c r="DO211" s="285"/>
      <c r="DP211" s="285"/>
      <c r="DQ211" s="285"/>
      <c r="DR211" s="285"/>
      <c r="DS211" s="285"/>
      <c r="DT211" s="285"/>
      <c r="DU211" s="285"/>
      <c r="DV211" s="285"/>
      <c r="DW211" s="285"/>
      <c r="DX211" s="285"/>
      <c r="DY211" s="285"/>
      <c r="DZ211" s="285"/>
      <c r="EA211" s="285"/>
      <c r="EB211" s="285"/>
      <c r="EC211" s="285"/>
      <c r="ED211" s="285"/>
      <c r="EE211" s="285"/>
      <c r="EF211" s="285"/>
      <c r="EG211" s="285"/>
      <c r="EH211" s="285"/>
      <c r="EI211" s="285"/>
      <c r="EJ211" s="285"/>
      <c r="EK211" s="285"/>
      <c r="EL211" s="285"/>
      <c r="EM211" s="285"/>
      <c r="EN211" s="285"/>
      <c r="EO211" s="285"/>
      <c r="EP211" s="285"/>
      <c r="EQ211" s="285"/>
      <c r="ER211" s="330"/>
      <c r="ES211" s="330"/>
      <c r="ET211" s="330"/>
      <c r="EU211" s="285"/>
      <c r="EV211" s="285"/>
      <c r="EW211" s="285"/>
      <c r="EX211" s="285"/>
      <c r="EY211" s="285"/>
      <c r="EZ211" s="285"/>
      <c r="FA211" s="285"/>
      <c r="FB211" s="285"/>
      <c r="FC211" s="285"/>
      <c r="FD211" s="285"/>
      <c r="FE211" s="285"/>
      <c r="FF211" s="285"/>
      <c r="FG211" s="285"/>
      <c r="FH211" s="285"/>
      <c r="FI211" s="285"/>
      <c r="FJ211" s="285"/>
      <c r="FK211" s="285"/>
      <c r="FL211" s="285"/>
      <c r="FM211" s="285"/>
      <c r="FN211" s="285"/>
      <c r="FO211" s="285"/>
      <c r="FP211" s="285"/>
      <c r="FQ211" s="285"/>
      <c r="FR211" s="285"/>
      <c r="FS211" s="285"/>
      <c r="FT211" s="285"/>
      <c r="FU211" s="285"/>
      <c r="FV211" s="330"/>
      <c r="FW211" s="330"/>
      <c r="FX211" s="330"/>
      <c r="FY211" s="285"/>
      <c r="FZ211" s="285"/>
      <c r="GA211" s="285"/>
      <c r="GB211" s="330"/>
      <c r="GC211" s="330"/>
      <c r="GD211" s="330"/>
      <c r="GE211" s="330"/>
      <c r="GF211" s="330"/>
      <c r="GG211" s="330"/>
    </row>
    <row r="212" spans="1:189" s="146" customFormat="1">
      <c r="A212" s="151"/>
      <c r="B212" s="152"/>
      <c r="C212" s="201"/>
      <c r="D212" s="201"/>
      <c r="E212" s="201"/>
      <c r="J212" s="201"/>
      <c r="BE212" s="201"/>
      <c r="BF212" s="201"/>
      <c r="BG212" s="201"/>
      <c r="CI212" s="201"/>
      <c r="CJ212" s="201"/>
      <c r="CK212" s="201"/>
      <c r="CO212" s="295"/>
      <c r="CP212" s="330"/>
      <c r="CQ212" s="330"/>
      <c r="CR212" s="330"/>
      <c r="CS212" s="285"/>
      <c r="CT212" s="285"/>
      <c r="CU212" s="285"/>
      <c r="CV212" s="285"/>
      <c r="CW212" s="330"/>
      <c r="CX212" s="285"/>
      <c r="CY212" s="285"/>
      <c r="CZ212" s="285"/>
      <c r="DA212" s="285"/>
      <c r="DB212" s="285"/>
      <c r="DC212" s="285"/>
      <c r="DD212" s="285"/>
      <c r="DE212" s="285"/>
      <c r="DF212" s="285"/>
      <c r="DG212" s="285"/>
      <c r="DH212" s="285"/>
      <c r="DI212" s="285"/>
      <c r="DJ212" s="285"/>
      <c r="DK212" s="285"/>
      <c r="DL212" s="285"/>
      <c r="DM212" s="285"/>
      <c r="DN212" s="285"/>
      <c r="DO212" s="285"/>
      <c r="DP212" s="285"/>
      <c r="DQ212" s="285"/>
      <c r="DR212" s="285"/>
      <c r="DS212" s="285"/>
      <c r="DT212" s="285"/>
      <c r="DU212" s="285"/>
      <c r="DV212" s="285"/>
      <c r="DW212" s="285"/>
      <c r="DX212" s="285"/>
      <c r="DY212" s="285"/>
      <c r="DZ212" s="285"/>
      <c r="EA212" s="285"/>
      <c r="EB212" s="285"/>
      <c r="EC212" s="285"/>
      <c r="ED212" s="285"/>
      <c r="EE212" s="285"/>
      <c r="EF212" s="285"/>
      <c r="EG212" s="285"/>
      <c r="EH212" s="285"/>
      <c r="EI212" s="285"/>
      <c r="EJ212" s="285"/>
      <c r="EK212" s="285"/>
      <c r="EL212" s="285"/>
      <c r="EM212" s="285"/>
      <c r="EN212" s="285"/>
      <c r="EO212" s="285"/>
      <c r="EP212" s="285"/>
      <c r="EQ212" s="285"/>
      <c r="ER212" s="330"/>
      <c r="ES212" s="330"/>
      <c r="ET212" s="330"/>
      <c r="EU212" s="285"/>
      <c r="EV212" s="285"/>
      <c r="EW212" s="285"/>
      <c r="EX212" s="285"/>
      <c r="EY212" s="285"/>
      <c r="EZ212" s="285"/>
      <c r="FA212" s="285"/>
      <c r="FB212" s="285"/>
      <c r="FC212" s="285"/>
      <c r="FD212" s="285"/>
      <c r="FE212" s="285"/>
      <c r="FF212" s="285"/>
      <c r="FG212" s="285"/>
      <c r="FH212" s="285"/>
      <c r="FI212" s="285"/>
      <c r="FJ212" s="285"/>
      <c r="FK212" s="285"/>
      <c r="FL212" s="285"/>
      <c r="FM212" s="285"/>
      <c r="FN212" s="285"/>
      <c r="FO212" s="285"/>
      <c r="FP212" s="285"/>
      <c r="FQ212" s="285"/>
      <c r="FR212" s="285"/>
      <c r="FS212" s="285"/>
      <c r="FT212" s="285"/>
      <c r="FU212" s="285"/>
      <c r="FV212" s="330"/>
      <c r="FW212" s="330"/>
      <c r="FX212" s="330"/>
      <c r="FY212" s="285"/>
      <c r="FZ212" s="285"/>
      <c r="GA212" s="285"/>
      <c r="GB212" s="330"/>
      <c r="GC212" s="330"/>
      <c r="GD212" s="330"/>
      <c r="GE212" s="330"/>
      <c r="GF212" s="330"/>
      <c r="GG212" s="330"/>
    </row>
    <row r="213" spans="1:189" s="146" customFormat="1" ht="15.75" customHeight="1">
      <c r="A213" s="151"/>
      <c r="B213" s="152"/>
      <c r="C213" s="201"/>
      <c r="D213" s="201"/>
      <c r="E213" s="201"/>
      <c r="J213" s="201"/>
      <c r="BE213" s="201"/>
      <c r="BF213" s="201"/>
      <c r="BG213" s="201"/>
      <c r="CI213" s="201"/>
      <c r="CJ213" s="201"/>
      <c r="CK213" s="201"/>
      <c r="CO213" s="295"/>
      <c r="CP213" s="330"/>
      <c r="CQ213" s="330"/>
      <c r="CR213" s="330"/>
      <c r="CS213" s="285"/>
      <c r="CT213" s="285"/>
      <c r="CU213" s="285"/>
      <c r="CV213" s="285"/>
      <c r="CW213" s="330"/>
      <c r="CX213" s="285"/>
      <c r="CY213" s="285"/>
      <c r="CZ213" s="285"/>
      <c r="DA213" s="285"/>
      <c r="DB213" s="285"/>
      <c r="DC213" s="285"/>
      <c r="DD213" s="285"/>
      <c r="DE213" s="285"/>
      <c r="DF213" s="285"/>
      <c r="DG213" s="285"/>
      <c r="DH213" s="285"/>
      <c r="DI213" s="285"/>
      <c r="DJ213" s="285"/>
      <c r="DK213" s="285"/>
      <c r="DL213" s="285"/>
      <c r="DM213" s="285"/>
      <c r="DN213" s="285"/>
      <c r="DO213" s="285"/>
      <c r="DP213" s="285"/>
      <c r="DQ213" s="285"/>
      <c r="DR213" s="285"/>
      <c r="DS213" s="285"/>
      <c r="DT213" s="285"/>
      <c r="DU213" s="285"/>
      <c r="DV213" s="285"/>
      <c r="DW213" s="285"/>
      <c r="DX213" s="285"/>
      <c r="DY213" s="285"/>
      <c r="DZ213" s="285"/>
      <c r="EA213" s="285"/>
      <c r="EB213" s="285"/>
      <c r="EC213" s="285"/>
      <c r="ED213" s="285"/>
      <c r="EE213" s="285"/>
      <c r="EF213" s="285"/>
      <c r="EG213" s="285"/>
      <c r="EH213" s="285"/>
      <c r="EI213" s="285"/>
      <c r="EJ213" s="285"/>
      <c r="EK213" s="285"/>
      <c r="EL213" s="285"/>
      <c r="EM213" s="285"/>
      <c r="EN213" s="285"/>
      <c r="EO213" s="285"/>
      <c r="EP213" s="285"/>
      <c r="EQ213" s="285"/>
      <c r="ER213" s="330"/>
      <c r="ES213" s="330"/>
      <c r="ET213" s="330"/>
      <c r="EU213" s="285"/>
      <c r="EV213" s="285"/>
      <c r="EW213" s="285"/>
      <c r="EX213" s="285"/>
      <c r="EY213" s="285"/>
      <c r="EZ213" s="285"/>
      <c r="FA213" s="285"/>
      <c r="FB213" s="285"/>
      <c r="FC213" s="285"/>
      <c r="FD213" s="285"/>
      <c r="FE213" s="285"/>
      <c r="FF213" s="285"/>
      <c r="FG213" s="285"/>
      <c r="FH213" s="285"/>
      <c r="FI213" s="285"/>
      <c r="FJ213" s="285"/>
      <c r="FK213" s="285"/>
      <c r="FL213" s="285"/>
      <c r="FM213" s="285"/>
      <c r="FN213" s="285"/>
      <c r="FO213" s="285"/>
      <c r="FP213" s="285"/>
      <c r="FQ213" s="285"/>
      <c r="FR213" s="285"/>
      <c r="FS213" s="285"/>
      <c r="FT213" s="285"/>
      <c r="FU213" s="285"/>
      <c r="FV213" s="330"/>
      <c r="FW213" s="330"/>
      <c r="FX213" s="330"/>
      <c r="FY213" s="285"/>
      <c r="FZ213" s="285"/>
      <c r="GA213" s="285"/>
      <c r="GB213" s="330"/>
      <c r="GC213" s="330"/>
      <c r="GD213" s="330"/>
      <c r="GE213" s="330"/>
      <c r="GF213" s="330"/>
      <c r="GG213" s="330"/>
    </row>
    <row r="214" spans="1:189" s="146" customFormat="1">
      <c r="A214" s="151"/>
      <c r="B214" s="152"/>
      <c r="C214" s="201"/>
      <c r="D214" s="201"/>
      <c r="E214" s="201"/>
      <c r="J214" s="201"/>
      <c r="BE214" s="201"/>
      <c r="BF214" s="201"/>
      <c r="BG214" s="201"/>
      <c r="CI214" s="201"/>
      <c r="CJ214" s="201"/>
      <c r="CK214" s="201"/>
      <c r="CO214" s="295"/>
      <c r="CP214" s="330"/>
      <c r="CQ214" s="330"/>
      <c r="CR214" s="330"/>
      <c r="CS214" s="285"/>
      <c r="CT214" s="285"/>
      <c r="CU214" s="285"/>
      <c r="CV214" s="285"/>
      <c r="CW214" s="330"/>
      <c r="CX214" s="285"/>
      <c r="CY214" s="285"/>
      <c r="CZ214" s="285"/>
      <c r="DA214" s="285"/>
      <c r="DB214" s="285"/>
      <c r="DC214" s="285"/>
      <c r="DD214" s="285"/>
      <c r="DE214" s="285"/>
      <c r="DF214" s="285"/>
      <c r="DG214" s="285"/>
      <c r="DH214" s="285"/>
      <c r="DI214" s="285"/>
      <c r="DJ214" s="285"/>
      <c r="DK214" s="285"/>
      <c r="DL214" s="285"/>
      <c r="DM214" s="285"/>
      <c r="DN214" s="285"/>
      <c r="DO214" s="285"/>
      <c r="DP214" s="285"/>
      <c r="DQ214" s="285"/>
      <c r="DR214" s="285"/>
      <c r="DS214" s="285"/>
      <c r="DT214" s="285"/>
      <c r="DU214" s="285"/>
      <c r="DV214" s="285"/>
      <c r="DW214" s="285"/>
      <c r="DX214" s="285"/>
      <c r="DY214" s="285"/>
      <c r="DZ214" s="285"/>
      <c r="EA214" s="285"/>
      <c r="EB214" s="285"/>
      <c r="EC214" s="285"/>
      <c r="ED214" s="285"/>
      <c r="EE214" s="285"/>
      <c r="EF214" s="285"/>
      <c r="EG214" s="285"/>
      <c r="EH214" s="285"/>
      <c r="EI214" s="285"/>
      <c r="EJ214" s="285"/>
      <c r="EK214" s="285"/>
      <c r="EL214" s="285"/>
      <c r="EM214" s="285"/>
      <c r="EN214" s="285"/>
      <c r="EO214" s="285"/>
      <c r="EP214" s="285"/>
      <c r="EQ214" s="285"/>
      <c r="ER214" s="330"/>
      <c r="ES214" s="330"/>
      <c r="ET214" s="330"/>
      <c r="EU214" s="285"/>
      <c r="EV214" s="285"/>
      <c r="EW214" s="285"/>
      <c r="EX214" s="285"/>
      <c r="EY214" s="285"/>
      <c r="EZ214" s="285"/>
      <c r="FA214" s="285"/>
      <c r="FB214" s="285"/>
      <c r="FC214" s="285"/>
      <c r="FD214" s="285"/>
      <c r="FE214" s="285"/>
      <c r="FF214" s="285"/>
      <c r="FG214" s="285"/>
      <c r="FH214" s="285"/>
      <c r="FI214" s="285"/>
      <c r="FJ214" s="285"/>
      <c r="FK214" s="285"/>
      <c r="FL214" s="285"/>
      <c r="FM214" s="285"/>
      <c r="FN214" s="285"/>
      <c r="FO214" s="285"/>
      <c r="FP214" s="285"/>
      <c r="FQ214" s="285"/>
      <c r="FR214" s="285"/>
      <c r="FS214" s="285"/>
      <c r="FT214" s="285"/>
      <c r="FU214" s="285"/>
      <c r="FV214" s="330"/>
      <c r="FW214" s="330"/>
      <c r="FX214" s="330"/>
      <c r="FY214" s="285"/>
      <c r="FZ214" s="285"/>
      <c r="GA214" s="285"/>
      <c r="GB214" s="330"/>
      <c r="GC214" s="330"/>
      <c r="GD214" s="330"/>
      <c r="GE214" s="330"/>
      <c r="GF214" s="330"/>
      <c r="GG214" s="330"/>
    </row>
    <row r="215" spans="1:189" s="146" customFormat="1">
      <c r="A215" s="151"/>
      <c r="B215" s="152"/>
      <c r="C215" s="201"/>
      <c r="D215" s="201"/>
      <c r="E215" s="201"/>
      <c r="J215" s="201"/>
      <c r="BE215" s="201"/>
      <c r="BF215" s="201"/>
      <c r="BG215" s="201"/>
      <c r="CI215" s="201"/>
      <c r="CJ215" s="201"/>
      <c r="CK215" s="201"/>
      <c r="CO215" s="295"/>
      <c r="CP215" s="330"/>
      <c r="CQ215" s="330"/>
      <c r="CR215" s="330"/>
      <c r="CS215" s="285"/>
      <c r="CT215" s="285"/>
      <c r="CU215" s="285"/>
      <c r="CV215" s="285"/>
      <c r="CW215" s="330"/>
      <c r="CX215" s="285"/>
      <c r="CY215" s="285"/>
      <c r="CZ215" s="285"/>
      <c r="DA215" s="285"/>
      <c r="DB215" s="285"/>
      <c r="DC215" s="285"/>
      <c r="DD215" s="285"/>
      <c r="DE215" s="285"/>
      <c r="DF215" s="285"/>
      <c r="DG215" s="285"/>
      <c r="DH215" s="285"/>
      <c r="DI215" s="285"/>
      <c r="DJ215" s="285"/>
      <c r="DK215" s="285"/>
      <c r="DL215" s="285"/>
      <c r="DM215" s="285"/>
      <c r="DN215" s="285"/>
      <c r="DO215" s="285"/>
      <c r="DP215" s="285"/>
      <c r="DQ215" s="285"/>
      <c r="DR215" s="285"/>
      <c r="DS215" s="285"/>
      <c r="DT215" s="285"/>
      <c r="DU215" s="285"/>
      <c r="DV215" s="285"/>
      <c r="DW215" s="285"/>
      <c r="DX215" s="285"/>
      <c r="DY215" s="285"/>
      <c r="DZ215" s="285"/>
      <c r="EA215" s="285"/>
      <c r="EB215" s="285"/>
      <c r="EC215" s="285"/>
      <c r="ED215" s="285"/>
      <c r="EE215" s="285"/>
      <c r="EF215" s="285"/>
      <c r="EG215" s="285"/>
      <c r="EH215" s="285"/>
      <c r="EI215" s="285"/>
      <c r="EJ215" s="285"/>
      <c r="EK215" s="285"/>
      <c r="EL215" s="285"/>
      <c r="EM215" s="285"/>
      <c r="EN215" s="285"/>
      <c r="EO215" s="285"/>
      <c r="EP215" s="285"/>
      <c r="EQ215" s="285"/>
      <c r="ER215" s="330"/>
      <c r="ES215" s="330"/>
      <c r="ET215" s="330"/>
      <c r="EU215" s="285"/>
      <c r="EV215" s="285"/>
      <c r="EW215" s="285"/>
      <c r="EX215" s="285"/>
      <c r="EY215" s="285"/>
      <c r="EZ215" s="285"/>
      <c r="FA215" s="285"/>
      <c r="FB215" s="285"/>
      <c r="FC215" s="285"/>
      <c r="FD215" s="285"/>
      <c r="FE215" s="285"/>
      <c r="FF215" s="285"/>
      <c r="FG215" s="285"/>
      <c r="FH215" s="285"/>
      <c r="FI215" s="285"/>
      <c r="FJ215" s="285"/>
      <c r="FK215" s="285"/>
      <c r="FL215" s="285"/>
      <c r="FM215" s="285"/>
      <c r="FN215" s="285"/>
      <c r="FO215" s="285"/>
      <c r="FP215" s="285"/>
      <c r="FQ215" s="285"/>
      <c r="FR215" s="285"/>
      <c r="FS215" s="285"/>
      <c r="FT215" s="285"/>
      <c r="FU215" s="285"/>
      <c r="FV215" s="330"/>
      <c r="FW215" s="330"/>
      <c r="FX215" s="330"/>
      <c r="FY215" s="285"/>
      <c r="FZ215" s="285"/>
      <c r="GA215" s="285"/>
      <c r="GB215" s="330"/>
      <c r="GC215" s="330"/>
      <c r="GD215" s="330"/>
      <c r="GE215" s="330"/>
      <c r="GF215" s="330"/>
      <c r="GG215" s="330"/>
    </row>
    <row r="216" spans="1:189" s="146" customFormat="1">
      <c r="A216" s="151"/>
      <c r="B216" s="152"/>
      <c r="C216" s="201"/>
      <c r="D216" s="201"/>
      <c r="E216" s="201"/>
      <c r="J216" s="201"/>
      <c r="BE216" s="201"/>
      <c r="BF216" s="201"/>
      <c r="BG216" s="201"/>
      <c r="CI216" s="201"/>
      <c r="CJ216" s="201"/>
      <c r="CK216" s="201"/>
      <c r="CO216" s="295"/>
      <c r="CP216" s="330"/>
      <c r="CQ216" s="330"/>
      <c r="CR216" s="330"/>
      <c r="CS216" s="285"/>
      <c r="CT216" s="285"/>
      <c r="CU216" s="285"/>
      <c r="CV216" s="285"/>
      <c r="CW216" s="330"/>
      <c r="CX216" s="285"/>
      <c r="CY216" s="285"/>
      <c r="CZ216" s="285"/>
      <c r="DA216" s="285"/>
      <c r="DB216" s="285"/>
      <c r="DC216" s="285"/>
      <c r="DD216" s="285"/>
      <c r="DE216" s="285"/>
      <c r="DF216" s="285"/>
      <c r="DG216" s="285"/>
      <c r="DH216" s="285"/>
      <c r="DI216" s="285"/>
      <c r="DJ216" s="285"/>
      <c r="DK216" s="285"/>
      <c r="DL216" s="285"/>
      <c r="DM216" s="285"/>
      <c r="DN216" s="285"/>
      <c r="DO216" s="285"/>
      <c r="DP216" s="285"/>
      <c r="DQ216" s="285"/>
      <c r="DR216" s="285"/>
      <c r="DS216" s="285"/>
      <c r="DT216" s="285"/>
      <c r="DU216" s="285"/>
      <c r="DV216" s="285"/>
      <c r="DW216" s="285"/>
      <c r="DX216" s="285"/>
      <c r="DY216" s="285"/>
      <c r="DZ216" s="285"/>
      <c r="EA216" s="285"/>
      <c r="EB216" s="285"/>
      <c r="EC216" s="285"/>
      <c r="ED216" s="285"/>
      <c r="EE216" s="285"/>
      <c r="EF216" s="285"/>
      <c r="EG216" s="285"/>
      <c r="EH216" s="285"/>
      <c r="EI216" s="285"/>
      <c r="EJ216" s="285"/>
      <c r="EK216" s="285"/>
      <c r="EL216" s="285"/>
      <c r="EM216" s="285"/>
      <c r="EN216" s="285"/>
      <c r="EO216" s="285"/>
      <c r="EP216" s="285"/>
      <c r="EQ216" s="285"/>
      <c r="ER216" s="330"/>
      <c r="ES216" s="330"/>
      <c r="ET216" s="330"/>
      <c r="EU216" s="285"/>
      <c r="EV216" s="285"/>
      <c r="EW216" s="285"/>
      <c r="EX216" s="285"/>
      <c r="EY216" s="285"/>
      <c r="EZ216" s="285"/>
      <c r="FA216" s="285"/>
      <c r="FB216" s="285"/>
      <c r="FC216" s="285"/>
      <c r="FD216" s="285"/>
      <c r="FE216" s="285"/>
      <c r="FF216" s="285"/>
      <c r="FG216" s="285"/>
      <c r="FH216" s="285"/>
      <c r="FI216" s="285"/>
      <c r="FJ216" s="285"/>
      <c r="FK216" s="285"/>
      <c r="FL216" s="285"/>
      <c r="FM216" s="285"/>
      <c r="FN216" s="285"/>
      <c r="FO216" s="285"/>
      <c r="FP216" s="285"/>
      <c r="FQ216" s="285"/>
      <c r="FR216" s="285"/>
      <c r="FS216" s="285"/>
      <c r="FT216" s="285"/>
      <c r="FU216" s="285"/>
      <c r="FV216" s="330"/>
      <c r="FW216" s="330"/>
      <c r="FX216" s="330"/>
      <c r="FY216" s="285"/>
      <c r="FZ216" s="285"/>
      <c r="GA216" s="285"/>
      <c r="GB216" s="330"/>
      <c r="GC216" s="330"/>
      <c r="GD216" s="330"/>
      <c r="GE216" s="330"/>
      <c r="GF216" s="330"/>
      <c r="GG216" s="330"/>
    </row>
    <row r="217" spans="1:189" s="146" customFormat="1" ht="15.75" customHeight="1">
      <c r="A217" s="151"/>
      <c r="B217" s="152"/>
      <c r="C217" s="201"/>
      <c r="D217" s="201"/>
      <c r="E217" s="201"/>
      <c r="J217" s="201"/>
      <c r="BE217" s="201"/>
      <c r="BF217" s="201"/>
      <c r="BG217" s="201"/>
      <c r="CI217" s="201"/>
      <c r="CJ217" s="201"/>
      <c r="CK217" s="201"/>
      <c r="CO217" s="295"/>
      <c r="CP217" s="330"/>
      <c r="CQ217" s="330"/>
      <c r="CR217" s="330"/>
      <c r="CS217" s="285"/>
      <c r="CT217" s="285"/>
      <c r="CU217" s="285"/>
      <c r="CV217" s="285"/>
      <c r="CW217" s="330"/>
      <c r="CX217" s="285"/>
      <c r="CY217" s="285"/>
      <c r="CZ217" s="285"/>
      <c r="DA217" s="285"/>
      <c r="DB217" s="285"/>
      <c r="DC217" s="285"/>
      <c r="DD217" s="285"/>
      <c r="DE217" s="285"/>
      <c r="DF217" s="285"/>
      <c r="DG217" s="285"/>
      <c r="DH217" s="285"/>
      <c r="DI217" s="285"/>
      <c r="DJ217" s="285"/>
      <c r="DK217" s="285"/>
      <c r="DL217" s="285"/>
      <c r="DM217" s="285"/>
      <c r="DN217" s="285"/>
      <c r="DO217" s="285"/>
      <c r="DP217" s="285"/>
      <c r="DQ217" s="285"/>
      <c r="DR217" s="285"/>
      <c r="DS217" s="285"/>
      <c r="DT217" s="285"/>
      <c r="DU217" s="285"/>
      <c r="DV217" s="285"/>
      <c r="DW217" s="285"/>
      <c r="DX217" s="285"/>
      <c r="DY217" s="285"/>
      <c r="DZ217" s="285"/>
      <c r="EA217" s="285"/>
      <c r="EB217" s="285"/>
      <c r="EC217" s="285"/>
      <c r="ED217" s="285"/>
      <c r="EE217" s="285"/>
      <c r="EF217" s="285"/>
      <c r="EG217" s="285"/>
      <c r="EH217" s="285"/>
      <c r="EI217" s="285"/>
      <c r="EJ217" s="285"/>
      <c r="EK217" s="285"/>
      <c r="EL217" s="285"/>
      <c r="EM217" s="285"/>
      <c r="EN217" s="285"/>
      <c r="EO217" s="285"/>
      <c r="EP217" s="285"/>
      <c r="EQ217" s="285"/>
      <c r="ER217" s="330"/>
      <c r="ES217" s="330"/>
      <c r="ET217" s="330"/>
      <c r="EU217" s="285"/>
      <c r="EV217" s="285"/>
      <c r="EW217" s="285"/>
      <c r="EX217" s="285"/>
      <c r="EY217" s="285"/>
      <c r="EZ217" s="285"/>
      <c r="FA217" s="285"/>
      <c r="FB217" s="285"/>
      <c r="FC217" s="285"/>
      <c r="FD217" s="285"/>
      <c r="FE217" s="285"/>
      <c r="FF217" s="285"/>
      <c r="FG217" s="285"/>
      <c r="FH217" s="285"/>
      <c r="FI217" s="285"/>
      <c r="FJ217" s="285"/>
      <c r="FK217" s="285"/>
      <c r="FL217" s="285"/>
      <c r="FM217" s="285"/>
      <c r="FN217" s="285"/>
      <c r="FO217" s="285"/>
      <c r="FP217" s="285"/>
      <c r="FQ217" s="285"/>
      <c r="FR217" s="285"/>
      <c r="FS217" s="285"/>
      <c r="FT217" s="285"/>
      <c r="FU217" s="285"/>
      <c r="FV217" s="330"/>
      <c r="FW217" s="330"/>
      <c r="FX217" s="330"/>
      <c r="FY217" s="285"/>
      <c r="FZ217" s="285"/>
      <c r="GA217" s="285"/>
      <c r="GB217" s="330"/>
      <c r="GC217" s="330"/>
      <c r="GD217" s="330"/>
      <c r="GE217" s="330"/>
      <c r="GF217" s="330"/>
      <c r="GG217" s="330"/>
    </row>
    <row r="218" spans="1:189" s="146" customFormat="1">
      <c r="A218" s="151"/>
      <c r="B218" s="152"/>
      <c r="C218" s="201"/>
      <c r="D218" s="201"/>
      <c r="E218" s="201"/>
      <c r="J218" s="201"/>
      <c r="BE218" s="201"/>
      <c r="BF218" s="201"/>
      <c r="BG218" s="201"/>
      <c r="CI218" s="201"/>
      <c r="CJ218" s="201"/>
      <c r="CK218" s="201"/>
      <c r="CO218" s="295"/>
      <c r="CP218" s="330"/>
      <c r="CQ218" s="330"/>
      <c r="CR218" s="330"/>
      <c r="CS218" s="285"/>
      <c r="CT218" s="285"/>
      <c r="CU218" s="285"/>
      <c r="CV218" s="285"/>
      <c r="CW218" s="330"/>
      <c r="CX218" s="285"/>
      <c r="CY218" s="285"/>
      <c r="CZ218" s="285"/>
      <c r="DA218" s="285"/>
      <c r="DB218" s="285"/>
      <c r="DC218" s="285"/>
      <c r="DD218" s="285"/>
      <c r="DE218" s="285"/>
      <c r="DF218" s="285"/>
      <c r="DG218" s="285"/>
      <c r="DH218" s="285"/>
      <c r="DI218" s="285"/>
      <c r="DJ218" s="285"/>
      <c r="DK218" s="285"/>
      <c r="DL218" s="285"/>
      <c r="DM218" s="285"/>
      <c r="DN218" s="285"/>
      <c r="DO218" s="285"/>
      <c r="DP218" s="285"/>
      <c r="DQ218" s="285"/>
      <c r="DR218" s="285"/>
      <c r="DS218" s="285"/>
      <c r="DT218" s="285"/>
      <c r="DU218" s="285"/>
      <c r="DV218" s="285"/>
      <c r="DW218" s="285"/>
      <c r="DX218" s="285"/>
      <c r="DY218" s="285"/>
      <c r="DZ218" s="285"/>
      <c r="EA218" s="285"/>
      <c r="EB218" s="285"/>
      <c r="EC218" s="285"/>
      <c r="ED218" s="285"/>
      <c r="EE218" s="285"/>
      <c r="EF218" s="285"/>
      <c r="EG218" s="285"/>
      <c r="EH218" s="285"/>
      <c r="EI218" s="285"/>
      <c r="EJ218" s="285"/>
      <c r="EK218" s="285"/>
      <c r="EL218" s="285"/>
      <c r="EM218" s="285"/>
      <c r="EN218" s="285"/>
      <c r="EO218" s="285"/>
      <c r="EP218" s="285"/>
      <c r="EQ218" s="285"/>
      <c r="ER218" s="330"/>
      <c r="ES218" s="330"/>
      <c r="ET218" s="330"/>
      <c r="EU218" s="285"/>
      <c r="EV218" s="285"/>
      <c r="EW218" s="285"/>
      <c r="EX218" s="285"/>
      <c r="EY218" s="285"/>
      <c r="EZ218" s="285"/>
      <c r="FA218" s="285"/>
      <c r="FB218" s="285"/>
      <c r="FC218" s="285"/>
      <c r="FD218" s="285"/>
      <c r="FE218" s="285"/>
      <c r="FF218" s="285"/>
      <c r="FG218" s="285"/>
      <c r="FH218" s="285"/>
      <c r="FI218" s="285"/>
      <c r="FJ218" s="285"/>
      <c r="FK218" s="285"/>
      <c r="FL218" s="285"/>
      <c r="FM218" s="285"/>
      <c r="FN218" s="285"/>
      <c r="FO218" s="285"/>
      <c r="FP218" s="285"/>
      <c r="FQ218" s="285"/>
      <c r="FR218" s="285"/>
      <c r="FS218" s="285"/>
      <c r="FT218" s="285"/>
      <c r="FU218" s="285"/>
      <c r="FV218" s="330"/>
      <c r="FW218" s="330"/>
      <c r="FX218" s="330"/>
      <c r="FY218" s="285"/>
      <c r="FZ218" s="285"/>
      <c r="GA218" s="285"/>
      <c r="GB218" s="330"/>
      <c r="GC218" s="330"/>
      <c r="GD218" s="330"/>
      <c r="GE218" s="330"/>
      <c r="GF218" s="330"/>
      <c r="GG218" s="330"/>
    </row>
    <row r="219" spans="1:189" s="146" customFormat="1">
      <c r="A219" s="151"/>
      <c r="B219" s="152"/>
      <c r="C219" s="201"/>
      <c r="D219" s="201"/>
      <c r="E219" s="201"/>
      <c r="J219" s="201"/>
      <c r="BE219" s="201"/>
      <c r="BF219" s="201"/>
      <c r="BG219" s="201"/>
      <c r="CI219" s="201"/>
      <c r="CJ219" s="201"/>
      <c r="CK219" s="201"/>
      <c r="CO219" s="295"/>
      <c r="CP219" s="330"/>
      <c r="CQ219" s="330"/>
      <c r="CR219" s="330"/>
      <c r="CS219" s="285"/>
      <c r="CT219" s="285"/>
      <c r="CU219" s="285"/>
      <c r="CV219" s="285"/>
      <c r="CW219" s="330"/>
      <c r="CX219" s="285"/>
      <c r="CY219" s="285"/>
      <c r="CZ219" s="285"/>
      <c r="DA219" s="285"/>
      <c r="DB219" s="285"/>
      <c r="DC219" s="285"/>
      <c r="DD219" s="285"/>
      <c r="DE219" s="285"/>
      <c r="DF219" s="285"/>
      <c r="DG219" s="285"/>
      <c r="DH219" s="285"/>
      <c r="DI219" s="285"/>
      <c r="DJ219" s="285"/>
      <c r="DK219" s="285"/>
      <c r="DL219" s="285"/>
      <c r="DM219" s="285"/>
      <c r="DN219" s="285"/>
      <c r="DO219" s="285"/>
      <c r="DP219" s="285"/>
      <c r="DQ219" s="285"/>
      <c r="DR219" s="285"/>
      <c r="DS219" s="285"/>
      <c r="DT219" s="285"/>
      <c r="DU219" s="285"/>
      <c r="DV219" s="285"/>
      <c r="DW219" s="285"/>
      <c r="DX219" s="285"/>
      <c r="DY219" s="285"/>
      <c r="DZ219" s="285"/>
      <c r="EA219" s="285"/>
      <c r="EB219" s="285"/>
      <c r="EC219" s="285"/>
      <c r="ED219" s="285"/>
      <c r="EE219" s="285"/>
      <c r="EF219" s="285"/>
      <c r="EG219" s="285"/>
      <c r="EH219" s="285"/>
      <c r="EI219" s="285"/>
      <c r="EJ219" s="285"/>
      <c r="EK219" s="285"/>
      <c r="EL219" s="285"/>
      <c r="EM219" s="285"/>
      <c r="EN219" s="285"/>
      <c r="EO219" s="285"/>
      <c r="EP219" s="285"/>
      <c r="EQ219" s="285"/>
      <c r="ER219" s="330"/>
      <c r="ES219" s="330"/>
      <c r="ET219" s="330"/>
      <c r="EU219" s="285"/>
      <c r="EV219" s="285"/>
      <c r="EW219" s="285"/>
      <c r="EX219" s="285"/>
      <c r="EY219" s="285"/>
      <c r="EZ219" s="285"/>
      <c r="FA219" s="285"/>
      <c r="FB219" s="285"/>
      <c r="FC219" s="285"/>
      <c r="FD219" s="285"/>
      <c r="FE219" s="285"/>
      <c r="FF219" s="285"/>
      <c r="FG219" s="285"/>
      <c r="FH219" s="285"/>
      <c r="FI219" s="285"/>
      <c r="FJ219" s="285"/>
      <c r="FK219" s="285"/>
      <c r="FL219" s="285"/>
      <c r="FM219" s="285"/>
      <c r="FN219" s="285"/>
      <c r="FO219" s="285"/>
      <c r="FP219" s="285"/>
      <c r="FQ219" s="285"/>
      <c r="FR219" s="285"/>
      <c r="FS219" s="285"/>
      <c r="FT219" s="285"/>
      <c r="FU219" s="285"/>
      <c r="FV219" s="330"/>
      <c r="FW219" s="330"/>
      <c r="FX219" s="330"/>
      <c r="FY219" s="285"/>
      <c r="FZ219" s="285"/>
      <c r="GA219" s="285"/>
      <c r="GB219" s="330"/>
      <c r="GC219" s="330"/>
      <c r="GD219" s="330"/>
      <c r="GE219" s="330"/>
      <c r="GF219" s="330"/>
      <c r="GG219" s="330"/>
    </row>
    <row r="220" spans="1:189" s="146" customFormat="1">
      <c r="A220" s="151"/>
      <c r="B220" s="152"/>
      <c r="C220" s="201"/>
      <c r="D220" s="201"/>
      <c r="E220" s="201"/>
      <c r="J220" s="201"/>
      <c r="BE220" s="201"/>
      <c r="BF220" s="201"/>
      <c r="BG220" s="201"/>
      <c r="CI220" s="201"/>
      <c r="CJ220" s="201"/>
      <c r="CK220" s="201"/>
      <c r="CO220" s="295"/>
      <c r="CP220" s="330"/>
      <c r="CQ220" s="330"/>
      <c r="CR220" s="330"/>
      <c r="CS220" s="285"/>
      <c r="CT220" s="285"/>
      <c r="CU220" s="285"/>
      <c r="CV220" s="285"/>
      <c r="CW220" s="330"/>
      <c r="CX220" s="285"/>
      <c r="CY220" s="285"/>
      <c r="CZ220" s="285"/>
      <c r="DA220" s="285"/>
      <c r="DB220" s="285"/>
      <c r="DC220" s="285"/>
      <c r="DD220" s="285"/>
      <c r="DE220" s="285"/>
      <c r="DF220" s="285"/>
      <c r="DG220" s="285"/>
      <c r="DH220" s="285"/>
      <c r="DI220" s="285"/>
      <c r="DJ220" s="285"/>
      <c r="DK220" s="285"/>
      <c r="DL220" s="285"/>
      <c r="DM220" s="285"/>
      <c r="DN220" s="285"/>
      <c r="DO220" s="285"/>
      <c r="DP220" s="285"/>
      <c r="DQ220" s="285"/>
      <c r="DR220" s="285"/>
      <c r="DS220" s="285"/>
      <c r="DT220" s="285"/>
      <c r="DU220" s="285"/>
      <c r="DV220" s="285"/>
      <c r="DW220" s="285"/>
      <c r="DX220" s="285"/>
      <c r="DY220" s="285"/>
      <c r="DZ220" s="285"/>
      <c r="EA220" s="285"/>
      <c r="EB220" s="285"/>
      <c r="EC220" s="285"/>
      <c r="ED220" s="285"/>
      <c r="EE220" s="285"/>
      <c r="EF220" s="285"/>
      <c r="EG220" s="285"/>
      <c r="EH220" s="285"/>
      <c r="EI220" s="285"/>
      <c r="EJ220" s="285"/>
      <c r="EK220" s="285"/>
      <c r="EL220" s="285"/>
      <c r="EM220" s="285"/>
      <c r="EN220" s="285"/>
      <c r="EO220" s="285"/>
      <c r="EP220" s="285"/>
      <c r="EQ220" s="285"/>
      <c r="ER220" s="330"/>
      <c r="ES220" s="330"/>
      <c r="ET220" s="330"/>
      <c r="EU220" s="285"/>
      <c r="EV220" s="285"/>
      <c r="EW220" s="285"/>
      <c r="EX220" s="285"/>
      <c r="EY220" s="285"/>
      <c r="EZ220" s="285"/>
      <c r="FA220" s="285"/>
      <c r="FB220" s="285"/>
      <c r="FC220" s="285"/>
      <c r="FD220" s="285"/>
      <c r="FE220" s="285"/>
      <c r="FF220" s="285"/>
      <c r="FG220" s="285"/>
      <c r="FH220" s="285"/>
      <c r="FI220" s="285"/>
      <c r="FJ220" s="285"/>
      <c r="FK220" s="285"/>
      <c r="FL220" s="285"/>
      <c r="FM220" s="285"/>
      <c r="FN220" s="285"/>
      <c r="FO220" s="285"/>
      <c r="FP220" s="285"/>
      <c r="FQ220" s="285"/>
      <c r="FR220" s="285"/>
      <c r="FS220" s="285"/>
      <c r="FT220" s="285"/>
      <c r="FU220" s="285"/>
      <c r="FV220" s="330"/>
      <c r="FW220" s="330"/>
      <c r="FX220" s="330"/>
      <c r="FY220" s="285"/>
      <c r="FZ220" s="285"/>
      <c r="GA220" s="285"/>
      <c r="GB220" s="330"/>
      <c r="GC220" s="330"/>
      <c r="GD220" s="330"/>
      <c r="GE220" s="330"/>
      <c r="GF220" s="330"/>
      <c r="GG220" s="330"/>
    </row>
    <row r="221" spans="1:189" s="146" customFormat="1" ht="15.75" customHeight="1">
      <c r="A221" s="151"/>
      <c r="B221" s="152"/>
      <c r="C221" s="201"/>
      <c r="D221" s="201"/>
      <c r="E221" s="201"/>
      <c r="J221" s="201"/>
      <c r="BE221" s="201"/>
      <c r="BF221" s="201"/>
      <c r="BG221" s="201"/>
      <c r="CI221" s="201"/>
      <c r="CJ221" s="201"/>
      <c r="CK221" s="201"/>
      <c r="CO221" s="295"/>
      <c r="CP221" s="330"/>
      <c r="CQ221" s="330"/>
      <c r="CR221" s="330"/>
      <c r="CS221" s="285"/>
      <c r="CT221" s="285"/>
      <c r="CU221" s="285"/>
      <c r="CV221" s="285"/>
      <c r="CW221" s="330"/>
      <c r="CX221" s="285"/>
      <c r="CY221" s="285"/>
      <c r="CZ221" s="285"/>
      <c r="DA221" s="285"/>
      <c r="DB221" s="285"/>
      <c r="DC221" s="285"/>
      <c r="DD221" s="285"/>
      <c r="DE221" s="285"/>
      <c r="DF221" s="285"/>
      <c r="DG221" s="285"/>
      <c r="DH221" s="285"/>
      <c r="DI221" s="285"/>
      <c r="DJ221" s="285"/>
      <c r="DK221" s="285"/>
      <c r="DL221" s="285"/>
      <c r="DM221" s="285"/>
      <c r="DN221" s="285"/>
      <c r="DO221" s="285"/>
      <c r="DP221" s="285"/>
      <c r="DQ221" s="285"/>
      <c r="DR221" s="285"/>
      <c r="DS221" s="285"/>
      <c r="DT221" s="285"/>
      <c r="DU221" s="285"/>
      <c r="DV221" s="285"/>
      <c r="DW221" s="285"/>
      <c r="DX221" s="285"/>
      <c r="DY221" s="285"/>
      <c r="DZ221" s="285"/>
      <c r="EA221" s="285"/>
      <c r="EB221" s="285"/>
      <c r="EC221" s="285"/>
      <c r="ED221" s="285"/>
      <c r="EE221" s="285"/>
      <c r="EF221" s="285"/>
      <c r="EG221" s="285"/>
      <c r="EH221" s="285"/>
      <c r="EI221" s="285"/>
      <c r="EJ221" s="285"/>
      <c r="EK221" s="285"/>
      <c r="EL221" s="285"/>
      <c r="EM221" s="285"/>
      <c r="EN221" s="285"/>
      <c r="EO221" s="285"/>
      <c r="EP221" s="285"/>
      <c r="EQ221" s="285"/>
      <c r="ER221" s="330"/>
      <c r="ES221" s="330"/>
      <c r="ET221" s="330"/>
      <c r="EU221" s="285"/>
      <c r="EV221" s="285"/>
      <c r="EW221" s="285"/>
      <c r="EX221" s="285"/>
      <c r="EY221" s="285"/>
      <c r="EZ221" s="285"/>
      <c r="FA221" s="285"/>
      <c r="FB221" s="285"/>
      <c r="FC221" s="285"/>
      <c r="FD221" s="285"/>
      <c r="FE221" s="285"/>
      <c r="FF221" s="285"/>
      <c r="FG221" s="285"/>
      <c r="FH221" s="285"/>
      <c r="FI221" s="285"/>
      <c r="FJ221" s="285"/>
      <c r="FK221" s="285"/>
      <c r="FL221" s="285"/>
      <c r="FM221" s="285"/>
      <c r="FN221" s="285"/>
      <c r="FO221" s="285"/>
      <c r="FP221" s="285"/>
      <c r="FQ221" s="285"/>
      <c r="FR221" s="285"/>
      <c r="FS221" s="285"/>
      <c r="FT221" s="285"/>
      <c r="FU221" s="285"/>
      <c r="FV221" s="330"/>
      <c r="FW221" s="330"/>
      <c r="FX221" s="330"/>
      <c r="FY221" s="285"/>
      <c r="FZ221" s="285"/>
      <c r="GA221" s="285"/>
      <c r="GB221" s="330"/>
      <c r="GC221" s="330"/>
      <c r="GD221" s="330"/>
      <c r="GE221" s="330"/>
      <c r="GF221" s="330"/>
      <c r="GG221" s="330"/>
    </row>
    <row r="222" spans="1:189" s="146" customFormat="1">
      <c r="A222" s="151"/>
      <c r="B222" s="152"/>
      <c r="C222" s="201"/>
      <c r="D222" s="201"/>
      <c r="E222" s="201"/>
      <c r="J222" s="201"/>
      <c r="BE222" s="201"/>
      <c r="BF222" s="201"/>
      <c r="BG222" s="201"/>
      <c r="CI222" s="201"/>
      <c r="CJ222" s="201"/>
      <c r="CK222" s="201"/>
      <c r="CO222" s="295"/>
      <c r="CP222" s="330"/>
      <c r="CQ222" s="330"/>
      <c r="CR222" s="330"/>
      <c r="CS222" s="285"/>
      <c r="CT222" s="285"/>
      <c r="CU222" s="285"/>
      <c r="CV222" s="285"/>
      <c r="CW222" s="330"/>
      <c r="CX222" s="285"/>
      <c r="CY222" s="285"/>
      <c r="CZ222" s="285"/>
      <c r="DA222" s="285"/>
      <c r="DB222" s="285"/>
      <c r="DC222" s="285"/>
      <c r="DD222" s="285"/>
      <c r="DE222" s="285"/>
      <c r="DF222" s="285"/>
      <c r="DG222" s="285"/>
      <c r="DH222" s="285"/>
      <c r="DI222" s="285"/>
      <c r="DJ222" s="285"/>
      <c r="DK222" s="285"/>
      <c r="DL222" s="285"/>
      <c r="DM222" s="285"/>
      <c r="DN222" s="285"/>
      <c r="DO222" s="285"/>
      <c r="DP222" s="285"/>
      <c r="DQ222" s="285"/>
      <c r="DR222" s="285"/>
      <c r="DS222" s="285"/>
      <c r="DT222" s="285"/>
      <c r="DU222" s="285"/>
      <c r="DV222" s="285"/>
      <c r="DW222" s="285"/>
      <c r="DX222" s="285"/>
      <c r="DY222" s="285"/>
      <c r="DZ222" s="285"/>
      <c r="EA222" s="285"/>
      <c r="EB222" s="285"/>
      <c r="EC222" s="285"/>
      <c r="ED222" s="285"/>
      <c r="EE222" s="285"/>
      <c r="EF222" s="285"/>
      <c r="EG222" s="285"/>
      <c r="EH222" s="285"/>
      <c r="EI222" s="285"/>
      <c r="EJ222" s="285"/>
      <c r="EK222" s="285"/>
      <c r="EL222" s="285"/>
      <c r="EM222" s="285"/>
      <c r="EN222" s="285"/>
      <c r="EO222" s="285"/>
      <c r="EP222" s="285"/>
      <c r="EQ222" s="285"/>
      <c r="ER222" s="330"/>
      <c r="ES222" s="330"/>
      <c r="ET222" s="330"/>
      <c r="EU222" s="285"/>
      <c r="EV222" s="285"/>
      <c r="EW222" s="285"/>
      <c r="EX222" s="285"/>
      <c r="EY222" s="285"/>
      <c r="EZ222" s="285"/>
      <c r="FA222" s="285"/>
      <c r="FB222" s="285"/>
      <c r="FC222" s="285"/>
      <c r="FD222" s="285"/>
      <c r="FE222" s="285"/>
      <c r="FF222" s="285"/>
      <c r="FG222" s="285"/>
      <c r="FH222" s="285"/>
      <c r="FI222" s="285"/>
      <c r="FJ222" s="285"/>
      <c r="FK222" s="285"/>
      <c r="FL222" s="285"/>
      <c r="FM222" s="285"/>
      <c r="FN222" s="285"/>
      <c r="FO222" s="285"/>
      <c r="FP222" s="285"/>
      <c r="FQ222" s="285"/>
      <c r="FR222" s="285"/>
      <c r="FS222" s="285"/>
      <c r="FT222" s="285"/>
      <c r="FU222" s="285"/>
      <c r="FV222" s="330"/>
      <c r="FW222" s="330"/>
      <c r="FX222" s="330"/>
      <c r="FY222" s="285"/>
      <c r="FZ222" s="285"/>
      <c r="GA222" s="285"/>
      <c r="GB222" s="330"/>
      <c r="GC222" s="330"/>
      <c r="GD222" s="330"/>
      <c r="GE222" s="330"/>
      <c r="GF222" s="330"/>
      <c r="GG222" s="330"/>
    </row>
    <row r="223" spans="1:189" s="146" customFormat="1">
      <c r="A223" s="151"/>
      <c r="B223" s="152"/>
      <c r="C223" s="201"/>
      <c r="D223" s="201"/>
      <c r="E223" s="201"/>
      <c r="J223" s="201"/>
      <c r="BE223" s="201"/>
      <c r="BF223" s="201"/>
      <c r="BG223" s="201"/>
      <c r="CI223" s="201"/>
      <c r="CJ223" s="201"/>
      <c r="CK223" s="201"/>
      <c r="CO223" s="295"/>
      <c r="CP223" s="330"/>
      <c r="CQ223" s="330"/>
      <c r="CR223" s="330"/>
      <c r="CS223" s="285"/>
      <c r="CT223" s="285"/>
      <c r="CU223" s="285"/>
      <c r="CV223" s="285"/>
      <c r="CW223" s="330"/>
      <c r="CX223" s="285"/>
      <c r="CY223" s="285"/>
      <c r="CZ223" s="285"/>
      <c r="DA223" s="285"/>
      <c r="DB223" s="285"/>
      <c r="DC223" s="285"/>
      <c r="DD223" s="285"/>
      <c r="DE223" s="285"/>
      <c r="DF223" s="285"/>
      <c r="DG223" s="285"/>
      <c r="DH223" s="285"/>
      <c r="DI223" s="285"/>
      <c r="DJ223" s="285"/>
      <c r="DK223" s="285"/>
      <c r="DL223" s="285"/>
      <c r="DM223" s="285"/>
      <c r="DN223" s="285"/>
      <c r="DO223" s="285"/>
      <c r="DP223" s="285"/>
      <c r="DQ223" s="285"/>
      <c r="DR223" s="285"/>
      <c r="DS223" s="285"/>
      <c r="DT223" s="285"/>
      <c r="DU223" s="285"/>
      <c r="DV223" s="285"/>
      <c r="DW223" s="285"/>
      <c r="DX223" s="285"/>
      <c r="DY223" s="285"/>
      <c r="DZ223" s="285"/>
      <c r="EA223" s="285"/>
      <c r="EB223" s="285"/>
      <c r="EC223" s="285"/>
      <c r="ED223" s="285"/>
      <c r="EE223" s="285"/>
      <c r="EF223" s="285"/>
      <c r="EG223" s="285"/>
      <c r="EH223" s="285"/>
      <c r="EI223" s="285"/>
      <c r="EJ223" s="285"/>
      <c r="EK223" s="285"/>
      <c r="EL223" s="285"/>
      <c r="EM223" s="285"/>
      <c r="EN223" s="285"/>
      <c r="EO223" s="285"/>
      <c r="EP223" s="285"/>
      <c r="EQ223" s="285"/>
      <c r="ER223" s="330"/>
      <c r="ES223" s="330"/>
      <c r="ET223" s="330"/>
      <c r="EU223" s="285"/>
      <c r="EV223" s="285"/>
      <c r="EW223" s="285"/>
      <c r="EX223" s="285"/>
      <c r="EY223" s="285"/>
      <c r="EZ223" s="285"/>
      <c r="FA223" s="285"/>
      <c r="FB223" s="285"/>
      <c r="FC223" s="285"/>
      <c r="FD223" s="285"/>
      <c r="FE223" s="285"/>
      <c r="FF223" s="285"/>
      <c r="FG223" s="285"/>
      <c r="FH223" s="285"/>
      <c r="FI223" s="285"/>
      <c r="FJ223" s="285"/>
      <c r="FK223" s="285"/>
      <c r="FL223" s="285"/>
      <c r="FM223" s="285"/>
      <c r="FN223" s="285"/>
      <c r="FO223" s="285"/>
      <c r="FP223" s="285"/>
      <c r="FQ223" s="285"/>
      <c r="FR223" s="285"/>
      <c r="FS223" s="285"/>
      <c r="FT223" s="285"/>
      <c r="FU223" s="285"/>
      <c r="FV223" s="330"/>
      <c r="FW223" s="330"/>
      <c r="FX223" s="330"/>
      <c r="FY223" s="285"/>
      <c r="FZ223" s="285"/>
      <c r="GA223" s="285"/>
      <c r="GB223" s="330"/>
      <c r="GC223" s="330"/>
      <c r="GD223" s="330"/>
      <c r="GE223" s="330"/>
      <c r="GF223" s="330"/>
      <c r="GG223" s="330"/>
    </row>
    <row r="224" spans="1:189" s="146" customFormat="1">
      <c r="A224" s="151"/>
      <c r="B224" s="152"/>
      <c r="C224" s="201"/>
      <c r="D224" s="201"/>
      <c r="E224" s="201"/>
      <c r="J224" s="201"/>
      <c r="BE224" s="201"/>
      <c r="BF224" s="201"/>
      <c r="BG224" s="201"/>
      <c r="CI224" s="201"/>
      <c r="CJ224" s="201"/>
      <c r="CK224" s="201"/>
      <c r="CO224" s="295"/>
      <c r="CP224" s="330"/>
      <c r="CQ224" s="330"/>
      <c r="CR224" s="330"/>
      <c r="CS224" s="285"/>
      <c r="CT224" s="285"/>
      <c r="CU224" s="285"/>
      <c r="CV224" s="285"/>
      <c r="CW224" s="330"/>
      <c r="CX224" s="285"/>
      <c r="CY224" s="285"/>
      <c r="CZ224" s="285"/>
      <c r="DA224" s="285"/>
      <c r="DB224" s="285"/>
      <c r="DC224" s="285"/>
      <c r="DD224" s="285"/>
      <c r="DE224" s="285"/>
      <c r="DF224" s="285"/>
      <c r="DG224" s="285"/>
      <c r="DH224" s="285"/>
      <c r="DI224" s="285"/>
      <c r="DJ224" s="285"/>
      <c r="DK224" s="285"/>
      <c r="DL224" s="285"/>
      <c r="DM224" s="285"/>
      <c r="DN224" s="285"/>
      <c r="DO224" s="285"/>
      <c r="DP224" s="285"/>
      <c r="DQ224" s="285"/>
      <c r="DR224" s="285"/>
      <c r="DS224" s="285"/>
      <c r="DT224" s="285"/>
      <c r="DU224" s="285"/>
      <c r="DV224" s="285"/>
      <c r="DW224" s="285"/>
      <c r="DX224" s="285"/>
      <c r="DY224" s="285"/>
      <c r="DZ224" s="285"/>
      <c r="EA224" s="285"/>
      <c r="EB224" s="285"/>
      <c r="EC224" s="285"/>
      <c r="ED224" s="285"/>
      <c r="EE224" s="285"/>
      <c r="EF224" s="285"/>
      <c r="EG224" s="285"/>
      <c r="EH224" s="285"/>
      <c r="EI224" s="285"/>
      <c r="EJ224" s="285"/>
      <c r="EK224" s="285"/>
      <c r="EL224" s="285"/>
      <c r="EM224" s="285"/>
      <c r="EN224" s="285"/>
      <c r="EO224" s="285"/>
      <c r="EP224" s="285"/>
      <c r="EQ224" s="285"/>
      <c r="ER224" s="330"/>
      <c r="ES224" s="330"/>
      <c r="ET224" s="330"/>
      <c r="EU224" s="285"/>
      <c r="EV224" s="285"/>
      <c r="EW224" s="285"/>
      <c r="EX224" s="285"/>
      <c r="EY224" s="285"/>
      <c r="EZ224" s="285"/>
      <c r="FA224" s="285"/>
      <c r="FB224" s="285"/>
      <c r="FC224" s="285"/>
      <c r="FD224" s="285"/>
      <c r="FE224" s="285"/>
      <c r="FF224" s="285"/>
      <c r="FG224" s="285"/>
      <c r="FH224" s="285"/>
      <c r="FI224" s="285"/>
      <c r="FJ224" s="285"/>
      <c r="FK224" s="285"/>
      <c r="FL224" s="285"/>
      <c r="FM224" s="285"/>
      <c r="FN224" s="285"/>
      <c r="FO224" s="285"/>
      <c r="FP224" s="285"/>
      <c r="FQ224" s="285"/>
      <c r="FR224" s="285"/>
      <c r="FS224" s="285"/>
      <c r="FT224" s="285"/>
      <c r="FU224" s="285"/>
      <c r="FV224" s="330"/>
      <c r="FW224" s="330"/>
      <c r="FX224" s="330"/>
      <c r="FY224" s="285"/>
      <c r="FZ224" s="285"/>
      <c r="GA224" s="285"/>
      <c r="GB224" s="330"/>
      <c r="GC224" s="330"/>
      <c r="GD224" s="330"/>
      <c r="GE224" s="330"/>
      <c r="GF224" s="330"/>
      <c r="GG224" s="330"/>
    </row>
    <row r="225" spans="1:189" s="146" customFormat="1" ht="15.75" customHeight="1">
      <c r="A225" s="151"/>
      <c r="B225" s="152"/>
      <c r="C225" s="201"/>
      <c r="D225" s="201"/>
      <c r="E225" s="201"/>
      <c r="J225" s="201"/>
      <c r="BE225" s="201"/>
      <c r="BF225" s="201"/>
      <c r="BG225" s="201"/>
      <c r="CI225" s="201"/>
      <c r="CJ225" s="201"/>
      <c r="CK225" s="201"/>
      <c r="CO225" s="295"/>
      <c r="CP225" s="330"/>
      <c r="CQ225" s="330"/>
      <c r="CR225" s="330"/>
      <c r="CS225" s="285"/>
      <c r="CT225" s="285"/>
      <c r="CU225" s="285"/>
      <c r="CV225" s="285"/>
      <c r="CW225" s="330"/>
      <c r="CX225" s="285"/>
      <c r="CY225" s="285"/>
      <c r="CZ225" s="285"/>
      <c r="DA225" s="285"/>
      <c r="DB225" s="285"/>
      <c r="DC225" s="285"/>
      <c r="DD225" s="285"/>
      <c r="DE225" s="285"/>
      <c r="DF225" s="285"/>
      <c r="DG225" s="285"/>
      <c r="DH225" s="285"/>
      <c r="DI225" s="285"/>
      <c r="DJ225" s="285"/>
      <c r="DK225" s="285"/>
      <c r="DL225" s="285"/>
      <c r="DM225" s="285"/>
      <c r="DN225" s="285"/>
      <c r="DO225" s="285"/>
      <c r="DP225" s="285"/>
      <c r="DQ225" s="285"/>
      <c r="DR225" s="285"/>
      <c r="DS225" s="285"/>
      <c r="DT225" s="285"/>
      <c r="DU225" s="285"/>
      <c r="DV225" s="285"/>
      <c r="DW225" s="285"/>
      <c r="DX225" s="285"/>
      <c r="DY225" s="285"/>
      <c r="DZ225" s="285"/>
      <c r="EA225" s="285"/>
      <c r="EB225" s="285"/>
      <c r="EC225" s="285"/>
      <c r="ED225" s="285"/>
      <c r="EE225" s="285"/>
      <c r="EF225" s="285"/>
      <c r="EG225" s="285"/>
      <c r="EH225" s="285"/>
      <c r="EI225" s="285"/>
      <c r="EJ225" s="285"/>
      <c r="EK225" s="285"/>
      <c r="EL225" s="285"/>
      <c r="EM225" s="285"/>
      <c r="EN225" s="285"/>
      <c r="EO225" s="285"/>
      <c r="EP225" s="285"/>
      <c r="EQ225" s="285"/>
      <c r="ER225" s="330"/>
      <c r="ES225" s="330"/>
      <c r="ET225" s="330"/>
      <c r="EU225" s="285"/>
      <c r="EV225" s="285"/>
      <c r="EW225" s="285"/>
      <c r="EX225" s="285"/>
      <c r="EY225" s="285"/>
      <c r="EZ225" s="285"/>
      <c r="FA225" s="285"/>
      <c r="FB225" s="285"/>
      <c r="FC225" s="285"/>
      <c r="FD225" s="285"/>
      <c r="FE225" s="285"/>
      <c r="FF225" s="285"/>
      <c r="FG225" s="285"/>
      <c r="FH225" s="285"/>
      <c r="FI225" s="285"/>
      <c r="FJ225" s="285"/>
      <c r="FK225" s="285"/>
      <c r="FL225" s="285"/>
      <c r="FM225" s="285"/>
      <c r="FN225" s="285"/>
      <c r="FO225" s="285"/>
      <c r="FP225" s="285"/>
      <c r="FQ225" s="285"/>
      <c r="FR225" s="285"/>
      <c r="FS225" s="285"/>
      <c r="FT225" s="285"/>
      <c r="FU225" s="285"/>
      <c r="FV225" s="330"/>
      <c r="FW225" s="330"/>
      <c r="FX225" s="330"/>
      <c r="FY225" s="285"/>
      <c r="FZ225" s="285"/>
      <c r="GA225" s="285"/>
      <c r="GB225" s="330"/>
      <c r="GC225" s="330"/>
      <c r="GD225" s="330"/>
      <c r="GE225" s="330"/>
      <c r="GF225" s="330"/>
      <c r="GG225" s="330"/>
    </row>
    <row r="226" spans="1:189" s="146" customFormat="1">
      <c r="A226" s="151"/>
      <c r="B226" s="152"/>
      <c r="C226" s="201"/>
      <c r="D226" s="201"/>
      <c r="E226" s="201"/>
      <c r="J226" s="201"/>
      <c r="BE226" s="201"/>
      <c r="BF226" s="201"/>
      <c r="BG226" s="201"/>
      <c r="CI226" s="201"/>
      <c r="CJ226" s="201"/>
      <c r="CK226" s="201"/>
      <c r="CO226" s="295"/>
      <c r="CP226" s="330"/>
      <c r="CQ226" s="330"/>
      <c r="CR226" s="330"/>
      <c r="CS226" s="285"/>
      <c r="CT226" s="285"/>
      <c r="CU226" s="285"/>
      <c r="CV226" s="285"/>
      <c r="CW226" s="330"/>
      <c r="CX226" s="285"/>
      <c r="CY226" s="285"/>
      <c r="CZ226" s="285"/>
      <c r="DA226" s="285"/>
      <c r="DB226" s="285"/>
      <c r="DC226" s="285"/>
      <c r="DD226" s="285"/>
      <c r="DE226" s="285"/>
      <c r="DF226" s="285"/>
      <c r="DG226" s="285"/>
      <c r="DH226" s="285"/>
      <c r="DI226" s="285"/>
      <c r="DJ226" s="285"/>
      <c r="DK226" s="285"/>
      <c r="DL226" s="285"/>
      <c r="DM226" s="285"/>
      <c r="DN226" s="285"/>
      <c r="DO226" s="285"/>
      <c r="DP226" s="285"/>
      <c r="DQ226" s="285"/>
      <c r="DR226" s="285"/>
      <c r="DS226" s="285"/>
      <c r="DT226" s="285"/>
      <c r="DU226" s="285"/>
      <c r="DV226" s="285"/>
      <c r="DW226" s="285"/>
      <c r="DX226" s="285"/>
      <c r="DY226" s="285"/>
      <c r="DZ226" s="285"/>
      <c r="EA226" s="285"/>
      <c r="EB226" s="285"/>
      <c r="EC226" s="285"/>
      <c r="ED226" s="285"/>
      <c r="EE226" s="285"/>
      <c r="EF226" s="285"/>
      <c r="EG226" s="285"/>
      <c r="EH226" s="285"/>
      <c r="EI226" s="285"/>
      <c r="EJ226" s="285"/>
      <c r="EK226" s="285"/>
      <c r="EL226" s="285"/>
      <c r="EM226" s="285"/>
      <c r="EN226" s="285"/>
      <c r="EO226" s="285"/>
      <c r="EP226" s="285"/>
      <c r="EQ226" s="285"/>
      <c r="ER226" s="330"/>
      <c r="ES226" s="330"/>
      <c r="ET226" s="330"/>
      <c r="EU226" s="285"/>
      <c r="EV226" s="285"/>
      <c r="EW226" s="285"/>
      <c r="EX226" s="285"/>
      <c r="EY226" s="285"/>
      <c r="EZ226" s="285"/>
      <c r="FA226" s="285"/>
      <c r="FB226" s="285"/>
      <c r="FC226" s="285"/>
      <c r="FD226" s="285"/>
      <c r="FE226" s="285"/>
      <c r="FF226" s="285"/>
      <c r="FG226" s="285"/>
      <c r="FH226" s="285"/>
      <c r="FI226" s="285"/>
      <c r="FJ226" s="285"/>
      <c r="FK226" s="285"/>
      <c r="FL226" s="285"/>
      <c r="FM226" s="285"/>
      <c r="FN226" s="285"/>
      <c r="FO226" s="285"/>
      <c r="FP226" s="285"/>
      <c r="FQ226" s="285"/>
      <c r="FR226" s="285"/>
      <c r="FS226" s="285"/>
      <c r="FT226" s="285"/>
      <c r="FU226" s="285"/>
      <c r="FV226" s="330"/>
      <c r="FW226" s="330"/>
      <c r="FX226" s="330"/>
      <c r="FY226" s="285"/>
      <c r="FZ226" s="285"/>
      <c r="GA226" s="285"/>
      <c r="GB226" s="330"/>
      <c r="GC226" s="330"/>
      <c r="GD226" s="330"/>
      <c r="GE226" s="330"/>
      <c r="GF226" s="330"/>
      <c r="GG226" s="330"/>
    </row>
    <row r="227" spans="1:189" s="146" customFormat="1">
      <c r="A227" s="151"/>
      <c r="B227" s="152"/>
      <c r="C227" s="201"/>
      <c r="D227" s="201"/>
      <c r="E227" s="201"/>
      <c r="J227" s="201"/>
      <c r="BE227" s="201"/>
      <c r="BF227" s="201"/>
      <c r="BG227" s="201"/>
      <c r="CI227" s="201"/>
      <c r="CJ227" s="201"/>
      <c r="CK227" s="201"/>
      <c r="CO227" s="295"/>
      <c r="CP227" s="330"/>
      <c r="CQ227" s="330"/>
      <c r="CR227" s="330"/>
      <c r="CS227" s="285"/>
      <c r="CT227" s="285"/>
      <c r="CU227" s="285"/>
      <c r="CV227" s="285"/>
      <c r="CW227" s="330"/>
      <c r="CX227" s="285"/>
      <c r="CY227" s="285"/>
      <c r="CZ227" s="285"/>
      <c r="DA227" s="285"/>
      <c r="DB227" s="285"/>
      <c r="DC227" s="285"/>
      <c r="DD227" s="285"/>
      <c r="DE227" s="285"/>
      <c r="DF227" s="285"/>
      <c r="DG227" s="285"/>
      <c r="DH227" s="285"/>
      <c r="DI227" s="285"/>
      <c r="DJ227" s="285"/>
      <c r="DK227" s="285"/>
      <c r="DL227" s="285"/>
      <c r="DM227" s="285"/>
      <c r="DN227" s="285"/>
      <c r="DO227" s="285"/>
      <c r="DP227" s="285"/>
      <c r="DQ227" s="285"/>
      <c r="DR227" s="285"/>
      <c r="DS227" s="285"/>
      <c r="DT227" s="285"/>
      <c r="DU227" s="285"/>
      <c r="DV227" s="285"/>
      <c r="DW227" s="285"/>
      <c r="DX227" s="285"/>
      <c r="DY227" s="285"/>
      <c r="DZ227" s="285"/>
      <c r="EA227" s="285"/>
      <c r="EB227" s="285"/>
      <c r="EC227" s="285"/>
      <c r="ED227" s="285"/>
      <c r="EE227" s="285"/>
      <c r="EF227" s="285"/>
      <c r="EG227" s="285"/>
      <c r="EH227" s="285"/>
      <c r="EI227" s="285"/>
      <c r="EJ227" s="285"/>
      <c r="EK227" s="285"/>
      <c r="EL227" s="285"/>
      <c r="EM227" s="285"/>
      <c r="EN227" s="285"/>
      <c r="EO227" s="285"/>
      <c r="EP227" s="285"/>
      <c r="EQ227" s="285"/>
      <c r="ER227" s="330"/>
      <c r="ES227" s="330"/>
      <c r="ET227" s="330"/>
      <c r="EU227" s="285"/>
      <c r="EV227" s="285"/>
      <c r="EW227" s="285"/>
      <c r="EX227" s="285"/>
      <c r="EY227" s="285"/>
      <c r="EZ227" s="285"/>
      <c r="FA227" s="285"/>
      <c r="FB227" s="285"/>
      <c r="FC227" s="285"/>
      <c r="FD227" s="285"/>
      <c r="FE227" s="285"/>
      <c r="FF227" s="285"/>
      <c r="FG227" s="285"/>
      <c r="FH227" s="285"/>
      <c r="FI227" s="285"/>
      <c r="FJ227" s="285"/>
      <c r="FK227" s="285"/>
      <c r="FL227" s="285"/>
      <c r="FM227" s="285"/>
      <c r="FN227" s="285"/>
      <c r="FO227" s="285"/>
      <c r="FP227" s="285"/>
      <c r="FQ227" s="285"/>
      <c r="FR227" s="285"/>
      <c r="FS227" s="285"/>
      <c r="FT227" s="285"/>
      <c r="FU227" s="285"/>
      <c r="FV227" s="330"/>
      <c r="FW227" s="330"/>
      <c r="FX227" s="330"/>
      <c r="FY227" s="285"/>
      <c r="FZ227" s="285"/>
      <c r="GA227" s="285"/>
      <c r="GB227" s="330"/>
      <c r="GC227" s="330"/>
      <c r="GD227" s="330"/>
      <c r="GE227" s="330"/>
      <c r="GF227" s="330"/>
      <c r="GG227" s="330"/>
    </row>
    <row r="228" spans="1:189" s="146" customFormat="1">
      <c r="A228" s="151"/>
      <c r="B228" s="152"/>
      <c r="C228" s="201"/>
      <c r="D228" s="201"/>
      <c r="E228" s="201"/>
      <c r="J228" s="201"/>
      <c r="BE228" s="201"/>
      <c r="BF228" s="201"/>
      <c r="BG228" s="201"/>
      <c r="CI228" s="201"/>
      <c r="CJ228" s="201"/>
      <c r="CK228" s="201"/>
      <c r="CO228" s="295"/>
      <c r="CP228" s="330"/>
      <c r="CQ228" s="330"/>
      <c r="CR228" s="330"/>
      <c r="CS228" s="285"/>
      <c r="CT228" s="285"/>
      <c r="CU228" s="285"/>
      <c r="CV228" s="285"/>
      <c r="CW228" s="330"/>
      <c r="CX228" s="285"/>
      <c r="CY228" s="285"/>
      <c r="CZ228" s="285"/>
      <c r="DA228" s="285"/>
      <c r="DB228" s="285"/>
      <c r="DC228" s="285"/>
      <c r="DD228" s="285"/>
      <c r="DE228" s="285"/>
      <c r="DF228" s="285"/>
      <c r="DG228" s="285"/>
      <c r="DH228" s="285"/>
      <c r="DI228" s="285"/>
      <c r="DJ228" s="285"/>
      <c r="DK228" s="285"/>
      <c r="DL228" s="285"/>
      <c r="DM228" s="285"/>
      <c r="DN228" s="285"/>
      <c r="DO228" s="285"/>
      <c r="DP228" s="285"/>
      <c r="DQ228" s="285"/>
      <c r="DR228" s="285"/>
      <c r="DS228" s="285"/>
      <c r="DT228" s="285"/>
      <c r="DU228" s="285"/>
      <c r="DV228" s="285"/>
      <c r="DW228" s="285"/>
      <c r="DX228" s="285"/>
      <c r="DY228" s="285"/>
      <c r="DZ228" s="285"/>
      <c r="EA228" s="285"/>
      <c r="EB228" s="285"/>
      <c r="EC228" s="285"/>
      <c r="ED228" s="285"/>
      <c r="EE228" s="285"/>
      <c r="EF228" s="285"/>
      <c r="EG228" s="285"/>
      <c r="EH228" s="285"/>
      <c r="EI228" s="285"/>
      <c r="EJ228" s="285"/>
      <c r="EK228" s="285"/>
      <c r="EL228" s="285"/>
      <c r="EM228" s="285"/>
      <c r="EN228" s="285"/>
      <c r="EO228" s="285"/>
      <c r="EP228" s="285"/>
      <c r="EQ228" s="285"/>
      <c r="ER228" s="330"/>
      <c r="ES228" s="330"/>
      <c r="ET228" s="330"/>
      <c r="EU228" s="285"/>
      <c r="EV228" s="285"/>
      <c r="EW228" s="285"/>
      <c r="EX228" s="285"/>
      <c r="EY228" s="285"/>
      <c r="EZ228" s="285"/>
      <c r="FA228" s="285"/>
      <c r="FB228" s="285"/>
      <c r="FC228" s="285"/>
      <c r="FD228" s="285"/>
      <c r="FE228" s="285"/>
      <c r="FF228" s="285"/>
      <c r="FG228" s="285"/>
      <c r="FH228" s="285"/>
      <c r="FI228" s="285"/>
      <c r="FJ228" s="285"/>
      <c r="FK228" s="285"/>
      <c r="FL228" s="285"/>
      <c r="FM228" s="285"/>
      <c r="FN228" s="285"/>
      <c r="FO228" s="285"/>
      <c r="FP228" s="285"/>
      <c r="FQ228" s="285"/>
      <c r="FR228" s="285"/>
      <c r="FS228" s="285"/>
      <c r="FT228" s="285"/>
      <c r="FU228" s="285"/>
      <c r="FV228" s="330"/>
      <c r="FW228" s="330"/>
      <c r="FX228" s="330"/>
      <c r="FY228" s="285"/>
      <c r="FZ228" s="285"/>
      <c r="GA228" s="285"/>
      <c r="GB228" s="330"/>
      <c r="GC228" s="330"/>
      <c r="GD228" s="330"/>
      <c r="GE228" s="330"/>
      <c r="GF228" s="330"/>
      <c r="GG228" s="330"/>
    </row>
    <row r="229" spans="1:189" s="146" customFormat="1" ht="15.75" customHeight="1">
      <c r="A229" s="151"/>
      <c r="B229" s="152"/>
      <c r="C229" s="201"/>
      <c r="D229" s="201"/>
      <c r="E229" s="201"/>
      <c r="J229" s="201"/>
      <c r="BE229" s="201"/>
      <c r="BF229" s="201"/>
      <c r="BG229" s="201"/>
      <c r="CI229" s="201"/>
      <c r="CJ229" s="201"/>
      <c r="CK229" s="201"/>
      <c r="CO229" s="295"/>
      <c r="CP229" s="330"/>
      <c r="CQ229" s="330"/>
      <c r="CR229" s="330"/>
      <c r="CS229" s="285"/>
      <c r="CT229" s="285"/>
      <c r="CU229" s="285"/>
      <c r="CV229" s="285"/>
      <c r="CW229" s="330"/>
      <c r="CX229" s="285"/>
      <c r="CY229" s="285"/>
      <c r="CZ229" s="285"/>
      <c r="DA229" s="285"/>
      <c r="DB229" s="285"/>
      <c r="DC229" s="285"/>
      <c r="DD229" s="285"/>
      <c r="DE229" s="285"/>
      <c r="DF229" s="285"/>
      <c r="DG229" s="285"/>
      <c r="DH229" s="285"/>
      <c r="DI229" s="285"/>
      <c r="DJ229" s="285"/>
      <c r="DK229" s="285"/>
      <c r="DL229" s="285"/>
      <c r="DM229" s="285"/>
      <c r="DN229" s="285"/>
      <c r="DO229" s="285"/>
      <c r="DP229" s="285"/>
      <c r="DQ229" s="285"/>
      <c r="DR229" s="285"/>
      <c r="DS229" s="285"/>
      <c r="DT229" s="285"/>
      <c r="DU229" s="285"/>
      <c r="DV229" s="285"/>
      <c r="DW229" s="285"/>
      <c r="DX229" s="285"/>
      <c r="DY229" s="285"/>
      <c r="DZ229" s="285"/>
      <c r="EA229" s="285"/>
      <c r="EB229" s="285"/>
      <c r="EC229" s="285"/>
      <c r="ED229" s="285"/>
      <c r="EE229" s="285"/>
      <c r="EF229" s="285"/>
      <c r="EG229" s="285"/>
      <c r="EH229" s="285"/>
      <c r="EI229" s="285"/>
      <c r="EJ229" s="285"/>
      <c r="EK229" s="285"/>
      <c r="EL229" s="285"/>
      <c r="EM229" s="285"/>
      <c r="EN229" s="285"/>
      <c r="EO229" s="285"/>
      <c r="EP229" s="285"/>
      <c r="EQ229" s="285"/>
      <c r="ER229" s="330"/>
      <c r="ES229" s="330"/>
      <c r="ET229" s="330"/>
      <c r="EU229" s="285"/>
      <c r="EV229" s="285"/>
      <c r="EW229" s="285"/>
      <c r="EX229" s="285"/>
      <c r="EY229" s="285"/>
      <c r="EZ229" s="285"/>
      <c r="FA229" s="285"/>
      <c r="FB229" s="285"/>
      <c r="FC229" s="285"/>
      <c r="FD229" s="285"/>
      <c r="FE229" s="285"/>
      <c r="FF229" s="285"/>
      <c r="FG229" s="285"/>
      <c r="FH229" s="285"/>
      <c r="FI229" s="285"/>
      <c r="FJ229" s="285"/>
      <c r="FK229" s="285"/>
      <c r="FL229" s="285"/>
      <c r="FM229" s="285"/>
      <c r="FN229" s="285"/>
      <c r="FO229" s="285"/>
      <c r="FP229" s="285"/>
      <c r="FQ229" s="285"/>
      <c r="FR229" s="285"/>
      <c r="FS229" s="285"/>
      <c r="FT229" s="285"/>
      <c r="FU229" s="285"/>
      <c r="FV229" s="330"/>
      <c r="FW229" s="330"/>
      <c r="FX229" s="330"/>
      <c r="FY229" s="285"/>
      <c r="FZ229" s="285"/>
      <c r="GA229" s="285"/>
      <c r="GB229" s="330"/>
      <c r="GC229" s="330"/>
      <c r="GD229" s="330"/>
      <c r="GE229" s="330"/>
      <c r="GF229" s="330"/>
      <c r="GG229" s="330"/>
    </row>
    <row r="230" spans="1:189" s="146" customFormat="1">
      <c r="A230" s="151"/>
      <c r="B230" s="152"/>
      <c r="C230" s="201"/>
      <c r="D230" s="201"/>
      <c r="E230" s="201"/>
      <c r="J230" s="201"/>
      <c r="BE230" s="201"/>
      <c r="BF230" s="201"/>
      <c r="BG230" s="201"/>
      <c r="CI230" s="201"/>
      <c r="CJ230" s="201"/>
      <c r="CK230" s="201"/>
      <c r="CO230" s="295"/>
      <c r="CP230" s="330"/>
      <c r="CQ230" s="330"/>
      <c r="CR230" s="330"/>
      <c r="CS230" s="285"/>
      <c r="CT230" s="285"/>
      <c r="CU230" s="285"/>
      <c r="CV230" s="285"/>
      <c r="CW230" s="330"/>
      <c r="CX230" s="285"/>
      <c r="CY230" s="285"/>
      <c r="CZ230" s="285"/>
      <c r="DA230" s="285"/>
      <c r="DB230" s="285"/>
      <c r="DC230" s="285"/>
      <c r="DD230" s="285"/>
      <c r="DE230" s="285"/>
      <c r="DF230" s="285"/>
      <c r="DG230" s="285"/>
      <c r="DH230" s="285"/>
      <c r="DI230" s="285"/>
      <c r="DJ230" s="285"/>
      <c r="DK230" s="285"/>
      <c r="DL230" s="285"/>
      <c r="DM230" s="285"/>
      <c r="DN230" s="285"/>
      <c r="DO230" s="285"/>
      <c r="DP230" s="285"/>
      <c r="DQ230" s="285"/>
      <c r="DR230" s="285"/>
      <c r="DS230" s="285"/>
      <c r="DT230" s="285"/>
      <c r="DU230" s="285"/>
      <c r="DV230" s="285"/>
      <c r="DW230" s="285"/>
      <c r="DX230" s="285"/>
      <c r="DY230" s="285"/>
      <c r="DZ230" s="285"/>
      <c r="EA230" s="285"/>
      <c r="EB230" s="285"/>
      <c r="EC230" s="285"/>
      <c r="ED230" s="285"/>
      <c r="EE230" s="285"/>
      <c r="EF230" s="285"/>
      <c r="EG230" s="285"/>
      <c r="EH230" s="285"/>
      <c r="EI230" s="285"/>
      <c r="EJ230" s="285"/>
      <c r="EK230" s="285"/>
      <c r="EL230" s="285"/>
      <c r="EM230" s="285"/>
      <c r="EN230" s="285"/>
      <c r="EO230" s="285"/>
      <c r="EP230" s="285"/>
      <c r="EQ230" s="285"/>
      <c r="ER230" s="330"/>
      <c r="ES230" s="330"/>
      <c r="ET230" s="330"/>
      <c r="EU230" s="285"/>
      <c r="EV230" s="285"/>
      <c r="EW230" s="285"/>
      <c r="EX230" s="285"/>
      <c r="EY230" s="285"/>
      <c r="EZ230" s="285"/>
      <c r="FA230" s="285"/>
      <c r="FB230" s="285"/>
      <c r="FC230" s="285"/>
      <c r="FD230" s="285"/>
      <c r="FE230" s="285"/>
      <c r="FF230" s="285"/>
      <c r="FG230" s="285"/>
      <c r="FH230" s="285"/>
      <c r="FI230" s="285"/>
      <c r="FJ230" s="285"/>
      <c r="FK230" s="285"/>
      <c r="FL230" s="285"/>
      <c r="FM230" s="285"/>
      <c r="FN230" s="285"/>
      <c r="FO230" s="285"/>
      <c r="FP230" s="285"/>
      <c r="FQ230" s="285"/>
      <c r="FR230" s="285"/>
      <c r="FS230" s="285"/>
      <c r="FT230" s="285"/>
      <c r="FU230" s="285"/>
      <c r="FV230" s="330"/>
      <c r="FW230" s="330"/>
      <c r="FX230" s="330"/>
      <c r="FY230" s="285"/>
      <c r="FZ230" s="285"/>
      <c r="GA230" s="285"/>
      <c r="GB230" s="330"/>
      <c r="GC230" s="330"/>
      <c r="GD230" s="330"/>
      <c r="GE230" s="330"/>
      <c r="GF230" s="330"/>
      <c r="GG230" s="330"/>
    </row>
    <row r="231" spans="1:189" s="146" customFormat="1">
      <c r="A231" s="151"/>
      <c r="B231" s="152"/>
      <c r="C231" s="201"/>
      <c r="D231" s="201"/>
      <c r="E231" s="201"/>
      <c r="J231" s="201"/>
      <c r="BE231" s="201"/>
      <c r="BF231" s="201"/>
      <c r="BG231" s="201"/>
      <c r="CI231" s="201"/>
      <c r="CJ231" s="201"/>
      <c r="CK231" s="201"/>
      <c r="CO231" s="295"/>
      <c r="CP231" s="330"/>
      <c r="CQ231" s="330"/>
      <c r="CR231" s="330"/>
      <c r="CS231" s="285"/>
      <c r="CT231" s="285"/>
      <c r="CU231" s="285"/>
      <c r="CV231" s="285"/>
      <c r="CW231" s="330"/>
      <c r="CX231" s="285"/>
      <c r="CY231" s="285"/>
      <c r="CZ231" s="285"/>
      <c r="DA231" s="285"/>
      <c r="DB231" s="285"/>
      <c r="DC231" s="285"/>
      <c r="DD231" s="285"/>
      <c r="DE231" s="285"/>
      <c r="DF231" s="285"/>
      <c r="DG231" s="285"/>
      <c r="DH231" s="285"/>
      <c r="DI231" s="285"/>
      <c r="DJ231" s="285"/>
      <c r="DK231" s="285"/>
      <c r="DL231" s="285"/>
      <c r="DM231" s="285"/>
      <c r="DN231" s="285"/>
      <c r="DO231" s="285"/>
      <c r="DP231" s="285"/>
      <c r="DQ231" s="285"/>
      <c r="DR231" s="285"/>
      <c r="DS231" s="285"/>
      <c r="DT231" s="285"/>
      <c r="DU231" s="285"/>
      <c r="DV231" s="285"/>
      <c r="DW231" s="285"/>
      <c r="DX231" s="285"/>
      <c r="DY231" s="285"/>
      <c r="DZ231" s="285"/>
      <c r="EA231" s="285"/>
      <c r="EB231" s="285"/>
      <c r="EC231" s="285"/>
      <c r="ED231" s="285"/>
      <c r="EE231" s="285"/>
      <c r="EF231" s="285"/>
      <c r="EG231" s="285"/>
      <c r="EH231" s="285"/>
      <c r="EI231" s="285"/>
      <c r="EJ231" s="285"/>
      <c r="EK231" s="285"/>
      <c r="EL231" s="285"/>
      <c r="EM231" s="285"/>
      <c r="EN231" s="285"/>
      <c r="EO231" s="285"/>
      <c r="EP231" s="285"/>
      <c r="EQ231" s="285"/>
      <c r="ER231" s="330"/>
      <c r="ES231" s="330"/>
      <c r="ET231" s="330"/>
      <c r="EU231" s="285"/>
      <c r="EV231" s="285"/>
      <c r="EW231" s="285"/>
      <c r="EX231" s="285"/>
      <c r="EY231" s="285"/>
      <c r="EZ231" s="285"/>
      <c r="FA231" s="285"/>
      <c r="FB231" s="285"/>
      <c r="FC231" s="285"/>
      <c r="FD231" s="285"/>
      <c r="FE231" s="285"/>
      <c r="FF231" s="285"/>
      <c r="FG231" s="285"/>
      <c r="FH231" s="285"/>
      <c r="FI231" s="285"/>
      <c r="FJ231" s="285"/>
      <c r="FK231" s="285"/>
      <c r="FL231" s="285"/>
      <c r="FM231" s="285"/>
      <c r="FN231" s="285"/>
      <c r="FO231" s="285"/>
      <c r="FP231" s="285"/>
      <c r="FQ231" s="285"/>
      <c r="FR231" s="285"/>
      <c r="FS231" s="285"/>
      <c r="FT231" s="285"/>
      <c r="FU231" s="285"/>
      <c r="FV231" s="330"/>
      <c r="FW231" s="330"/>
      <c r="FX231" s="330"/>
      <c r="FY231" s="285"/>
      <c r="FZ231" s="285"/>
      <c r="GA231" s="285"/>
      <c r="GB231" s="330"/>
      <c r="GC231" s="330"/>
      <c r="GD231" s="330"/>
      <c r="GE231" s="330"/>
      <c r="GF231" s="330"/>
      <c r="GG231" s="330"/>
    </row>
    <row r="232" spans="1:189" s="146" customFormat="1">
      <c r="A232" s="151"/>
      <c r="B232" s="152"/>
      <c r="C232" s="201"/>
      <c r="D232" s="201"/>
      <c r="E232" s="201"/>
      <c r="J232" s="201"/>
      <c r="BE232" s="201"/>
      <c r="BF232" s="201"/>
      <c r="BG232" s="201"/>
      <c r="CI232" s="201"/>
      <c r="CJ232" s="201"/>
      <c r="CK232" s="201"/>
      <c r="CO232" s="295"/>
      <c r="CP232" s="330"/>
      <c r="CQ232" s="330"/>
      <c r="CR232" s="330"/>
      <c r="CS232" s="285"/>
      <c r="CT232" s="285"/>
      <c r="CU232" s="285"/>
      <c r="CV232" s="285"/>
      <c r="CW232" s="330"/>
      <c r="CX232" s="285"/>
      <c r="CY232" s="285"/>
      <c r="CZ232" s="285"/>
      <c r="DA232" s="285"/>
      <c r="DB232" s="285"/>
      <c r="DC232" s="285"/>
      <c r="DD232" s="285"/>
      <c r="DE232" s="285"/>
      <c r="DF232" s="285"/>
      <c r="DG232" s="285"/>
      <c r="DH232" s="285"/>
      <c r="DI232" s="285"/>
      <c r="DJ232" s="285"/>
      <c r="DK232" s="285"/>
      <c r="DL232" s="285"/>
      <c r="DM232" s="285"/>
      <c r="DN232" s="285"/>
      <c r="DO232" s="285"/>
      <c r="DP232" s="285"/>
      <c r="DQ232" s="285"/>
      <c r="DR232" s="285"/>
      <c r="DS232" s="285"/>
      <c r="DT232" s="285"/>
      <c r="DU232" s="285"/>
      <c r="DV232" s="285"/>
      <c r="DW232" s="285"/>
      <c r="DX232" s="285"/>
      <c r="DY232" s="285"/>
      <c r="DZ232" s="285"/>
      <c r="EA232" s="285"/>
      <c r="EB232" s="285"/>
      <c r="EC232" s="285"/>
      <c r="ED232" s="285"/>
      <c r="EE232" s="285"/>
      <c r="EF232" s="285"/>
      <c r="EG232" s="285"/>
      <c r="EH232" s="285"/>
      <c r="EI232" s="285"/>
      <c r="EJ232" s="285"/>
      <c r="EK232" s="285"/>
      <c r="EL232" s="285"/>
      <c r="EM232" s="285"/>
      <c r="EN232" s="285"/>
      <c r="EO232" s="285"/>
      <c r="EP232" s="285"/>
      <c r="EQ232" s="285"/>
      <c r="ER232" s="330"/>
      <c r="ES232" s="330"/>
      <c r="ET232" s="330"/>
      <c r="EU232" s="285"/>
      <c r="EV232" s="285"/>
      <c r="EW232" s="285"/>
      <c r="EX232" s="285"/>
      <c r="EY232" s="285"/>
      <c r="EZ232" s="285"/>
      <c r="FA232" s="285"/>
      <c r="FB232" s="285"/>
      <c r="FC232" s="285"/>
      <c r="FD232" s="285"/>
      <c r="FE232" s="285"/>
      <c r="FF232" s="285"/>
      <c r="FG232" s="285"/>
      <c r="FH232" s="285"/>
      <c r="FI232" s="285"/>
      <c r="FJ232" s="285"/>
      <c r="FK232" s="285"/>
      <c r="FL232" s="285"/>
      <c r="FM232" s="285"/>
      <c r="FN232" s="285"/>
      <c r="FO232" s="285"/>
      <c r="FP232" s="285"/>
      <c r="FQ232" s="285"/>
      <c r="FR232" s="285"/>
      <c r="FS232" s="285"/>
      <c r="FT232" s="285"/>
      <c r="FU232" s="285"/>
      <c r="FV232" s="330"/>
      <c r="FW232" s="330"/>
      <c r="FX232" s="330"/>
      <c r="FY232" s="285"/>
      <c r="FZ232" s="285"/>
      <c r="GA232" s="285"/>
      <c r="GB232" s="330"/>
      <c r="GC232" s="330"/>
      <c r="GD232" s="330"/>
      <c r="GE232" s="330"/>
      <c r="GF232" s="330"/>
      <c r="GG232" s="330"/>
    </row>
    <row r="233" spans="1:189" s="146" customFormat="1" ht="15.75" customHeight="1">
      <c r="A233" s="151"/>
      <c r="B233" s="152"/>
      <c r="C233" s="201"/>
      <c r="D233" s="201"/>
      <c r="E233" s="201"/>
      <c r="J233" s="201"/>
      <c r="BE233" s="201"/>
      <c r="BF233" s="201"/>
      <c r="BG233" s="201"/>
      <c r="CI233" s="201"/>
      <c r="CJ233" s="201"/>
      <c r="CK233" s="201"/>
      <c r="CO233" s="295"/>
      <c r="CP233" s="330"/>
      <c r="CQ233" s="330"/>
      <c r="CR233" s="330"/>
      <c r="CS233" s="285"/>
      <c r="CT233" s="285"/>
      <c r="CU233" s="285"/>
      <c r="CV233" s="285"/>
      <c r="CW233" s="330"/>
      <c r="CX233" s="285"/>
      <c r="CY233" s="285"/>
      <c r="CZ233" s="285"/>
      <c r="DA233" s="285"/>
      <c r="DB233" s="285"/>
      <c r="DC233" s="285"/>
      <c r="DD233" s="285"/>
      <c r="DE233" s="285"/>
      <c r="DF233" s="285"/>
      <c r="DG233" s="285"/>
      <c r="DH233" s="285"/>
      <c r="DI233" s="285"/>
      <c r="DJ233" s="285"/>
      <c r="DK233" s="285"/>
      <c r="DL233" s="285"/>
      <c r="DM233" s="285"/>
      <c r="DN233" s="285"/>
      <c r="DO233" s="285"/>
      <c r="DP233" s="285"/>
      <c r="DQ233" s="285"/>
      <c r="DR233" s="285"/>
      <c r="DS233" s="285"/>
      <c r="DT233" s="285"/>
      <c r="DU233" s="285"/>
      <c r="DV233" s="285"/>
      <c r="DW233" s="285"/>
      <c r="DX233" s="285"/>
      <c r="DY233" s="285"/>
      <c r="DZ233" s="285"/>
      <c r="EA233" s="285"/>
      <c r="EB233" s="285"/>
      <c r="EC233" s="285"/>
      <c r="ED233" s="285"/>
      <c r="EE233" s="285"/>
      <c r="EF233" s="285"/>
      <c r="EG233" s="285"/>
      <c r="EH233" s="285"/>
      <c r="EI233" s="285"/>
      <c r="EJ233" s="285"/>
      <c r="EK233" s="285"/>
      <c r="EL233" s="285"/>
      <c r="EM233" s="285"/>
      <c r="EN233" s="285"/>
      <c r="EO233" s="285"/>
      <c r="EP233" s="285"/>
      <c r="EQ233" s="285"/>
      <c r="ER233" s="330"/>
      <c r="ES233" s="330"/>
      <c r="ET233" s="330"/>
      <c r="EU233" s="285"/>
      <c r="EV233" s="285"/>
      <c r="EW233" s="285"/>
      <c r="EX233" s="285"/>
      <c r="EY233" s="285"/>
      <c r="EZ233" s="285"/>
      <c r="FA233" s="285"/>
      <c r="FB233" s="285"/>
      <c r="FC233" s="285"/>
      <c r="FD233" s="285"/>
      <c r="FE233" s="285"/>
      <c r="FF233" s="285"/>
      <c r="FG233" s="285"/>
      <c r="FH233" s="285"/>
      <c r="FI233" s="285"/>
      <c r="FJ233" s="285"/>
      <c r="FK233" s="285"/>
      <c r="FL233" s="285"/>
      <c r="FM233" s="285"/>
      <c r="FN233" s="285"/>
      <c r="FO233" s="285"/>
      <c r="FP233" s="285"/>
      <c r="FQ233" s="285"/>
      <c r="FR233" s="285"/>
      <c r="FS233" s="285"/>
      <c r="FT233" s="285"/>
      <c r="FU233" s="285"/>
      <c r="FV233" s="330"/>
      <c r="FW233" s="330"/>
      <c r="FX233" s="330"/>
      <c r="FY233" s="285"/>
      <c r="FZ233" s="285"/>
      <c r="GA233" s="285"/>
      <c r="GB233" s="330"/>
      <c r="GC233" s="330"/>
      <c r="GD233" s="330"/>
      <c r="GE233" s="330"/>
      <c r="GF233" s="330"/>
      <c r="GG233" s="330"/>
    </row>
    <row r="234" spans="1:189" s="146" customFormat="1">
      <c r="A234" s="151"/>
      <c r="B234" s="152"/>
      <c r="C234" s="201"/>
      <c r="D234" s="201"/>
      <c r="E234" s="201"/>
      <c r="J234" s="201"/>
      <c r="BE234" s="201"/>
      <c r="BF234" s="201"/>
      <c r="BG234" s="201"/>
      <c r="CI234" s="201"/>
      <c r="CJ234" s="201"/>
      <c r="CK234" s="201"/>
      <c r="CO234" s="295"/>
      <c r="CP234" s="330"/>
      <c r="CQ234" s="330"/>
      <c r="CR234" s="330"/>
      <c r="CS234" s="285"/>
      <c r="CT234" s="285"/>
      <c r="CU234" s="285"/>
      <c r="CV234" s="285"/>
      <c r="CW234" s="330"/>
      <c r="CX234" s="285"/>
      <c r="CY234" s="285"/>
      <c r="CZ234" s="285"/>
      <c r="DA234" s="285"/>
      <c r="DB234" s="285"/>
      <c r="DC234" s="285"/>
      <c r="DD234" s="285"/>
      <c r="DE234" s="285"/>
      <c r="DF234" s="285"/>
      <c r="DG234" s="285"/>
      <c r="DH234" s="285"/>
      <c r="DI234" s="285"/>
      <c r="DJ234" s="285"/>
      <c r="DK234" s="285"/>
      <c r="DL234" s="285"/>
      <c r="DM234" s="285"/>
      <c r="DN234" s="285"/>
      <c r="DO234" s="285"/>
      <c r="DP234" s="285"/>
      <c r="DQ234" s="285"/>
      <c r="DR234" s="285"/>
      <c r="DS234" s="285"/>
      <c r="DT234" s="285"/>
      <c r="DU234" s="285"/>
      <c r="DV234" s="285"/>
      <c r="DW234" s="285"/>
      <c r="DX234" s="285"/>
      <c r="DY234" s="285"/>
      <c r="DZ234" s="285"/>
      <c r="EA234" s="285"/>
      <c r="EB234" s="285"/>
      <c r="EC234" s="285"/>
      <c r="ED234" s="285"/>
      <c r="EE234" s="285"/>
      <c r="EF234" s="285"/>
      <c r="EG234" s="285"/>
      <c r="EH234" s="285"/>
      <c r="EI234" s="285"/>
      <c r="EJ234" s="285"/>
      <c r="EK234" s="285"/>
      <c r="EL234" s="285"/>
      <c r="EM234" s="285"/>
      <c r="EN234" s="285"/>
      <c r="EO234" s="285"/>
      <c r="EP234" s="285"/>
      <c r="EQ234" s="285"/>
      <c r="ER234" s="330"/>
      <c r="ES234" s="330"/>
      <c r="ET234" s="330"/>
      <c r="EU234" s="285"/>
      <c r="EV234" s="285"/>
      <c r="EW234" s="285"/>
      <c r="EX234" s="285"/>
      <c r="EY234" s="285"/>
      <c r="EZ234" s="285"/>
      <c r="FA234" s="285"/>
      <c r="FB234" s="285"/>
      <c r="FC234" s="285"/>
      <c r="FD234" s="285"/>
      <c r="FE234" s="285"/>
      <c r="FF234" s="285"/>
      <c r="FG234" s="285"/>
      <c r="FH234" s="285"/>
      <c r="FI234" s="285"/>
      <c r="FJ234" s="285"/>
      <c r="FK234" s="285"/>
      <c r="FL234" s="285"/>
      <c r="FM234" s="285"/>
      <c r="FN234" s="285"/>
      <c r="FO234" s="285"/>
      <c r="FP234" s="285"/>
      <c r="FQ234" s="285"/>
      <c r="FR234" s="285"/>
      <c r="FS234" s="285"/>
      <c r="FT234" s="285"/>
      <c r="FU234" s="285"/>
      <c r="FV234" s="330"/>
      <c r="FW234" s="330"/>
      <c r="FX234" s="330"/>
      <c r="FY234" s="285"/>
      <c r="FZ234" s="285"/>
      <c r="GA234" s="285"/>
      <c r="GB234" s="330"/>
      <c r="GC234" s="330"/>
      <c r="GD234" s="330"/>
      <c r="GE234" s="330"/>
      <c r="GF234" s="330"/>
      <c r="GG234" s="330"/>
    </row>
    <row r="235" spans="1:189" s="146" customFormat="1">
      <c r="A235" s="151"/>
      <c r="B235" s="152"/>
      <c r="C235" s="201"/>
      <c r="D235" s="201"/>
      <c r="E235" s="201"/>
      <c r="J235" s="201"/>
      <c r="BE235" s="201"/>
      <c r="BF235" s="201"/>
      <c r="BG235" s="201"/>
      <c r="CI235" s="201"/>
      <c r="CJ235" s="201"/>
      <c r="CK235" s="201"/>
      <c r="CO235" s="295"/>
      <c r="CP235" s="330"/>
      <c r="CQ235" s="330"/>
      <c r="CR235" s="330"/>
      <c r="CS235" s="285"/>
      <c r="CT235" s="285"/>
      <c r="CU235" s="285"/>
      <c r="CV235" s="285"/>
      <c r="CW235" s="330"/>
      <c r="CX235" s="285"/>
      <c r="CY235" s="285"/>
      <c r="CZ235" s="285"/>
      <c r="DA235" s="285"/>
      <c r="DB235" s="285"/>
      <c r="DC235" s="285"/>
      <c r="DD235" s="285"/>
      <c r="DE235" s="285"/>
      <c r="DF235" s="285"/>
      <c r="DG235" s="285"/>
      <c r="DH235" s="285"/>
      <c r="DI235" s="285"/>
      <c r="DJ235" s="285"/>
      <c r="DK235" s="285"/>
      <c r="DL235" s="285"/>
      <c r="DM235" s="285"/>
      <c r="DN235" s="285"/>
      <c r="DO235" s="285"/>
      <c r="DP235" s="285"/>
      <c r="DQ235" s="285"/>
      <c r="DR235" s="285"/>
      <c r="DS235" s="285"/>
      <c r="DT235" s="285"/>
      <c r="DU235" s="285"/>
      <c r="DV235" s="285"/>
      <c r="DW235" s="285"/>
      <c r="DX235" s="285"/>
      <c r="DY235" s="285"/>
      <c r="DZ235" s="285"/>
      <c r="EA235" s="285"/>
      <c r="EB235" s="285"/>
      <c r="EC235" s="285"/>
      <c r="ED235" s="285"/>
      <c r="EE235" s="285"/>
      <c r="EF235" s="285"/>
      <c r="EG235" s="285"/>
      <c r="EH235" s="285"/>
      <c r="EI235" s="285"/>
      <c r="EJ235" s="285"/>
      <c r="EK235" s="285"/>
      <c r="EL235" s="285"/>
      <c r="EM235" s="285"/>
      <c r="EN235" s="285"/>
      <c r="EO235" s="285"/>
      <c r="EP235" s="285"/>
      <c r="EQ235" s="285"/>
      <c r="ER235" s="330"/>
      <c r="ES235" s="330"/>
      <c r="ET235" s="330"/>
      <c r="EU235" s="285"/>
      <c r="EV235" s="285"/>
      <c r="EW235" s="285"/>
      <c r="EX235" s="285"/>
      <c r="EY235" s="285"/>
      <c r="EZ235" s="285"/>
      <c r="FA235" s="285"/>
      <c r="FB235" s="285"/>
      <c r="FC235" s="285"/>
      <c r="FD235" s="285"/>
      <c r="FE235" s="285"/>
      <c r="FF235" s="285"/>
      <c r="FG235" s="285"/>
      <c r="FH235" s="285"/>
      <c r="FI235" s="285"/>
      <c r="FJ235" s="285"/>
      <c r="FK235" s="285"/>
      <c r="FL235" s="285"/>
      <c r="FM235" s="285"/>
      <c r="FN235" s="285"/>
      <c r="FO235" s="285"/>
      <c r="FP235" s="285"/>
      <c r="FQ235" s="285"/>
      <c r="FR235" s="285"/>
      <c r="FS235" s="285"/>
      <c r="FT235" s="285"/>
      <c r="FU235" s="285"/>
      <c r="FV235" s="330"/>
      <c r="FW235" s="330"/>
      <c r="FX235" s="330"/>
      <c r="FY235" s="285"/>
      <c r="FZ235" s="285"/>
      <c r="GA235" s="285"/>
      <c r="GB235" s="330"/>
      <c r="GC235" s="330"/>
      <c r="GD235" s="330"/>
      <c r="GE235" s="330"/>
      <c r="GF235" s="330"/>
      <c r="GG235" s="330"/>
    </row>
    <row r="236" spans="1:189" s="146" customFormat="1">
      <c r="A236" s="151"/>
      <c r="B236" s="152"/>
      <c r="C236" s="201"/>
      <c r="D236" s="201"/>
      <c r="E236" s="201"/>
      <c r="J236" s="201"/>
      <c r="BE236" s="201"/>
      <c r="BF236" s="201"/>
      <c r="BG236" s="201"/>
      <c r="CI236" s="201"/>
      <c r="CJ236" s="201"/>
      <c r="CK236" s="201"/>
      <c r="CO236" s="295"/>
      <c r="CP236" s="330"/>
      <c r="CQ236" s="330"/>
      <c r="CR236" s="330"/>
      <c r="CS236" s="285"/>
      <c r="CT236" s="285"/>
      <c r="CU236" s="285"/>
      <c r="CV236" s="285"/>
      <c r="CW236" s="330"/>
      <c r="CX236" s="285"/>
      <c r="CY236" s="285"/>
      <c r="CZ236" s="285"/>
      <c r="DA236" s="285"/>
      <c r="DB236" s="285"/>
      <c r="DC236" s="285"/>
      <c r="DD236" s="285"/>
      <c r="DE236" s="285"/>
      <c r="DF236" s="285"/>
      <c r="DG236" s="285"/>
      <c r="DH236" s="285"/>
      <c r="DI236" s="285"/>
      <c r="DJ236" s="285"/>
      <c r="DK236" s="285"/>
      <c r="DL236" s="285"/>
      <c r="DM236" s="285"/>
      <c r="DN236" s="285"/>
      <c r="DO236" s="285"/>
      <c r="DP236" s="285"/>
      <c r="DQ236" s="285"/>
      <c r="DR236" s="285"/>
      <c r="DS236" s="285"/>
      <c r="DT236" s="285"/>
      <c r="DU236" s="285"/>
      <c r="DV236" s="285"/>
      <c r="DW236" s="285"/>
      <c r="DX236" s="285"/>
      <c r="DY236" s="285"/>
      <c r="DZ236" s="285"/>
      <c r="EA236" s="285"/>
      <c r="EB236" s="285"/>
      <c r="EC236" s="285"/>
      <c r="ED236" s="285"/>
      <c r="EE236" s="285"/>
      <c r="EF236" s="285"/>
      <c r="EG236" s="285"/>
      <c r="EH236" s="285"/>
      <c r="EI236" s="285"/>
      <c r="EJ236" s="285"/>
      <c r="EK236" s="285"/>
      <c r="EL236" s="285"/>
      <c r="EM236" s="285"/>
      <c r="EN236" s="285"/>
      <c r="EO236" s="285"/>
      <c r="EP236" s="285"/>
      <c r="EQ236" s="285"/>
      <c r="ER236" s="330"/>
      <c r="ES236" s="330"/>
      <c r="ET236" s="330"/>
      <c r="EU236" s="285"/>
      <c r="EV236" s="285"/>
      <c r="EW236" s="285"/>
      <c r="EX236" s="285"/>
      <c r="EY236" s="285"/>
      <c r="EZ236" s="285"/>
      <c r="FA236" s="285"/>
      <c r="FB236" s="285"/>
      <c r="FC236" s="285"/>
      <c r="FD236" s="285"/>
      <c r="FE236" s="285"/>
      <c r="FF236" s="285"/>
      <c r="FG236" s="285"/>
      <c r="FH236" s="285"/>
      <c r="FI236" s="285"/>
      <c r="FJ236" s="285"/>
      <c r="FK236" s="285"/>
      <c r="FL236" s="285"/>
      <c r="FM236" s="285"/>
      <c r="FN236" s="285"/>
      <c r="FO236" s="285"/>
      <c r="FP236" s="285"/>
      <c r="FQ236" s="285"/>
      <c r="FR236" s="285"/>
      <c r="FS236" s="285"/>
      <c r="FT236" s="285"/>
      <c r="FU236" s="285"/>
      <c r="FV236" s="330"/>
      <c r="FW236" s="330"/>
      <c r="FX236" s="330"/>
      <c r="FY236" s="285"/>
      <c r="FZ236" s="285"/>
      <c r="GA236" s="285"/>
      <c r="GB236" s="330"/>
      <c r="GC236" s="330"/>
      <c r="GD236" s="330"/>
      <c r="GE236" s="330"/>
      <c r="GF236" s="330"/>
      <c r="GG236" s="330"/>
    </row>
    <row r="237" spans="1:189" s="146" customFormat="1" ht="15.75" customHeight="1">
      <c r="A237" s="151"/>
      <c r="B237" s="152"/>
      <c r="C237" s="201"/>
      <c r="D237" s="201"/>
      <c r="E237" s="201"/>
      <c r="J237" s="201"/>
      <c r="BE237" s="201"/>
      <c r="BF237" s="201"/>
      <c r="BG237" s="201"/>
      <c r="CI237" s="201"/>
      <c r="CJ237" s="201"/>
      <c r="CK237" s="201"/>
      <c r="CO237" s="295"/>
      <c r="CP237" s="330"/>
      <c r="CQ237" s="330"/>
      <c r="CR237" s="330"/>
      <c r="CS237" s="285"/>
      <c r="CT237" s="285"/>
      <c r="CU237" s="285"/>
      <c r="CV237" s="285"/>
      <c r="CW237" s="330"/>
      <c r="CX237" s="285"/>
      <c r="CY237" s="285"/>
      <c r="CZ237" s="285"/>
      <c r="DA237" s="285"/>
      <c r="DB237" s="285"/>
      <c r="DC237" s="285"/>
      <c r="DD237" s="285"/>
      <c r="DE237" s="285"/>
      <c r="DF237" s="285"/>
      <c r="DG237" s="285"/>
      <c r="DH237" s="285"/>
      <c r="DI237" s="285"/>
      <c r="DJ237" s="285"/>
      <c r="DK237" s="285"/>
      <c r="DL237" s="285"/>
      <c r="DM237" s="285"/>
      <c r="DN237" s="285"/>
      <c r="DO237" s="285"/>
      <c r="DP237" s="285"/>
      <c r="DQ237" s="285"/>
      <c r="DR237" s="285"/>
      <c r="DS237" s="285"/>
      <c r="DT237" s="285"/>
      <c r="DU237" s="285"/>
      <c r="DV237" s="285"/>
      <c r="DW237" s="285"/>
      <c r="DX237" s="285"/>
      <c r="DY237" s="285"/>
      <c r="DZ237" s="285"/>
      <c r="EA237" s="285"/>
      <c r="EB237" s="285"/>
      <c r="EC237" s="285"/>
      <c r="ED237" s="285"/>
      <c r="EE237" s="285"/>
      <c r="EF237" s="285"/>
      <c r="EG237" s="285"/>
      <c r="EH237" s="285"/>
      <c r="EI237" s="285"/>
      <c r="EJ237" s="285"/>
      <c r="EK237" s="285"/>
      <c r="EL237" s="285"/>
      <c r="EM237" s="285"/>
      <c r="EN237" s="285"/>
      <c r="EO237" s="285"/>
      <c r="EP237" s="285"/>
      <c r="EQ237" s="285"/>
      <c r="ER237" s="330"/>
      <c r="ES237" s="330"/>
      <c r="ET237" s="330"/>
      <c r="EU237" s="285"/>
      <c r="EV237" s="285"/>
      <c r="EW237" s="285"/>
      <c r="EX237" s="285"/>
      <c r="EY237" s="285"/>
      <c r="EZ237" s="285"/>
      <c r="FA237" s="285"/>
      <c r="FB237" s="285"/>
      <c r="FC237" s="285"/>
      <c r="FD237" s="285"/>
      <c r="FE237" s="285"/>
      <c r="FF237" s="285"/>
      <c r="FG237" s="285"/>
      <c r="FH237" s="285"/>
      <c r="FI237" s="285"/>
      <c r="FJ237" s="285"/>
      <c r="FK237" s="285"/>
      <c r="FL237" s="285"/>
      <c r="FM237" s="285"/>
      <c r="FN237" s="285"/>
      <c r="FO237" s="285"/>
      <c r="FP237" s="285"/>
      <c r="FQ237" s="285"/>
      <c r="FR237" s="285"/>
      <c r="FS237" s="285"/>
      <c r="FT237" s="285"/>
      <c r="FU237" s="285"/>
      <c r="FV237" s="330"/>
      <c r="FW237" s="330"/>
      <c r="FX237" s="330"/>
      <c r="FY237" s="285"/>
      <c r="FZ237" s="285"/>
      <c r="GA237" s="285"/>
      <c r="GB237" s="330"/>
      <c r="GC237" s="330"/>
      <c r="GD237" s="330"/>
      <c r="GE237" s="330"/>
      <c r="GF237" s="330"/>
      <c r="GG237" s="330"/>
    </row>
    <row r="238" spans="1:189" s="146" customFormat="1">
      <c r="A238" s="151"/>
      <c r="B238" s="152"/>
      <c r="C238" s="201"/>
      <c r="D238" s="201"/>
      <c r="E238" s="201"/>
      <c r="J238" s="201"/>
      <c r="BE238" s="201"/>
      <c r="BF238" s="201"/>
      <c r="BG238" s="201"/>
      <c r="CI238" s="201"/>
      <c r="CJ238" s="201"/>
      <c r="CK238" s="201"/>
      <c r="CO238" s="295"/>
      <c r="CP238" s="330"/>
      <c r="CQ238" s="330"/>
      <c r="CR238" s="330"/>
      <c r="CS238" s="285"/>
      <c r="CT238" s="285"/>
      <c r="CU238" s="285"/>
      <c r="CV238" s="285"/>
      <c r="CW238" s="330"/>
      <c r="CX238" s="285"/>
      <c r="CY238" s="285"/>
      <c r="CZ238" s="285"/>
      <c r="DA238" s="285"/>
      <c r="DB238" s="285"/>
      <c r="DC238" s="285"/>
      <c r="DD238" s="285"/>
      <c r="DE238" s="285"/>
      <c r="DF238" s="285"/>
      <c r="DG238" s="285"/>
      <c r="DH238" s="285"/>
      <c r="DI238" s="285"/>
      <c r="DJ238" s="285"/>
      <c r="DK238" s="285"/>
      <c r="DL238" s="285"/>
      <c r="DM238" s="285"/>
      <c r="DN238" s="285"/>
      <c r="DO238" s="285"/>
      <c r="DP238" s="285"/>
      <c r="DQ238" s="285"/>
      <c r="DR238" s="285"/>
      <c r="DS238" s="285"/>
      <c r="DT238" s="285"/>
      <c r="DU238" s="285"/>
      <c r="DV238" s="285"/>
      <c r="DW238" s="285"/>
      <c r="DX238" s="285"/>
      <c r="DY238" s="285"/>
      <c r="DZ238" s="285"/>
      <c r="EA238" s="285"/>
      <c r="EB238" s="285"/>
      <c r="EC238" s="285"/>
      <c r="ED238" s="285"/>
      <c r="EE238" s="285"/>
      <c r="EF238" s="285"/>
      <c r="EG238" s="285"/>
      <c r="EH238" s="285"/>
      <c r="EI238" s="285"/>
      <c r="EJ238" s="285"/>
      <c r="EK238" s="285"/>
      <c r="EL238" s="285"/>
      <c r="EM238" s="285"/>
      <c r="EN238" s="285"/>
      <c r="EO238" s="285"/>
      <c r="EP238" s="285"/>
      <c r="EQ238" s="285"/>
      <c r="ER238" s="330"/>
      <c r="ES238" s="330"/>
      <c r="ET238" s="330"/>
      <c r="EU238" s="285"/>
      <c r="EV238" s="285"/>
      <c r="EW238" s="285"/>
      <c r="EX238" s="285"/>
      <c r="EY238" s="285"/>
      <c r="EZ238" s="285"/>
      <c r="FA238" s="285"/>
      <c r="FB238" s="285"/>
      <c r="FC238" s="285"/>
      <c r="FD238" s="285"/>
      <c r="FE238" s="285"/>
      <c r="FF238" s="285"/>
      <c r="FG238" s="285"/>
      <c r="FH238" s="285"/>
      <c r="FI238" s="285"/>
      <c r="FJ238" s="285"/>
      <c r="FK238" s="285"/>
      <c r="FL238" s="285"/>
      <c r="FM238" s="285"/>
      <c r="FN238" s="285"/>
      <c r="FO238" s="285"/>
      <c r="FP238" s="285"/>
      <c r="FQ238" s="285"/>
      <c r="FR238" s="285"/>
      <c r="FS238" s="285"/>
      <c r="FT238" s="285"/>
      <c r="FU238" s="285"/>
      <c r="FV238" s="330"/>
      <c r="FW238" s="330"/>
      <c r="FX238" s="330"/>
      <c r="FY238" s="285"/>
      <c r="FZ238" s="285"/>
      <c r="GA238" s="285"/>
      <c r="GB238" s="330"/>
      <c r="GC238" s="330"/>
      <c r="GD238" s="330"/>
      <c r="GE238" s="330"/>
      <c r="GF238" s="330"/>
      <c r="GG238" s="330"/>
    </row>
    <row r="239" spans="1:189" s="146" customFormat="1">
      <c r="A239" s="151"/>
      <c r="B239" s="152"/>
      <c r="C239" s="201"/>
      <c r="D239" s="201"/>
      <c r="E239" s="201"/>
      <c r="J239" s="201"/>
      <c r="BE239" s="201"/>
      <c r="BF239" s="201"/>
      <c r="BG239" s="201"/>
      <c r="CI239" s="201"/>
      <c r="CJ239" s="201"/>
      <c r="CK239" s="201"/>
      <c r="CO239" s="295"/>
      <c r="CP239" s="330"/>
      <c r="CQ239" s="330"/>
      <c r="CR239" s="330"/>
      <c r="CS239" s="285"/>
      <c r="CT239" s="285"/>
      <c r="CU239" s="285"/>
      <c r="CV239" s="285"/>
      <c r="CW239" s="330"/>
      <c r="CX239" s="285"/>
      <c r="CY239" s="285"/>
      <c r="CZ239" s="285"/>
      <c r="DA239" s="285"/>
      <c r="DB239" s="285"/>
      <c r="DC239" s="285"/>
      <c r="DD239" s="285"/>
      <c r="DE239" s="285"/>
      <c r="DF239" s="285"/>
      <c r="DG239" s="285"/>
      <c r="DH239" s="285"/>
      <c r="DI239" s="285"/>
      <c r="DJ239" s="285"/>
      <c r="DK239" s="285"/>
      <c r="DL239" s="285"/>
      <c r="DM239" s="285"/>
      <c r="DN239" s="285"/>
      <c r="DO239" s="285"/>
      <c r="DP239" s="285"/>
      <c r="DQ239" s="285"/>
      <c r="DR239" s="285"/>
      <c r="DS239" s="285"/>
      <c r="DT239" s="285"/>
      <c r="DU239" s="285"/>
      <c r="DV239" s="285"/>
      <c r="DW239" s="285"/>
      <c r="DX239" s="285"/>
      <c r="DY239" s="285"/>
      <c r="DZ239" s="285"/>
      <c r="EA239" s="285"/>
      <c r="EB239" s="285"/>
      <c r="EC239" s="285"/>
      <c r="ED239" s="285"/>
      <c r="EE239" s="285"/>
      <c r="EF239" s="285"/>
      <c r="EG239" s="285"/>
      <c r="EH239" s="285"/>
      <c r="EI239" s="285"/>
      <c r="EJ239" s="285"/>
      <c r="EK239" s="285"/>
      <c r="EL239" s="285"/>
      <c r="EM239" s="285"/>
      <c r="EN239" s="285"/>
      <c r="EO239" s="285"/>
      <c r="EP239" s="285"/>
      <c r="EQ239" s="285"/>
      <c r="ER239" s="330"/>
      <c r="ES239" s="330"/>
      <c r="ET239" s="330"/>
      <c r="EU239" s="285"/>
      <c r="EV239" s="285"/>
      <c r="EW239" s="285"/>
      <c r="EX239" s="285"/>
      <c r="EY239" s="285"/>
      <c r="EZ239" s="285"/>
      <c r="FA239" s="285"/>
      <c r="FB239" s="285"/>
      <c r="FC239" s="285"/>
      <c r="FD239" s="285"/>
      <c r="FE239" s="285"/>
      <c r="FF239" s="285"/>
      <c r="FG239" s="285"/>
      <c r="FH239" s="285"/>
      <c r="FI239" s="285"/>
      <c r="FJ239" s="285"/>
      <c r="FK239" s="285"/>
      <c r="FL239" s="285"/>
      <c r="FM239" s="285"/>
      <c r="FN239" s="285"/>
      <c r="FO239" s="285"/>
      <c r="FP239" s="285"/>
      <c r="FQ239" s="285"/>
      <c r="FR239" s="285"/>
      <c r="FS239" s="285"/>
      <c r="FT239" s="285"/>
      <c r="FU239" s="285"/>
      <c r="FV239" s="330"/>
      <c r="FW239" s="330"/>
      <c r="FX239" s="330"/>
      <c r="FY239" s="285"/>
      <c r="FZ239" s="285"/>
      <c r="GA239" s="285"/>
      <c r="GB239" s="330"/>
      <c r="GC239" s="330"/>
      <c r="GD239" s="330"/>
      <c r="GE239" s="330"/>
      <c r="GF239" s="330"/>
      <c r="GG239" s="330"/>
    </row>
    <row r="240" spans="1:189" s="146" customFormat="1">
      <c r="A240" s="151"/>
      <c r="B240" s="152"/>
      <c r="C240" s="201"/>
      <c r="D240" s="201"/>
      <c r="E240" s="201"/>
      <c r="J240" s="201"/>
      <c r="BE240" s="201"/>
      <c r="BF240" s="201"/>
      <c r="BG240" s="201"/>
      <c r="CI240" s="201"/>
      <c r="CJ240" s="201"/>
      <c r="CK240" s="201"/>
      <c r="CO240" s="295"/>
      <c r="CP240" s="330"/>
      <c r="CQ240" s="330"/>
      <c r="CR240" s="330"/>
      <c r="CS240" s="285"/>
      <c r="CT240" s="285"/>
      <c r="CU240" s="285"/>
      <c r="CV240" s="285"/>
      <c r="CW240" s="330"/>
      <c r="CX240" s="285"/>
      <c r="CY240" s="285"/>
      <c r="CZ240" s="285"/>
      <c r="DA240" s="285"/>
      <c r="DB240" s="285"/>
      <c r="DC240" s="285"/>
      <c r="DD240" s="285"/>
      <c r="DE240" s="285"/>
      <c r="DF240" s="285"/>
      <c r="DG240" s="285"/>
      <c r="DH240" s="285"/>
      <c r="DI240" s="285"/>
      <c r="DJ240" s="285"/>
      <c r="DK240" s="285"/>
      <c r="DL240" s="285"/>
      <c r="DM240" s="285"/>
      <c r="DN240" s="285"/>
      <c r="DO240" s="285"/>
      <c r="DP240" s="285"/>
      <c r="DQ240" s="285"/>
      <c r="DR240" s="285"/>
      <c r="DS240" s="285"/>
      <c r="DT240" s="285"/>
      <c r="DU240" s="285"/>
      <c r="DV240" s="285"/>
      <c r="DW240" s="285"/>
      <c r="DX240" s="285"/>
      <c r="DY240" s="285"/>
      <c r="DZ240" s="285"/>
      <c r="EA240" s="285"/>
      <c r="EB240" s="285"/>
      <c r="EC240" s="285"/>
      <c r="ED240" s="285"/>
      <c r="EE240" s="285"/>
      <c r="EF240" s="285"/>
      <c r="EG240" s="285"/>
      <c r="EH240" s="285"/>
      <c r="EI240" s="285"/>
      <c r="EJ240" s="285"/>
      <c r="EK240" s="285"/>
      <c r="EL240" s="285"/>
      <c r="EM240" s="285"/>
      <c r="EN240" s="285"/>
      <c r="EO240" s="285"/>
      <c r="EP240" s="285"/>
      <c r="EQ240" s="285"/>
      <c r="ER240" s="330"/>
      <c r="ES240" s="330"/>
      <c r="ET240" s="330"/>
      <c r="EU240" s="285"/>
      <c r="EV240" s="285"/>
      <c r="EW240" s="285"/>
      <c r="EX240" s="285"/>
      <c r="EY240" s="285"/>
      <c r="EZ240" s="285"/>
      <c r="FA240" s="285"/>
      <c r="FB240" s="285"/>
      <c r="FC240" s="285"/>
      <c r="FD240" s="285"/>
      <c r="FE240" s="285"/>
      <c r="FF240" s="285"/>
      <c r="FG240" s="285"/>
      <c r="FH240" s="285"/>
      <c r="FI240" s="285"/>
      <c r="FJ240" s="285"/>
      <c r="FK240" s="285"/>
      <c r="FL240" s="285"/>
      <c r="FM240" s="285"/>
      <c r="FN240" s="285"/>
      <c r="FO240" s="285"/>
      <c r="FP240" s="285"/>
      <c r="FQ240" s="285"/>
      <c r="FR240" s="285"/>
      <c r="FS240" s="285"/>
      <c r="FT240" s="285"/>
      <c r="FU240" s="285"/>
      <c r="FV240" s="330"/>
      <c r="FW240" s="330"/>
      <c r="FX240" s="330"/>
      <c r="FY240" s="285"/>
      <c r="FZ240" s="285"/>
      <c r="GA240" s="285"/>
      <c r="GB240" s="330"/>
      <c r="GC240" s="330"/>
      <c r="GD240" s="330"/>
      <c r="GE240" s="330"/>
      <c r="GF240" s="330"/>
      <c r="GG240" s="330"/>
    </row>
    <row r="241" spans="1:189" s="146" customFormat="1" ht="15.75" customHeight="1">
      <c r="A241" s="151"/>
      <c r="B241" s="152"/>
      <c r="C241" s="201"/>
      <c r="D241" s="201"/>
      <c r="E241" s="201"/>
      <c r="J241" s="201"/>
      <c r="BE241" s="201"/>
      <c r="BF241" s="201"/>
      <c r="BG241" s="201"/>
      <c r="CI241" s="201"/>
      <c r="CJ241" s="201"/>
      <c r="CK241" s="201"/>
      <c r="CO241" s="295"/>
      <c r="CP241" s="330"/>
      <c r="CQ241" s="330"/>
      <c r="CR241" s="330"/>
      <c r="CS241" s="285"/>
      <c r="CT241" s="285"/>
      <c r="CU241" s="285"/>
      <c r="CV241" s="285"/>
      <c r="CW241" s="330"/>
      <c r="CX241" s="285"/>
      <c r="CY241" s="285"/>
      <c r="CZ241" s="285"/>
      <c r="DA241" s="285"/>
      <c r="DB241" s="285"/>
      <c r="DC241" s="285"/>
      <c r="DD241" s="285"/>
      <c r="DE241" s="285"/>
      <c r="DF241" s="285"/>
      <c r="DG241" s="285"/>
      <c r="DH241" s="285"/>
      <c r="DI241" s="285"/>
      <c r="DJ241" s="285"/>
      <c r="DK241" s="285"/>
      <c r="DL241" s="285"/>
      <c r="DM241" s="285"/>
      <c r="DN241" s="285"/>
      <c r="DO241" s="285"/>
      <c r="DP241" s="285"/>
      <c r="DQ241" s="285"/>
      <c r="DR241" s="285"/>
      <c r="DS241" s="285"/>
      <c r="DT241" s="285"/>
      <c r="DU241" s="285"/>
      <c r="DV241" s="285"/>
      <c r="DW241" s="285"/>
      <c r="DX241" s="285"/>
      <c r="DY241" s="285"/>
      <c r="DZ241" s="285"/>
      <c r="EA241" s="285"/>
      <c r="EB241" s="285"/>
      <c r="EC241" s="285"/>
      <c r="ED241" s="285"/>
      <c r="EE241" s="285"/>
      <c r="EF241" s="285"/>
      <c r="EG241" s="285"/>
      <c r="EH241" s="285"/>
      <c r="EI241" s="285"/>
      <c r="EJ241" s="285"/>
      <c r="EK241" s="285"/>
      <c r="EL241" s="285"/>
      <c r="EM241" s="285"/>
      <c r="EN241" s="285"/>
      <c r="EO241" s="285"/>
      <c r="EP241" s="285"/>
      <c r="EQ241" s="285"/>
      <c r="ER241" s="330"/>
      <c r="ES241" s="330"/>
      <c r="ET241" s="330"/>
      <c r="EU241" s="285"/>
      <c r="EV241" s="285"/>
      <c r="EW241" s="285"/>
      <c r="EX241" s="285"/>
      <c r="EY241" s="285"/>
      <c r="EZ241" s="285"/>
      <c r="FA241" s="285"/>
      <c r="FB241" s="285"/>
      <c r="FC241" s="285"/>
      <c r="FD241" s="285"/>
      <c r="FE241" s="285"/>
      <c r="FF241" s="285"/>
      <c r="FG241" s="285"/>
      <c r="FH241" s="285"/>
      <c r="FI241" s="285"/>
      <c r="FJ241" s="285"/>
      <c r="FK241" s="285"/>
      <c r="FL241" s="285"/>
      <c r="FM241" s="285"/>
      <c r="FN241" s="285"/>
      <c r="FO241" s="285"/>
      <c r="FP241" s="285"/>
      <c r="FQ241" s="285"/>
      <c r="FR241" s="285"/>
      <c r="FS241" s="285"/>
      <c r="FT241" s="285"/>
      <c r="FU241" s="285"/>
      <c r="FV241" s="330"/>
      <c r="FW241" s="330"/>
      <c r="FX241" s="330"/>
      <c r="FY241" s="285"/>
      <c r="FZ241" s="285"/>
      <c r="GA241" s="285"/>
      <c r="GB241" s="330"/>
      <c r="GC241" s="330"/>
      <c r="GD241" s="330"/>
      <c r="GE241" s="330"/>
      <c r="GF241" s="330"/>
      <c r="GG241" s="330"/>
    </row>
    <row r="242" spans="1:189" s="146" customFormat="1">
      <c r="A242" s="151"/>
      <c r="B242" s="152"/>
      <c r="C242" s="201"/>
      <c r="D242" s="201"/>
      <c r="E242" s="201"/>
      <c r="J242" s="201"/>
      <c r="BE242" s="201"/>
      <c r="BF242" s="201"/>
      <c r="BG242" s="201"/>
      <c r="CI242" s="201"/>
      <c r="CJ242" s="201"/>
      <c r="CK242" s="201"/>
      <c r="CO242" s="295"/>
      <c r="CP242" s="330"/>
      <c r="CQ242" s="330"/>
      <c r="CR242" s="330"/>
      <c r="CS242" s="285"/>
      <c r="CT242" s="285"/>
      <c r="CU242" s="285"/>
      <c r="CV242" s="285"/>
      <c r="CW242" s="330"/>
      <c r="CX242" s="285"/>
      <c r="CY242" s="285"/>
      <c r="CZ242" s="285"/>
      <c r="DA242" s="285"/>
      <c r="DB242" s="285"/>
      <c r="DC242" s="285"/>
      <c r="DD242" s="285"/>
      <c r="DE242" s="285"/>
      <c r="DF242" s="285"/>
      <c r="DG242" s="285"/>
      <c r="DH242" s="285"/>
      <c r="DI242" s="285"/>
      <c r="DJ242" s="285"/>
      <c r="DK242" s="285"/>
      <c r="DL242" s="285"/>
      <c r="DM242" s="285"/>
      <c r="DN242" s="285"/>
      <c r="DO242" s="285"/>
      <c r="DP242" s="285"/>
      <c r="DQ242" s="285"/>
      <c r="DR242" s="285"/>
      <c r="DS242" s="285"/>
      <c r="DT242" s="285"/>
      <c r="DU242" s="285"/>
      <c r="DV242" s="285"/>
      <c r="DW242" s="285"/>
      <c r="DX242" s="285"/>
      <c r="DY242" s="285"/>
      <c r="DZ242" s="285"/>
      <c r="EA242" s="285"/>
      <c r="EB242" s="285"/>
      <c r="EC242" s="285"/>
      <c r="ED242" s="285"/>
      <c r="EE242" s="285"/>
      <c r="EF242" s="285"/>
      <c r="EG242" s="285"/>
      <c r="EH242" s="285"/>
      <c r="EI242" s="285"/>
      <c r="EJ242" s="285"/>
      <c r="EK242" s="285"/>
      <c r="EL242" s="285"/>
      <c r="EM242" s="285"/>
      <c r="EN242" s="285"/>
      <c r="EO242" s="285"/>
      <c r="EP242" s="285"/>
      <c r="EQ242" s="285"/>
      <c r="ER242" s="330"/>
      <c r="ES242" s="330"/>
      <c r="ET242" s="330"/>
      <c r="EU242" s="285"/>
      <c r="EV242" s="285"/>
      <c r="EW242" s="285"/>
      <c r="EX242" s="285"/>
      <c r="EY242" s="285"/>
      <c r="EZ242" s="285"/>
      <c r="FA242" s="285"/>
      <c r="FB242" s="285"/>
      <c r="FC242" s="285"/>
      <c r="FD242" s="285"/>
      <c r="FE242" s="285"/>
      <c r="FF242" s="285"/>
      <c r="FG242" s="285"/>
      <c r="FH242" s="285"/>
      <c r="FI242" s="285"/>
      <c r="FJ242" s="285"/>
      <c r="FK242" s="285"/>
      <c r="FL242" s="285"/>
      <c r="FM242" s="285"/>
      <c r="FN242" s="285"/>
      <c r="FO242" s="285"/>
      <c r="FP242" s="285"/>
      <c r="FQ242" s="285"/>
      <c r="FR242" s="285"/>
      <c r="FS242" s="285"/>
      <c r="FT242" s="285"/>
      <c r="FU242" s="285"/>
      <c r="FV242" s="330"/>
      <c r="FW242" s="330"/>
      <c r="FX242" s="330"/>
      <c r="FY242" s="285"/>
      <c r="FZ242" s="285"/>
      <c r="GA242" s="285"/>
      <c r="GB242" s="330"/>
      <c r="GC242" s="330"/>
      <c r="GD242" s="330"/>
      <c r="GE242" s="330"/>
      <c r="GF242" s="330"/>
      <c r="GG242" s="330"/>
    </row>
    <row r="243" spans="1:189" s="146" customFormat="1">
      <c r="A243" s="151"/>
      <c r="B243" s="152"/>
      <c r="C243" s="201"/>
      <c r="D243" s="201"/>
      <c r="E243" s="201"/>
      <c r="J243" s="201"/>
      <c r="BE243" s="201"/>
      <c r="BF243" s="201"/>
      <c r="BG243" s="201"/>
      <c r="CI243" s="201"/>
      <c r="CJ243" s="201"/>
      <c r="CK243" s="201"/>
      <c r="CO243" s="295"/>
      <c r="CP243" s="330"/>
      <c r="CQ243" s="330"/>
      <c r="CR243" s="330"/>
      <c r="CS243" s="285"/>
      <c r="CT243" s="285"/>
      <c r="CU243" s="285"/>
      <c r="CV243" s="285"/>
      <c r="CW243" s="330"/>
      <c r="CX243" s="285"/>
      <c r="CY243" s="285"/>
      <c r="CZ243" s="285"/>
      <c r="DA243" s="285"/>
      <c r="DB243" s="285"/>
      <c r="DC243" s="285"/>
      <c r="DD243" s="285"/>
      <c r="DE243" s="285"/>
      <c r="DF243" s="285"/>
      <c r="DG243" s="285"/>
      <c r="DH243" s="285"/>
      <c r="DI243" s="285"/>
      <c r="DJ243" s="285"/>
      <c r="DK243" s="285"/>
      <c r="DL243" s="285"/>
      <c r="DM243" s="285"/>
      <c r="DN243" s="285"/>
      <c r="DO243" s="285"/>
      <c r="DP243" s="285"/>
      <c r="DQ243" s="285"/>
      <c r="DR243" s="285"/>
      <c r="DS243" s="285"/>
      <c r="DT243" s="285"/>
      <c r="DU243" s="285"/>
      <c r="DV243" s="285"/>
      <c r="DW243" s="285"/>
      <c r="DX243" s="285"/>
      <c r="DY243" s="285"/>
      <c r="DZ243" s="285"/>
      <c r="EA243" s="285"/>
      <c r="EB243" s="285"/>
      <c r="EC243" s="285"/>
      <c r="ED243" s="285"/>
      <c r="EE243" s="285"/>
      <c r="EF243" s="285"/>
      <c r="EG243" s="285"/>
      <c r="EH243" s="285"/>
      <c r="EI243" s="285"/>
      <c r="EJ243" s="285"/>
      <c r="EK243" s="285"/>
      <c r="EL243" s="285"/>
      <c r="EM243" s="285"/>
      <c r="EN243" s="285"/>
      <c r="EO243" s="285"/>
      <c r="EP243" s="285"/>
      <c r="EQ243" s="285"/>
      <c r="ER243" s="330"/>
      <c r="ES243" s="330"/>
      <c r="ET243" s="330"/>
      <c r="EU243" s="285"/>
      <c r="EV243" s="285"/>
      <c r="EW243" s="285"/>
      <c r="EX243" s="285"/>
      <c r="EY243" s="285"/>
      <c r="EZ243" s="285"/>
      <c r="FA243" s="285"/>
      <c r="FB243" s="285"/>
      <c r="FC243" s="285"/>
      <c r="FD243" s="285"/>
      <c r="FE243" s="285"/>
      <c r="FF243" s="285"/>
      <c r="FG243" s="285"/>
      <c r="FH243" s="285"/>
      <c r="FI243" s="285"/>
      <c r="FJ243" s="285"/>
      <c r="FK243" s="285"/>
      <c r="FL243" s="285"/>
      <c r="FM243" s="285"/>
      <c r="FN243" s="285"/>
      <c r="FO243" s="285"/>
      <c r="FP243" s="285"/>
      <c r="FQ243" s="285"/>
      <c r="FR243" s="285"/>
      <c r="FS243" s="285"/>
      <c r="FT243" s="285"/>
      <c r="FU243" s="285"/>
      <c r="FV243" s="330"/>
      <c r="FW243" s="330"/>
      <c r="FX243" s="330"/>
      <c r="FY243" s="285"/>
      <c r="FZ243" s="285"/>
      <c r="GA243" s="285"/>
      <c r="GB243" s="330"/>
      <c r="GC243" s="330"/>
      <c r="GD243" s="330"/>
      <c r="GE243" s="330"/>
      <c r="GF243" s="330"/>
      <c r="GG243" s="330"/>
    </row>
    <row r="244" spans="1:189" s="146" customFormat="1">
      <c r="A244" s="151"/>
      <c r="B244" s="152"/>
      <c r="C244" s="201"/>
      <c r="D244" s="201"/>
      <c r="E244" s="201"/>
      <c r="J244" s="201"/>
      <c r="BE244" s="201"/>
      <c r="BF244" s="201"/>
      <c r="BG244" s="201"/>
      <c r="CI244" s="201"/>
      <c r="CJ244" s="201"/>
      <c r="CK244" s="201"/>
      <c r="CO244" s="295"/>
      <c r="CP244" s="330"/>
      <c r="CQ244" s="330"/>
      <c r="CR244" s="330"/>
      <c r="CS244" s="285"/>
      <c r="CT244" s="285"/>
      <c r="CU244" s="285"/>
      <c r="CV244" s="285"/>
      <c r="CW244" s="330"/>
      <c r="CX244" s="285"/>
      <c r="CY244" s="285"/>
      <c r="CZ244" s="285"/>
      <c r="DA244" s="285"/>
      <c r="DB244" s="285"/>
      <c r="DC244" s="285"/>
      <c r="DD244" s="285"/>
      <c r="DE244" s="285"/>
      <c r="DF244" s="285"/>
      <c r="DG244" s="285"/>
      <c r="DH244" s="285"/>
      <c r="DI244" s="285"/>
      <c r="DJ244" s="285"/>
      <c r="DK244" s="285"/>
      <c r="DL244" s="285"/>
      <c r="DM244" s="285"/>
      <c r="DN244" s="285"/>
      <c r="DO244" s="285"/>
      <c r="DP244" s="285"/>
      <c r="DQ244" s="285"/>
      <c r="DR244" s="285"/>
      <c r="DS244" s="285"/>
      <c r="DT244" s="285"/>
      <c r="DU244" s="285"/>
      <c r="DV244" s="285"/>
      <c r="DW244" s="285"/>
      <c r="DX244" s="285"/>
      <c r="DY244" s="285"/>
      <c r="DZ244" s="285"/>
      <c r="EA244" s="285"/>
      <c r="EB244" s="285"/>
      <c r="EC244" s="285"/>
      <c r="ED244" s="285"/>
      <c r="EE244" s="285"/>
      <c r="EF244" s="285"/>
      <c r="EG244" s="285"/>
      <c r="EH244" s="285"/>
      <c r="EI244" s="285"/>
      <c r="EJ244" s="285"/>
      <c r="EK244" s="285"/>
      <c r="EL244" s="285"/>
      <c r="EM244" s="285"/>
      <c r="EN244" s="285"/>
      <c r="EO244" s="285"/>
      <c r="EP244" s="285"/>
      <c r="EQ244" s="285"/>
      <c r="ER244" s="330"/>
      <c r="ES244" s="330"/>
      <c r="ET244" s="330"/>
      <c r="EU244" s="285"/>
      <c r="EV244" s="285"/>
      <c r="EW244" s="285"/>
      <c r="EX244" s="285"/>
      <c r="EY244" s="285"/>
      <c r="EZ244" s="285"/>
      <c r="FA244" s="285"/>
      <c r="FB244" s="285"/>
      <c r="FC244" s="285"/>
      <c r="FD244" s="285"/>
      <c r="FE244" s="285"/>
      <c r="FF244" s="285"/>
      <c r="FG244" s="285"/>
      <c r="FH244" s="285"/>
      <c r="FI244" s="285"/>
      <c r="FJ244" s="285"/>
      <c r="FK244" s="285"/>
      <c r="FL244" s="285"/>
      <c r="FM244" s="285"/>
      <c r="FN244" s="285"/>
      <c r="FO244" s="285"/>
      <c r="FP244" s="285"/>
      <c r="FQ244" s="285"/>
      <c r="FR244" s="285"/>
      <c r="FS244" s="285"/>
      <c r="FT244" s="285"/>
      <c r="FU244" s="285"/>
      <c r="FV244" s="330"/>
      <c r="FW244" s="330"/>
      <c r="FX244" s="330"/>
      <c r="FY244" s="285"/>
      <c r="FZ244" s="285"/>
      <c r="GA244" s="285"/>
      <c r="GB244" s="330"/>
      <c r="GC244" s="330"/>
      <c r="GD244" s="330"/>
      <c r="GE244" s="330"/>
      <c r="GF244" s="330"/>
      <c r="GG244" s="330"/>
    </row>
    <row r="245" spans="1:189" s="146" customFormat="1" ht="15.75" customHeight="1">
      <c r="A245" s="151"/>
      <c r="B245" s="152"/>
      <c r="C245" s="201"/>
      <c r="D245" s="201"/>
      <c r="E245" s="201"/>
      <c r="J245" s="201"/>
      <c r="BE245" s="201"/>
      <c r="BF245" s="201"/>
      <c r="BG245" s="201"/>
      <c r="CI245" s="201"/>
      <c r="CJ245" s="201"/>
      <c r="CK245" s="201"/>
      <c r="CO245" s="295"/>
      <c r="CP245" s="330"/>
      <c r="CQ245" s="330"/>
      <c r="CR245" s="330"/>
      <c r="CS245" s="285"/>
      <c r="CT245" s="285"/>
      <c r="CU245" s="285"/>
      <c r="CV245" s="285"/>
      <c r="CW245" s="330"/>
      <c r="CX245" s="285"/>
      <c r="CY245" s="285"/>
      <c r="CZ245" s="285"/>
      <c r="DA245" s="285"/>
      <c r="DB245" s="285"/>
      <c r="DC245" s="285"/>
      <c r="DD245" s="285"/>
      <c r="DE245" s="285"/>
      <c r="DF245" s="285"/>
      <c r="DG245" s="285"/>
      <c r="DH245" s="285"/>
      <c r="DI245" s="285"/>
      <c r="DJ245" s="285"/>
      <c r="DK245" s="285"/>
      <c r="DL245" s="285"/>
      <c r="DM245" s="285"/>
      <c r="DN245" s="285"/>
      <c r="DO245" s="285"/>
      <c r="DP245" s="285"/>
      <c r="DQ245" s="285"/>
      <c r="DR245" s="285"/>
      <c r="DS245" s="285"/>
      <c r="DT245" s="285"/>
      <c r="DU245" s="285"/>
      <c r="DV245" s="285"/>
      <c r="DW245" s="285"/>
      <c r="DX245" s="285"/>
      <c r="DY245" s="285"/>
      <c r="DZ245" s="285"/>
      <c r="EA245" s="285"/>
      <c r="EB245" s="285"/>
      <c r="EC245" s="285"/>
      <c r="ED245" s="285"/>
      <c r="EE245" s="285"/>
      <c r="EF245" s="285"/>
      <c r="EG245" s="285"/>
      <c r="EH245" s="285"/>
      <c r="EI245" s="285"/>
      <c r="EJ245" s="285"/>
      <c r="EK245" s="285"/>
      <c r="EL245" s="285"/>
      <c r="EM245" s="285"/>
      <c r="EN245" s="285"/>
      <c r="EO245" s="285"/>
      <c r="EP245" s="285"/>
      <c r="EQ245" s="285"/>
      <c r="ER245" s="330"/>
      <c r="ES245" s="330"/>
      <c r="ET245" s="330"/>
      <c r="EU245" s="285"/>
      <c r="EV245" s="285"/>
      <c r="EW245" s="285"/>
      <c r="EX245" s="285"/>
      <c r="EY245" s="285"/>
      <c r="EZ245" s="285"/>
      <c r="FA245" s="285"/>
      <c r="FB245" s="285"/>
      <c r="FC245" s="285"/>
      <c r="FD245" s="285"/>
      <c r="FE245" s="285"/>
      <c r="FF245" s="285"/>
      <c r="FG245" s="285"/>
      <c r="FH245" s="285"/>
      <c r="FI245" s="285"/>
      <c r="FJ245" s="285"/>
      <c r="FK245" s="285"/>
      <c r="FL245" s="285"/>
      <c r="FM245" s="285"/>
      <c r="FN245" s="285"/>
      <c r="FO245" s="285"/>
      <c r="FP245" s="285"/>
      <c r="FQ245" s="285"/>
      <c r="FR245" s="285"/>
      <c r="FS245" s="285"/>
      <c r="FT245" s="285"/>
      <c r="FU245" s="285"/>
      <c r="FV245" s="330"/>
      <c r="FW245" s="330"/>
      <c r="FX245" s="330"/>
      <c r="FY245" s="285"/>
      <c r="FZ245" s="285"/>
      <c r="GA245" s="285"/>
      <c r="GB245" s="330"/>
      <c r="GC245" s="330"/>
      <c r="GD245" s="330"/>
      <c r="GE245" s="330"/>
      <c r="GF245" s="330"/>
      <c r="GG245" s="330"/>
    </row>
    <row r="246" spans="1:189" s="146" customFormat="1">
      <c r="A246" s="151"/>
      <c r="B246" s="152"/>
      <c r="C246" s="201"/>
      <c r="D246" s="201"/>
      <c r="E246" s="201"/>
      <c r="J246" s="201"/>
      <c r="BE246" s="201"/>
      <c r="BF246" s="201"/>
      <c r="BG246" s="201"/>
      <c r="CI246" s="201"/>
      <c r="CJ246" s="201"/>
      <c r="CK246" s="201"/>
      <c r="CO246" s="295"/>
      <c r="CP246" s="330"/>
      <c r="CQ246" s="330"/>
      <c r="CR246" s="330"/>
      <c r="CS246" s="285"/>
      <c r="CT246" s="285"/>
      <c r="CU246" s="285"/>
      <c r="CV246" s="285"/>
      <c r="CW246" s="330"/>
      <c r="CX246" s="285"/>
      <c r="CY246" s="285"/>
      <c r="CZ246" s="285"/>
      <c r="DA246" s="285"/>
      <c r="DB246" s="285"/>
      <c r="DC246" s="285"/>
      <c r="DD246" s="285"/>
      <c r="DE246" s="285"/>
      <c r="DF246" s="285"/>
      <c r="DG246" s="285"/>
      <c r="DH246" s="285"/>
      <c r="DI246" s="285"/>
      <c r="DJ246" s="285"/>
      <c r="DK246" s="285"/>
      <c r="DL246" s="285"/>
      <c r="DM246" s="285"/>
      <c r="DN246" s="285"/>
      <c r="DO246" s="285"/>
      <c r="DP246" s="285"/>
      <c r="DQ246" s="285"/>
      <c r="DR246" s="285"/>
      <c r="DS246" s="285"/>
      <c r="DT246" s="285"/>
      <c r="DU246" s="285"/>
      <c r="DV246" s="285"/>
      <c r="DW246" s="285"/>
      <c r="DX246" s="285"/>
      <c r="DY246" s="285"/>
      <c r="DZ246" s="285"/>
      <c r="EA246" s="285"/>
      <c r="EB246" s="285"/>
      <c r="EC246" s="285"/>
      <c r="ED246" s="285"/>
      <c r="EE246" s="285"/>
      <c r="EF246" s="285"/>
      <c r="EG246" s="285"/>
      <c r="EH246" s="285"/>
      <c r="EI246" s="285"/>
      <c r="EJ246" s="285"/>
      <c r="EK246" s="285"/>
      <c r="EL246" s="285"/>
      <c r="EM246" s="285"/>
      <c r="EN246" s="285"/>
      <c r="EO246" s="285"/>
      <c r="EP246" s="285"/>
      <c r="EQ246" s="285"/>
      <c r="ER246" s="330"/>
      <c r="ES246" s="330"/>
      <c r="ET246" s="330"/>
      <c r="EU246" s="285"/>
      <c r="EV246" s="285"/>
      <c r="EW246" s="285"/>
      <c r="EX246" s="285"/>
      <c r="EY246" s="285"/>
      <c r="EZ246" s="285"/>
      <c r="FA246" s="285"/>
      <c r="FB246" s="285"/>
      <c r="FC246" s="285"/>
      <c r="FD246" s="285"/>
      <c r="FE246" s="285"/>
      <c r="FF246" s="285"/>
      <c r="FG246" s="285"/>
      <c r="FH246" s="285"/>
      <c r="FI246" s="285"/>
      <c r="FJ246" s="285"/>
      <c r="FK246" s="285"/>
      <c r="FL246" s="285"/>
      <c r="FM246" s="285"/>
      <c r="FN246" s="285"/>
      <c r="FO246" s="285"/>
      <c r="FP246" s="285"/>
      <c r="FQ246" s="285"/>
      <c r="FR246" s="285"/>
      <c r="FS246" s="285"/>
      <c r="FT246" s="285"/>
      <c r="FU246" s="285"/>
      <c r="FV246" s="330"/>
      <c r="FW246" s="330"/>
      <c r="FX246" s="330"/>
      <c r="FY246" s="285"/>
      <c r="FZ246" s="285"/>
      <c r="GA246" s="285"/>
      <c r="GB246" s="330"/>
      <c r="GC246" s="330"/>
      <c r="GD246" s="330"/>
      <c r="GE246" s="330"/>
      <c r="GF246" s="330"/>
      <c r="GG246" s="330"/>
    </row>
    <row r="247" spans="1:189" s="146" customFormat="1">
      <c r="A247" s="151"/>
      <c r="B247" s="152"/>
      <c r="C247" s="201"/>
      <c r="D247" s="201"/>
      <c r="E247" s="201"/>
      <c r="J247" s="201"/>
      <c r="BE247" s="201"/>
      <c r="BF247" s="201"/>
      <c r="BG247" s="201"/>
      <c r="CI247" s="201"/>
      <c r="CJ247" s="201"/>
      <c r="CK247" s="201"/>
      <c r="CO247" s="295"/>
      <c r="CP247" s="330"/>
      <c r="CQ247" s="330"/>
      <c r="CR247" s="330"/>
      <c r="CS247" s="285"/>
      <c r="CT247" s="285"/>
      <c r="CU247" s="285"/>
      <c r="CV247" s="285"/>
      <c r="CW247" s="330"/>
      <c r="CX247" s="285"/>
      <c r="CY247" s="285"/>
      <c r="CZ247" s="285"/>
      <c r="DA247" s="285"/>
      <c r="DB247" s="285"/>
      <c r="DC247" s="285"/>
      <c r="DD247" s="285"/>
      <c r="DE247" s="285"/>
      <c r="DF247" s="285"/>
      <c r="DG247" s="285"/>
      <c r="DH247" s="285"/>
      <c r="DI247" s="285"/>
      <c r="DJ247" s="285"/>
      <c r="DK247" s="285"/>
      <c r="DL247" s="285"/>
      <c r="DM247" s="285"/>
      <c r="DN247" s="285"/>
      <c r="DO247" s="285"/>
      <c r="DP247" s="285"/>
      <c r="DQ247" s="285"/>
      <c r="DR247" s="285"/>
      <c r="DS247" s="285"/>
      <c r="DT247" s="285"/>
      <c r="DU247" s="285"/>
      <c r="DV247" s="285"/>
      <c r="DW247" s="285"/>
      <c r="DX247" s="285"/>
      <c r="DY247" s="285"/>
      <c r="DZ247" s="285"/>
      <c r="EA247" s="285"/>
      <c r="EB247" s="285"/>
      <c r="EC247" s="285"/>
      <c r="ED247" s="285"/>
      <c r="EE247" s="285"/>
      <c r="EF247" s="285"/>
      <c r="EG247" s="285"/>
      <c r="EH247" s="285"/>
      <c r="EI247" s="285"/>
      <c r="EJ247" s="285"/>
      <c r="EK247" s="285"/>
      <c r="EL247" s="285"/>
      <c r="EM247" s="285"/>
      <c r="EN247" s="285"/>
      <c r="EO247" s="285"/>
      <c r="EP247" s="285"/>
      <c r="EQ247" s="285"/>
      <c r="ER247" s="330"/>
      <c r="ES247" s="330"/>
      <c r="ET247" s="330"/>
      <c r="EU247" s="285"/>
      <c r="EV247" s="285"/>
      <c r="EW247" s="285"/>
      <c r="EX247" s="285"/>
      <c r="EY247" s="285"/>
      <c r="EZ247" s="285"/>
      <c r="FA247" s="285"/>
      <c r="FB247" s="285"/>
      <c r="FC247" s="285"/>
      <c r="FD247" s="285"/>
      <c r="FE247" s="285"/>
      <c r="FF247" s="285"/>
      <c r="FG247" s="285"/>
      <c r="FH247" s="285"/>
      <c r="FI247" s="285"/>
      <c r="FJ247" s="285"/>
      <c r="FK247" s="285"/>
      <c r="FL247" s="285"/>
      <c r="FM247" s="285"/>
      <c r="FN247" s="285"/>
      <c r="FO247" s="285"/>
      <c r="FP247" s="285"/>
      <c r="FQ247" s="285"/>
      <c r="FR247" s="285"/>
      <c r="FS247" s="285"/>
      <c r="FT247" s="285"/>
      <c r="FU247" s="285"/>
      <c r="FV247" s="330"/>
      <c r="FW247" s="330"/>
      <c r="FX247" s="330"/>
      <c r="FY247" s="285"/>
      <c r="FZ247" s="285"/>
      <c r="GA247" s="285"/>
      <c r="GB247" s="330"/>
      <c r="GC247" s="330"/>
      <c r="GD247" s="330"/>
      <c r="GE247" s="330"/>
      <c r="GF247" s="330"/>
      <c r="GG247" s="330"/>
    </row>
    <row r="248" spans="1:189" s="146" customFormat="1">
      <c r="A248" s="151"/>
      <c r="B248" s="152"/>
      <c r="C248" s="201"/>
      <c r="D248" s="201"/>
      <c r="E248" s="201"/>
      <c r="J248" s="201"/>
      <c r="BE248" s="201"/>
      <c r="BF248" s="201"/>
      <c r="BG248" s="201"/>
      <c r="CI248" s="201"/>
      <c r="CJ248" s="201"/>
      <c r="CK248" s="201"/>
      <c r="CO248" s="295"/>
      <c r="CP248" s="330"/>
      <c r="CQ248" s="330"/>
      <c r="CR248" s="330"/>
      <c r="CS248" s="285"/>
      <c r="CT248" s="285"/>
      <c r="CU248" s="285"/>
      <c r="CV248" s="285"/>
      <c r="CW248" s="330"/>
      <c r="CX248" s="285"/>
      <c r="CY248" s="285"/>
      <c r="CZ248" s="285"/>
      <c r="DA248" s="285"/>
      <c r="DB248" s="285"/>
      <c r="DC248" s="285"/>
      <c r="DD248" s="285"/>
      <c r="DE248" s="285"/>
      <c r="DF248" s="285"/>
      <c r="DG248" s="285"/>
      <c r="DH248" s="285"/>
      <c r="DI248" s="285"/>
      <c r="DJ248" s="285"/>
      <c r="DK248" s="285"/>
      <c r="DL248" s="285"/>
      <c r="DM248" s="285"/>
      <c r="DN248" s="285"/>
      <c r="DO248" s="285"/>
      <c r="DP248" s="285"/>
      <c r="DQ248" s="285"/>
      <c r="DR248" s="285"/>
      <c r="DS248" s="285"/>
      <c r="DT248" s="285"/>
      <c r="DU248" s="285"/>
      <c r="DV248" s="285"/>
      <c r="DW248" s="285"/>
      <c r="DX248" s="285"/>
      <c r="DY248" s="285"/>
      <c r="DZ248" s="285"/>
      <c r="EA248" s="285"/>
      <c r="EB248" s="285"/>
      <c r="EC248" s="285"/>
      <c r="ED248" s="285"/>
      <c r="EE248" s="285"/>
      <c r="EF248" s="285"/>
      <c r="EG248" s="285"/>
      <c r="EH248" s="285"/>
      <c r="EI248" s="285"/>
      <c r="EJ248" s="285"/>
      <c r="EK248" s="285"/>
      <c r="EL248" s="285"/>
      <c r="EM248" s="285"/>
      <c r="EN248" s="285"/>
      <c r="EO248" s="285"/>
      <c r="EP248" s="285"/>
      <c r="EQ248" s="285"/>
      <c r="ER248" s="330"/>
      <c r="ES248" s="330"/>
      <c r="ET248" s="330"/>
      <c r="EU248" s="285"/>
      <c r="EV248" s="285"/>
      <c r="EW248" s="285"/>
      <c r="EX248" s="285"/>
      <c r="EY248" s="285"/>
      <c r="EZ248" s="285"/>
      <c r="FA248" s="285"/>
      <c r="FB248" s="285"/>
      <c r="FC248" s="285"/>
      <c r="FD248" s="285"/>
      <c r="FE248" s="285"/>
      <c r="FF248" s="285"/>
      <c r="FG248" s="285"/>
      <c r="FH248" s="285"/>
      <c r="FI248" s="285"/>
      <c r="FJ248" s="285"/>
      <c r="FK248" s="285"/>
      <c r="FL248" s="285"/>
      <c r="FM248" s="285"/>
      <c r="FN248" s="285"/>
      <c r="FO248" s="285"/>
      <c r="FP248" s="285"/>
      <c r="FQ248" s="285"/>
      <c r="FR248" s="285"/>
      <c r="FS248" s="285"/>
      <c r="FT248" s="285"/>
      <c r="FU248" s="285"/>
      <c r="FV248" s="330"/>
      <c r="FW248" s="330"/>
      <c r="FX248" s="330"/>
      <c r="FY248" s="285"/>
      <c r="FZ248" s="285"/>
      <c r="GA248" s="285"/>
      <c r="GB248" s="330"/>
      <c r="GC248" s="330"/>
      <c r="GD248" s="330"/>
      <c r="GE248" s="330"/>
      <c r="GF248" s="330"/>
      <c r="GG248" s="330"/>
    </row>
    <row r="249" spans="1:189" s="146" customFormat="1" ht="15.75" customHeight="1">
      <c r="A249" s="151"/>
      <c r="B249" s="152"/>
      <c r="C249" s="201"/>
      <c r="D249" s="201"/>
      <c r="E249" s="201"/>
      <c r="J249" s="201"/>
      <c r="BE249" s="201"/>
      <c r="BF249" s="201"/>
      <c r="BG249" s="201"/>
      <c r="CI249" s="201"/>
      <c r="CJ249" s="201"/>
      <c r="CK249" s="201"/>
      <c r="CO249" s="295"/>
      <c r="CP249" s="330"/>
      <c r="CQ249" s="330"/>
      <c r="CR249" s="330"/>
      <c r="CS249" s="285"/>
      <c r="CT249" s="285"/>
      <c r="CU249" s="285"/>
      <c r="CV249" s="285"/>
      <c r="CW249" s="330"/>
      <c r="CX249" s="285"/>
      <c r="CY249" s="285"/>
      <c r="CZ249" s="285"/>
      <c r="DA249" s="285"/>
      <c r="DB249" s="285"/>
      <c r="DC249" s="285"/>
      <c r="DD249" s="285"/>
      <c r="DE249" s="285"/>
      <c r="DF249" s="285"/>
      <c r="DG249" s="285"/>
      <c r="DH249" s="285"/>
      <c r="DI249" s="285"/>
      <c r="DJ249" s="285"/>
      <c r="DK249" s="285"/>
      <c r="DL249" s="285"/>
      <c r="DM249" s="285"/>
      <c r="DN249" s="285"/>
      <c r="DO249" s="285"/>
      <c r="DP249" s="285"/>
      <c r="DQ249" s="285"/>
      <c r="DR249" s="285"/>
      <c r="DS249" s="285"/>
      <c r="DT249" s="285"/>
      <c r="DU249" s="285"/>
      <c r="DV249" s="285"/>
      <c r="DW249" s="285"/>
      <c r="DX249" s="285"/>
      <c r="DY249" s="285"/>
      <c r="DZ249" s="285"/>
      <c r="EA249" s="285"/>
      <c r="EB249" s="285"/>
      <c r="EC249" s="285"/>
      <c r="ED249" s="285"/>
      <c r="EE249" s="285"/>
      <c r="EF249" s="285"/>
      <c r="EG249" s="285"/>
      <c r="EH249" s="285"/>
      <c r="EI249" s="285"/>
      <c r="EJ249" s="285"/>
      <c r="EK249" s="285"/>
      <c r="EL249" s="285"/>
      <c r="EM249" s="285"/>
      <c r="EN249" s="285"/>
      <c r="EO249" s="285"/>
      <c r="EP249" s="285"/>
      <c r="EQ249" s="285"/>
      <c r="ER249" s="330"/>
      <c r="ES249" s="330"/>
      <c r="ET249" s="330"/>
      <c r="EU249" s="285"/>
      <c r="EV249" s="285"/>
      <c r="EW249" s="285"/>
      <c r="EX249" s="285"/>
      <c r="EY249" s="285"/>
      <c r="EZ249" s="285"/>
      <c r="FA249" s="285"/>
      <c r="FB249" s="285"/>
      <c r="FC249" s="285"/>
      <c r="FD249" s="285"/>
      <c r="FE249" s="285"/>
      <c r="FF249" s="285"/>
      <c r="FG249" s="285"/>
      <c r="FH249" s="285"/>
      <c r="FI249" s="285"/>
      <c r="FJ249" s="285"/>
      <c r="FK249" s="285"/>
      <c r="FL249" s="285"/>
      <c r="FM249" s="285"/>
      <c r="FN249" s="285"/>
      <c r="FO249" s="285"/>
      <c r="FP249" s="285"/>
      <c r="FQ249" s="285"/>
      <c r="FR249" s="285"/>
      <c r="FS249" s="285"/>
      <c r="FT249" s="285"/>
      <c r="FU249" s="285"/>
      <c r="FV249" s="330"/>
      <c r="FW249" s="330"/>
      <c r="FX249" s="330"/>
      <c r="FY249" s="285"/>
      <c r="FZ249" s="285"/>
      <c r="GA249" s="285"/>
      <c r="GB249" s="330"/>
      <c r="GC249" s="330"/>
      <c r="GD249" s="330"/>
      <c r="GE249" s="330"/>
      <c r="GF249" s="330"/>
      <c r="GG249" s="330"/>
    </row>
    <row r="250" spans="1:189" s="146" customFormat="1">
      <c r="A250" s="151"/>
      <c r="B250" s="152"/>
      <c r="C250" s="201"/>
      <c r="D250" s="201"/>
      <c r="E250" s="201"/>
      <c r="J250" s="201"/>
      <c r="BE250" s="201"/>
      <c r="BF250" s="201"/>
      <c r="BG250" s="201"/>
      <c r="CI250" s="201"/>
      <c r="CJ250" s="201"/>
      <c r="CK250" s="201"/>
      <c r="CO250" s="295"/>
      <c r="CP250" s="330"/>
      <c r="CQ250" s="330"/>
      <c r="CR250" s="330"/>
      <c r="CS250" s="285"/>
      <c r="CT250" s="285"/>
      <c r="CU250" s="285"/>
      <c r="CV250" s="285"/>
      <c r="CW250" s="330"/>
      <c r="CX250" s="285"/>
      <c r="CY250" s="285"/>
      <c r="CZ250" s="285"/>
      <c r="DA250" s="285"/>
      <c r="DB250" s="285"/>
      <c r="DC250" s="285"/>
      <c r="DD250" s="285"/>
      <c r="DE250" s="285"/>
      <c r="DF250" s="285"/>
      <c r="DG250" s="285"/>
      <c r="DH250" s="285"/>
      <c r="DI250" s="285"/>
      <c r="DJ250" s="285"/>
      <c r="DK250" s="285"/>
      <c r="DL250" s="285"/>
      <c r="DM250" s="285"/>
      <c r="DN250" s="285"/>
      <c r="DO250" s="285"/>
      <c r="DP250" s="285"/>
      <c r="DQ250" s="285"/>
      <c r="DR250" s="285"/>
      <c r="DS250" s="285"/>
      <c r="DT250" s="285"/>
      <c r="DU250" s="285"/>
      <c r="DV250" s="285"/>
      <c r="DW250" s="285"/>
      <c r="DX250" s="285"/>
      <c r="DY250" s="285"/>
      <c r="DZ250" s="285"/>
      <c r="EA250" s="285"/>
      <c r="EB250" s="285"/>
      <c r="EC250" s="285"/>
      <c r="ED250" s="285"/>
      <c r="EE250" s="285"/>
      <c r="EF250" s="285"/>
      <c r="EG250" s="285"/>
      <c r="EH250" s="285"/>
      <c r="EI250" s="285"/>
      <c r="EJ250" s="285"/>
      <c r="EK250" s="285"/>
      <c r="EL250" s="285"/>
      <c r="EM250" s="285"/>
      <c r="EN250" s="285"/>
      <c r="EO250" s="285"/>
      <c r="EP250" s="285"/>
      <c r="EQ250" s="285"/>
      <c r="ER250" s="330"/>
      <c r="ES250" s="330"/>
      <c r="ET250" s="330"/>
      <c r="EU250" s="285"/>
      <c r="EV250" s="285"/>
      <c r="EW250" s="285"/>
      <c r="EX250" s="285"/>
      <c r="EY250" s="285"/>
      <c r="EZ250" s="285"/>
      <c r="FA250" s="285"/>
      <c r="FB250" s="285"/>
      <c r="FC250" s="285"/>
      <c r="FD250" s="285"/>
      <c r="FE250" s="285"/>
      <c r="FF250" s="285"/>
      <c r="FG250" s="285"/>
      <c r="FH250" s="285"/>
      <c r="FI250" s="285"/>
      <c r="FJ250" s="285"/>
      <c r="FK250" s="285"/>
      <c r="FL250" s="285"/>
      <c r="FM250" s="285"/>
      <c r="FN250" s="285"/>
      <c r="FO250" s="285"/>
      <c r="FP250" s="285"/>
      <c r="FQ250" s="285"/>
      <c r="FR250" s="285"/>
      <c r="FS250" s="285"/>
      <c r="FT250" s="285"/>
      <c r="FU250" s="285"/>
      <c r="FV250" s="330"/>
      <c r="FW250" s="330"/>
      <c r="FX250" s="330"/>
      <c r="FY250" s="285"/>
      <c r="FZ250" s="285"/>
      <c r="GA250" s="285"/>
      <c r="GB250" s="330"/>
      <c r="GC250" s="330"/>
      <c r="GD250" s="330"/>
      <c r="GE250" s="330"/>
      <c r="GF250" s="330"/>
      <c r="GG250" s="330"/>
    </row>
    <row r="251" spans="1:189" s="146" customFormat="1">
      <c r="A251" s="151"/>
      <c r="B251" s="152"/>
      <c r="C251" s="201"/>
      <c r="D251" s="201"/>
      <c r="E251" s="201"/>
      <c r="J251" s="201"/>
      <c r="BE251" s="201"/>
      <c r="BF251" s="201"/>
      <c r="BG251" s="201"/>
      <c r="CI251" s="201"/>
      <c r="CJ251" s="201"/>
      <c r="CK251" s="201"/>
      <c r="CO251" s="295"/>
      <c r="CP251" s="330"/>
      <c r="CQ251" s="330"/>
      <c r="CR251" s="330"/>
      <c r="CS251" s="285"/>
      <c r="CT251" s="285"/>
      <c r="CU251" s="285"/>
      <c r="CV251" s="285"/>
      <c r="CW251" s="330"/>
      <c r="CX251" s="285"/>
      <c r="CY251" s="285"/>
      <c r="CZ251" s="285"/>
      <c r="DA251" s="285"/>
      <c r="DB251" s="285"/>
      <c r="DC251" s="285"/>
      <c r="DD251" s="285"/>
      <c r="DE251" s="285"/>
      <c r="DF251" s="285"/>
      <c r="DG251" s="285"/>
      <c r="DH251" s="285"/>
      <c r="DI251" s="285"/>
      <c r="DJ251" s="285"/>
      <c r="DK251" s="285"/>
      <c r="DL251" s="285"/>
      <c r="DM251" s="285"/>
      <c r="DN251" s="285"/>
      <c r="DO251" s="285"/>
      <c r="DP251" s="285"/>
      <c r="DQ251" s="285"/>
      <c r="DR251" s="285"/>
      <c r="DS251" s="285"/>
      <c r="DT251" s="285"/>
      <c r="DU251" s="285"/>
      <c r="DV251" s="285"/>
      <c r="DW251" s="285"/>
      <c r="DX251" s="285"/>
      <c r="DY251" s="285"/>
      <c r="DZ251" s="285"/>
      <c r="EA251" s="285"/>
      <c r="EB251" s="285"/>
      <c r="EC251" s="285"/>
      <c r="ED251" s="285"/>
      <c r="EE251" s="285"/>
      <c r="EF251" s="285"/>
      <c r="EG251" s="285"/>
      <c r="EH251" s="285"/>
      <c r="EI251" s="285"/>
      <c r="EJ251" s="285"/>
      <c r="EK251" s="285"/>
      <c r="EL251" s="285"/>
      <c r="EM251" s="285"/>
      <c r="EN251" s="285"/>
      <c r="EO251" s="285"/>
      <c r="EP251" s="285"/>
      <c r="EQ251" s="285"/>
      <c r="ER251" s="330"/>
      <c r="ES251" s="330"/>
      <c r="ET251" s="330"/>
      <c r="EU251" s="285"/>
      <c r="EV251" s="285"/>
      <c r="EW251" s="285"/>
      <c r="EX251" s="285"/>
      <c r="EY251" s="285"/>
      <c r="EZ251" s="285"/>
      <c r="FA251" s="285"/>
      <c r="FB251" s="285"/>
      <c r="FC251" s="285"/>
      <c r="FD251" s="285"/>
      <c r="FE251" s="285"/>
      <c r="FF251" s="285"/>
      <c r="FG251" s="285"/>
      <c r="FH251" s="285"/>
      <c r="FI251" s="285"/>
      <c r="FJ251" s="285"/>
      <c r="FK251" s="285"/>
      <c r="FL251" s="285"/>
      <c r="FM251" s="285"/>
      <c r="FN251" s="285"/>
      <c r="FO251" s="285"/>
      <c r="FP251" s="285"/>
      <c r="FQ251" s="285"/>
      <c r="FR251" s="285"/>
      <c r="FS251" s="285"/>
      <c r="FT251" s="285"/>
      <c r="FU251" s="285"/>
      <c r="FV251" s="330"/>
      <c r="FW251" s="330"/>
      <c r="FX251" s="330"/>
      <c r="FY251" s="285"/>
      <c r="FZ251" s="285"/>
      <c r="GA251" s="285"/>
      <c r="GB251" s="330"/>
      <c r="GC251" s="330"/>
      <c r="GD251" s="330"/>
      <c r="GE251" s="330"/>
      <c r="GF251" s="330"/>
      <c r="GG251" s="330"/>
    </row>
    <row r="252" spans="1:189" s="146" customFormat="1">
      <c r="A252" s="151"/>
      <c r="B252" s="152"/>
      <c r="C252" s="201"/>
      <c r="D252" s="201"/>
      <c r="E252" s="201"/>
      <c r="J252" s="201"/>
      <c r="BE252" s="201"/>
      <c r="BF252" s="201"/>
      <c r="BG252" s="201"/>
      <c r="CI252" s="201"/>
      <c r="CJ252" s="201"/>
      <c r="CK252" s="201"/>
      <c r="CO252" s="295"/>
      <c r="CP252" s="330"/>
      <c r="CQ252" s="330"/>
      <c r="CR252" s="330"/>
      <c r="CS252" s="285"/>
      <c r="CT252" s="285"/>
      <c r="CU252" s="285"/>
      <c r="CV252" s="285"/>
      <c r="CW252" s="330"/>
      <c r="CX252" s="285"/>
      <c r="CY252" s="285"/>
      <c r="CZ252" s="285"/>
      <c r="DA252" s="285"/>
      <c r="DB252" s="285"/>
      <c r="DC252" s="285"/>
      <c r="DD252" s="285"/>
      <c r="DE252" s="285"/>
      <c r="DF252" s="285"/>
      <c r="DG252" s="285"/>
      <c r="DH252" s="285"/>
      <c r="DI252" s="285"/>
      <c r="DJ252" s="285"/>
      <c r="DK252" s="285"/>
      <c r="DL252" s="285"/>
      <c r="DM252" s="285"/>
      <c r="DN252" s="285"/>
      <c r="DO252" s="285"/>
      <c r="DP252" s="285"/>
      <c r="DQ252" s="285"/>
      <c r="DR252" s="285"/>
      <c r="DS252" s="285"/>
      <c r="DT252" s="285"/>
      <c r="DU252" s="285"/>
      <c r="DV252" s="285"/>
      <c r="DW252" s="285"/>
      <c r="DX252" s="285"/>
      <c r="DY252" s="285"/>
      <c r="DZ252" s="285"/>
      <c r="EA252" s="285"/>
      <c r="EB252" s="285"/>
      <c r="EC252" s="285"/>
      <c r="ED252" s="285"/>
      <c r="EE252" s="285"/>
      <c r="EF252" s="285"/>
      <c r="EG252" s="285"/>
      <c r="EH252" s="285"/>
      <c r="EI252" s="285"/>
      <c r="EJ252" s="285"/>
      <c r="EK252" s="285"/>
      <c r="EL252" s="285"/>
      <c r="EM252" s="285"/>
      <c r="EN252" s="285"/>
      <c r="EO252" s="285"/>
      <c r="EP252" s="285"/>
      <c r="EQ252" s="285"/>
      <c r="ER252" s="330"/>
      <c r="ES252" s="330"/>
      <c r="ET252" s="330"/>
      <c r="EU252" s="285"/>
      <c r="EV252" s="285"/>
      <c r="EW252" s="285"/>
      <c r="EX252" s="285"/>
      <c r="EY252" s="285"/>
      <c r="EZ252" s="285"/>
      <c r="FA252" s="285"/>
      <c r="FB252" s="285"/>
      <c r="FC252" s="285"/>
      <c r="FD252" s="285"/>
      <c r="FE252" s="285"/>
      <c r="FF252" s="285"/>
      <c r="FG252" s="285"/>
      <c r="FH252" s="285"/>
      <c r="FI252" s="285"/>
      <c r="FJ252" s="285"/>
      <c r="FK252" s="285"/>
      <c r="FL252" s="285"/>
      <c r="FM252" s="285"/>
      <c r="FN252" s="285"/>
      <c r="FO252" s="285"/>
      <c r="FP252" s="285"/>
      <c r="FQ252" s="285"/>
      <c r="FR252" s="285"/>
      <c r="FS252" s="285"/>
      <c r="FT252" s="285"/>
      <c r="FU252" s="285"/>
      <c r="FV252" s="330"/>
      <c r="FW252" s="330"/>
      <c r="FX252" s="330"/>
      <c r="FY252" s="285"/>
      <c r="FZ252" s="285"/>
      <c r="GA252" s="285"/>
      <c r="GB252" s="330"/>
      <c r="GC252" s="330"/>
      <c r="GD252" s="330"/>
      <c r="GE252" s="330"/>
      <c r="GF252" s="330"/>
      <c r="GG252" s="330"/>
    </row>
    <row r="253" spans="1:189" s="146" customFormat="1" ht="15.75" customHeight="1">
      <c r="A253" s="151"/>
      <c r="B253" s="152"/>
      <c r="C253" s="201"/>
      <c r="D253" s="201"/>
      <c r="E253" s="201"/>
      <c r="J253" s="201"/>
      <c r="BE253" s="201"/>
      <c r="BF253" s="201"/>
      <c r="BG253" s="201"/>
      <c r="CI253" s="201"/>
      <c r="CJ253" s="201"/>
      <c r="CK253" s="201"/>
      <c r="CO253" s="295"/>
      <c r="CP253" s="330"/>
      <c r="CQ253" s="330"/>
      <c r="CR253" s="330"/>
      <c r="CS253" s="285"/>
      <c r="CT253" s="285"/>
      <c r="CU253" s="285"/>
      <c r="CV253" s="285"/>
      <c r="CW253" s="330"/>
      <c r="CX253" s="285"/>
      <c r="CY253" s="285"/>
      <c r="CZ253" s="285"/>
      <c r="DA253" s="285"/>
      <c r="DB253" s="285"/>
      <c r="DC253" s="285"/>
      <c r="DD253" s="285"/>
      <c r="DE253" s="285"/>
      <c r="DF253" s="285"/>
      <c r="DG253" s="285"/>
      <c r="DH253" s="285"/>
      <c r="DI253" s="285"/>
      <c r="DJ253" s="285"/>
      <c r="DK253" s="285"/>
      <c r="DL253" s="285"/>
      <c r="DM253" s="285"/>
      <c r="DN253" s="285"/>
      <c r="DO253" s="285"/>
      <c r="DP253" s="285"/>
      <c r="DQ253" s="285"/>
      <c r="DR253" s="285"/>
      <c r="DS253" s="285"/>
      <c r="DT253" s="285"/>
      <c r="DU253" s="285"/>
      <c r="DV253" s="285"/>
      <c r="DW253" s="285"/>
      <c r="DX253" s="285"/>
      <c r="DY253" s="285"/>
      <c r="DZ253" s="285"/>
      <c r="EA253" s="285"/>
      <c r="EB253" s="285"/>
      <c r="EC253" s="285"/>
      <c r="ED253" s="285"/>
      <c r="EE253" s="285"/>
      <c r="EF253" s="285"/>
      <c r="EG253" s="285"/>
      <c r="EH253" s="285"/>
      <c r="EI253" s="285"/>
      <c r="EJ253" s="285"/>
      <c r="EK253" s="285"/>
      <c r="EL253" s="285"/>
      <c r="EM253" s="285"/>
      <c r="EN253" s="285"/>
      <c r="EO253" s="285"/>
      <c r="EP253" s="285"/>
      <c r="EQ253" s="285"/>
      <c r="ER253" s="330"/>
      <c r="ES253" s="330"/>
      <c r="ET253" s="330"/>
      <c r="EU253" s="285"/>
      <c r="EV253" s="285"/>
      <c r="EW253" s="285"/>
      <c r="EX253" s="285"/>
      <c r="EY253" s="285"/>
      <c r="EZ253" s="285"/>
      <c r="FA253" s="285"/>
      <c r="FB253" s="285"/>
      <c r="FC253" s="285"/>
      <c r="FD253" s="285"/>
      <c r="FE253" s="285"/>
      <c r="FF253" s="285"/>
      <c r="FG253" s="285"/>
      <c r="FH253" s="285"/>
      <c r="FI253" s="285"/>
      <c r="FJ253" s="285"/>
      <c r="FK253" s="285"/>
      <c r="FL253" s="285"/>
      <c r="FM253" s="285"/>
      <c r="FN253" s="285"/>
      <c r="FO253" s="285"/>
      <c r="FP253" s="285"/>
      <c r="FQ253" s="285"/>
      <c r="FR253" s="285"/>
      <c r="FS253" s="285"/>
      <c r="FT253" s="285"/>
      <c r="FU253" s="285"/>
      <c r="FV253" s="330"/>
      <c r="FW253" s="330"/>
      <c r="FX253" s="330"/>
      <c r="FY253" s="285"/>
      <c r="FZ253" s="285"/>
      <c r="GA253" s="285"/>
      <c r="GB253" s="330"/>
      <c r="GC253" s="330"/>
      <c r="GD253" s="330"/>
      <c r="GE253" s="330"/>
      <c r="GF253" s="330"/>
      <c r="GG253" s="330"/>
    </row>
    <row r="254" spans="1:189" s="146" customFormat="1">
      <c r="A254" s="151"/>
      <c r="B254" s="152"/>
      <c r="C254" s="201"/>
      <c r="D254" s="201"/>
      <c r="E254" s="201"/>
      <c r="J254" s="201"/>
      <c r="BE254" s="201"/>
      <c r="BF254" s="201"/>
      <c r="BG254" s="201"/>
      <c r="CI254" s="201"/>
      <c r="CJ254" s="201"/>
      <c r="CK254" s="201"/>
      <c r="CO254" s="295"/>
      <c r="CP254" s="330"/>
      <c r="CQ254" s="330"/>
      <c r="CR254" s="330"/>
      <c r="CS254" s="285"/>
      <c r="CT254" s="285"/>
      <c r="CU254" s="285"/>
      <c r="CV254" s="285"/>
      <c r="CW254" s="330"/>
      <c r="CX254" s="285"/>
      <c r="CY254" s="285"/>
      <c r="CZ254" s="285"/>
      <c r="DA254" s="285"/>
      <c r="DB254" s="285"/>
      <c r="DC254" s="285"/>
      <c r="DD254" s="285"/>
      <c r="DE254" s="285"/>
      <c r="DF254" s="285"/>
      <c r="DG254" s="285"/>
      <c r="DH254" s="285"/>
      <c r="DI254" s="285"/>
      <c r="DJ254" s="285"/>
      <c r="DK254" s="285"/>
      <c r="DL254" s="285"/>
      <c r="DM254" s="285"/>
      <c r="DN254" s="285"/>
      <c r="DO254" s="285"/>
      <c r="DP254" s="285"/>
      <c r="DQ254" s="285"/>
      <c r="DR254" s="285"/>
      <c r="DS254" s="285"/>
      <c r="DT254" s="285"/>
      <c r="DU254" s="285"/>
      <c r="DV254" s="285"/>
      <c r="DW254" s="285"/>
      <c r="DX254" s="285"/>
      <c r="DY254" s="285"/>
      <c r="DZ254" s="285"/>
      <c r="EA254" s="285"/>
      <c r="EB254" s="285"/>
      <c r="EC254" s="285"/>
      <c r="ED254" s="285"/>
      <c r="EE254" s="285"/>
      <c r="EF254" s="285"/>
      <c r="EG254" s="285"/>
      <c r="EH254" s="285"/>
      <c r="EI254" s="285"/>
      <c r="EJ254" s="285"/>
      <c r="EK254" s="285"/>
      <c r="EL254" s="285"/>
      <c r="EM254" s="285"/>
      <c r="EN254" s="285"/>
      <c r="EO254" s="285"/>
      <c r="EP254" s="285"/>
      <c r="EQ254" s="285"/>
      <c r="ER254" s="330"/>
      <c r="ES254" s="330"/>
      <c r="ET254" s="330"/>
      <c r="EU254" s="285"/>
      <c r="EV254" s="285"/>
      <c r="EW254" s="285"/>
      <c r="EX254" s="285"/>
      <c r="EY254" s="285"/>
      <c r="EZ254" s="285"/>
      <c r="FA254" s="285"/>
      <c r="FB254" s="285"/>
      <c r="FC254" s="285"/>
      <c r="FD254" s="285"/>
      <c r="FE254" s="285"/>
      <c r="FF254" s="285"/>
      <c r="FG254" s="285"/>
      <c r="FH254" s="285"/>
      <c r="FI254" s="285"/>
      <c r="FJ254" s="285"/>
      <c r="FK254" s="285"/>
      <c r="FL254" s="285"/>
      <c r="FM254" s="285"/>
      <c r="FN254" s="285"/>
      <c r="FO254" s="285"/>
      <c r="FP254" s="285"/>
      <c r="FQ254" s="285"/>
      <c r="FR254" s="285"/>
      <c r="FS254" s="285"/>
      <c r="FT254" s="285"/>
      <c r="FU254" s="285"/>
      <c r="FV254" s="330"/>
      <c r="FW254" s="330"/>
      <c r="FX254" s="330"/>
      <c r="FY254" s="285"/>
      <c r="FZ254" s="285"/>
      <c r="GA254" s="285"/>
      <c r="GB254" s="330"/>
      <c r="GC254" s="330"/>
      <c r="GD254" s="330"/>
      <c r="GE254" s="330"/>
      <c r="GF254" s="330"/>
      <c r="GG254" s="330"/>
    </row>
    <row r="255" spans="1:189" s="146" customFormat="1">
      <c r="A255" s="151"/>
      <c r="B255" s="152"/>
      <c r="C255" s="201"/>
      <c r="D255" s="201"/>
      <c r="E255" s="201"/>
      <c r="J255" s="201"/>
      <c r="BE255" s="201"/>
      <c r="BF255" s="201"/>
      <c r="BG255" s="201"/>
      <c r="CI255" s="201"/>
      <c r="CJ255" s="201"/>
      <c r="CK255" s="201"/>
      <c r="CO255" s="295"/>
      <c r="CP255" s="330"/>
      <c r="CQ255" s="330"/>
      <c r="CR255" s="330"/>
      <c r="CS255" s="285"/>
      <c r="CT255" s="285"/>
      <c r="CU255" s="285"/>
      <c r="CV255" s="285"/>
      <c r="CW255" s="330"/>
      <c r="CX255" s="285"/>
      <c r="CY255" s="285"/>
      <c r="CZ255" s="285"/>
      <c r="DA255" s="285"/>
      <c r="DB255" s="285"/>
      <c r="DC255" s="285"/>
      <c r="DD255" s="285"/>
      <c r="DE255" s="285"/>
      <c r="DF255" s="285"/>
      <c r="DG255" s="285"/>
      <c r="DH255" s="285"/>
      <c r="DI255" s="285"/>
      <c r="DJ255" s="285"/>
      <c r="DK255" s="285"/>
      <c r="DL255" s="285"/>
      <c r="DM255" s="285"/>
      <c r="DN255" s="285"/>
      <c r="DO255" s="285"/>
      <c r="DP255" s="285"/>
      <c r="DQ255" s="285"/>
      <c r="DR255" s="285"/>
      <c r="DS255" s="285"/>
      <c r="DT255" s="285"/>
      <c r="DU255" s="285"/>
      <c r="DV255" s="285"/>
      <c r="DW255" s="285"/>
      <c r="DX255" s="285"/>
      <c r="DY255" s="285"/>
      <c r="DZ255" s="285"/>
      <c r="EA255" s="285"/>
      <c r="EB255" s="285"/>
      <c r="EC255" s="285"/>
      <c r="ED255" s="285"/>
      <c r="EE255" s="285"/>
      <c r="EF255" s="285"/>
      <c r="EG255" s="285"/>
      <c r="EH255" s="285"/>
      <c r="EI255" s="285"/>
      <c r="EJ255" s="285"/>
      <c r="EK255" s="285"/>
      <c r="EL255" s="285"/>
      <c r="EM255" s="285"/>
      <c r="EN255" s="285"/>
      <c r="EO255" s="285"/>
      <c r="EP255" s="285"/>
      <c r="EQ255" s="285"/>
      <c r="ER255" s="330"/>
      <c r="ES255" s="330"/>
      <c r="ET255" s="330"/>
      <c r="EU255" s="285"/>
      <c r="EV255" s="285"/>
      <c r="EW255" s="285"/>
      <c r="EX255" s="285"/>
      <c r="EY255" s="285"/>
      <c r="EZ255" s="285"/>
      <c r="FA255" s="285"/>
      <c r="FB255" s="285"/>
      <c r="FC255" s="285"/>
      <c r="FD255" s="285"/>
      <c r="FE255" s="285"/>
      <c r="FF255" s="285"/>
      <c r="FG255" s="285"/>
      <c r="FH255" s="285"/>
      <c r="FI255" s="285"/>
      <c r="FJ255" s="285"/>
      <c r="FK255" s="285"/>
      <c r="FL255" s="285"/>
      <c r="FM255" s="285"/>
      <c r="FN255" s="285"/>
      <c r="FO255" s="285"/>
      <c r="FP255" s="285"/>
      <c r="FQ255" s="285"/>
      <c r="FR255" s="285"/>
      <c r="FS255" s="285"/>
      <c r="FT255" s="285"/>
      <c r="FU255" s="285"/>
      <c r="FV255" s="330"/>
      <c r="FW255" s="330"/>
      <c r="FX255" s="330"/>
      <c r="FY255" s="285"/>
      <c r="FZ255" s="285"/>
      <c r="GA255" s="285"/>
      <c r="GB255" s="330"/>
      <c r="GC255" s="330"/>
      <c r="GD255" s="330"/>
      <c r="GE255" s="330"/>
      <c r="GF255" s="330"/>
      <c r="GG255" s="330"/>
    </row>
    <row r="256" spans="1:189" s="146" customFormat="1">
      <c r="A256" s="151"/>
      <c r="B256" s="152"/>
      <c r="C256" s="201"/>
      <c r="D256" s="201"/>
      <c r="E256" s="201"/>
      <c r="J256" s="201"/>
      <c r="BE256" s="201"/>
      <c r="BF256" s="201"/>
      <c r="BG256" s="201"/>
      <c r="CI256" s="201"/>
      <c r="CJ256" s="201"/>
      <c r="CK256" s="201"/>
      <c r="CO256" s="295"/>
      <c r="CP256" s="330"/>
      <c r="CQ256" s="330"/>
      <c r="CR256" s="330"/>
      <c r="CS256" s="285"/>
      <c r="CT256" s="285"/>
      <c r="CU256" s="285"/>
      <c r="CV256" s="285"/>
      <c r="CW256" s="330"/>
      <c r="CX256" s="285"/>
      <c r="CY256" s="285"/>
      <c r="CZ256" s="285"/>
      <c r="DA256" s="285"/>
      <c r="DB256" s="285"/>
      <c r="DC256" s="285"/>
      <c r="DD256" s="285"/>
      <c r="DE256" s="285"/>
      <c r="DF256" s="285"/>
      <c r="DG256" s="285"/>
      <c r="DH256" s="285"/>
      <c r="DI256" s="285"/>
      <c r="DJ256" s="285"/>
      <c r="DK256" s="285"/>
      <c r="DL256" s="285"/>
      <c r="DM256" s="285"/>
      <c r="DN256" s="285"/>
      <c r="DO256" s="285"/>
      <c r="DP256" s="285"/>
      <c r="DQ256" s="285"/>
      <c r="DR256" s="285"/>
      <c r="DS256" s="285"/>
      <c r="DT256" s="285"/>
      <c r="DU256" s="285"/>
      <c r="DV256" s="285"/>
      <c r="DW256" s="285"/>
      <c r="DX256" s="285"/>
      <c r="DY256" s="285"/>
      <c r="DZ256" s="285"/>
      <c r="EA256" s="285"/>
      <c r="EB256" s="285"/>
      <c r="EC256" s="285"/>
      <c r="ED256" s="285"/>
      <c r="EE256" s="285"/>
      <c r="EF256" s="285"/>
      <c r="EG256" s="285"/>
      <c r="EH256" s="285"/>
      <c r="EI256" s="285"/>
      <c r="EJ256" s="285"/>
      <c r="EK256" s="285"/>
      <c r="EL256" s="285"/>
      <c r="EM256" s="285"/>
      <c r="EN256" s="285"/>
      <c r="EO256" s="285"/>
      <c r="EP256" s="285"/>
      <c r="EQ256" s="285"/>
      <c r="ER256" s="330"/>
      <c r="ES256" s="330"/>
      <c r="ET256" s="330"/>
      <c r="EU256" s="285"/>
      <c r="EV256" s="285"/>
      <c r="EW256" s="285"/>
      <c r="EX256" s="285"/>
      <c r="EY256" s="285"/>
      <c r="EZ256" s="285"/>
      <c r="FA256" s="285"/>
      <c r="FB256" s="285"/>
      <c r="FC256" s="285"/>
      <c r="FD256" s="285"/>
      <c r="FE256" s="285"/>
      <c r="FF256" s="285"/>
      <c r="FG256" s="285"/>
      <c r="FH256" s="285"/>
      <c r="FI256" s="285"/>
      <c r="FJ256" s="285"/>
      <c r="FK256" s="285"/>
      <c r="FL256" s="285"/>
      <c r="FM256" s="285"/>
      <c r="FN256" s="285"/>
      <c r="FO256" s="285"/>
      <c r="FP256" s="285"/>
      <c r="FQ256" s="285"/>
      <c r="FR256" s="285"/>
      <c r="FS256" s="285"/>
      <c r="FT256" s="285"/>
      <c r="FU256" s="285"/>
      <c r="FV256" s="330"/>
      <c r="FW256" s="330"/>
      <c r="FX256" s="330"/>
      <c r="FY256" s="285"/>
      <c r="FZ256" s="285"/>
      <c r="GA256" s="285"/>
      <c r="GB256" s="330"/>
      <c r="GC256" s="330"/>
      <c r="GD256" s="330"/>
      <c r="GE256" s="330"/>
      <c r="GF256" s="330"/>
      <c r="GG256" s="330"/>
    </row>
    <row r="257" spans="1:189" s="146" customFormat="1" ht="15.75" customHeight="1">
      <c r="A257" s="151"/>
      <c r="B257" s="152"/>
      <c r="C257" s="201"/>
      <c r="D257" s="201"/>
      <c r="E257" s="201"/>
      <c r="J257" s="201"/>
      <c r="BE257" s="201"/>
      <c r="BF257" s="201"/>
      <c r="BG257" s="201"/>
      <c r="CI257" s="201"/>
      <c r="CJ257" s="201"/>
      <c r="CK257" s="201"/>
      <c r="CO257" s="295"/>
      <c r="CP257" s="330"/>
      <c r="CQ257" s="330"/>
      <c r="CR257" s="330"/>
      <c r="CS257" s="285"/>
      <c r="CT257" s="285"/>
      <c r="CU257" s="285"/>
      <c r="CV257" s="285"/>
      <c r="CW257" s="330"/>
      <c r="CX257" s="285"/>
      <c r="CY257" s="285"/>
      <c r="CZ257" s="285"/>
      <c r="DA257" s="285"/>
      <c r="DB257" s="285"/>
      <c r="DC257" s="285"/>
      <c r="DD257" s="285"/>
      <c r="DE257" s="285"/>
      <c r="DF257" s="285"/>
      <c r="DG257" s="285"/>
      <c r="DH257" s="285"/>
      <c r="DI257" s="285"/>
      <c r="DJ257" s="285"/>
      <c r="DK257" s="285"/>
      <c r="DL257" s="285"/>
      <c r="DM257" s="285"/>
      <c r="DN257" s="285"/>
      <c r="DO257" s="285"/>
      <c r="DP257" s="285"/>
      <c r="DQ257" s="285"/>
      <c r="DR257" s="285"/>
      <c r="DS257" s="285"/>
      <c r="DT257" s="285"/>
      <c r="DU257" s="285"/>
      <c r="DV257" s="285"/>
      <c r="DW257" s="285"/>
      <c r="DX257" s="285"/>
      <c r="DY257" s="285"/>
      <c r="DZ257" s="285"/>
      <c r="EA257" s="285"/>
      <c r="EB257" s="285"/>
      <c r="EC257" s="285"/>
      <c r="ED257" s="285"/>
      <c r="EE257" s="285"/>
      <c r="EF257" s="285"/>
      <c r="EG257" s="285"/>
      <c r="EH257" s="285"/>
      <c r="EI257" s="285"/>
      <c r="EJ257" s="285"/>
      <c r="EK257" s="285"/>
      <c r="EL257" s="285"/>
      <c r="EM257" s="285"/>
      <c r="EN257" s="285"/>
      <c r="EO257" s="285"/>
      <c r="EP257" s="285"/>
      <c r="EQ257" s="285"/>
      <c r="ER257" s="330"/>
      <c r="ES257" s="330"/>
      <c r="ET257" s="330"/>
      <c r="EU257" s="285"/>
      <c r="EV257" s="285"/>
      <c r="EW257" s="285"/>
      <c r="EX257" s="285"/>
      <c r="EY257" s="285"/>
      <c r="EZ257" s="285"/>
      <c r="FA257" s="285"/>
      <c r="FB257" s="285"/>
      <c r="FC257" s="285"/>
      <c r="FD257" s="285"/>
      <c r="FE257" s="285"/>
      <c r="FF257" s="285"/>
      <c r="FG257" s="285"/>
      <c r="FH257" s="285"/>
      <c r="FI257" s="285"/>
      <c r="FJ257" s="285"/>
      <c r="FK257" s="285"/>
      <c r="FL257" s="285"/>
      <c r="FM257" s="285"/>
      <c r="FN257" s="285"/>
      <c r="FO257" s="285"/>
      <c r="FP257" s="285"/>
      <c r="FQ257" s="285"/>
      <c r="FR257" s="285"/>
      <c r="FS257" s="285"/>
      <c r="FT257" s="285"/>
      <c r="FU257" s="285"/>
      <c r="FV257" s="330"/>
      <c r="FW257" s="330"/>
      <c r="FX257" s="330"/>
      <c r="FY257" s="285"/>
      <c r="FZ257" s="285"/>
      <c r="GA257" s="285"/>
      <c r="GB257" s="330"/>
      <c r="GC257" s="330"/>
      <c r="GD257" s="330"/>
      <c r="GE257" s="330"/>
      <c r="GF257" s="330"/>
      <c r="GG257" s="330"/>
    </row>
    <row r="258" spans="1:189" s="146" customFormat="1">
      <c r="A258" s="151"/>
      <c r="B258" s="152"/>
      <c r="C258" s="201"/>
      <c r="D258" s="201"/>
      <c r="E258" s="201"/>
      <c r="J258" s="201"/>
      <c r="BE258" s="201"/>
      <c r="BF258" s="201"/>
      <c r="BG258" s="201"/>
      <c r="CI258" s="201"/>
      <c r="CJ258" s="201"/>
      <c r="CK258" s="201"/>
      <c r="CO258" s="295"/>
      <c r="CP258" s="330"/>
      <c r="CQ258" s="330"/>
      <c r="CR258" s="330"/>
      <c r="CS258" s="285"/>
      <c r="CT258" s="285"/>
      <c r="CU258" s="285"/>
      <c r="CV258" s="285"/>
      <c r="CW258" s="330"/>
      <c r="CX258" s="285"/>
      <c r="CY258" s="285"/>
      <c r="CZ258" s="285"/>
      <c r="DA258" s="285"/>
      <c r="DB258" s="285"/>
      <c r="DC258" s="285"/>
      <c r="DD258" s="285"/>
      <c r="DE258" s="285"/>
      <c r="DF258" s="285"/>
      <c r="DG258" s="285"/>
      <c r="DH258" s="285"/>
      <c r="DI258" s="285"/>
      <c r="DJ258" s="285"/>
      <c r="DK258" s="285"/>
      <c r="DL258" s="285"/>
      <c r="DM258" s="285"/>
      <c r="DN258" s="285"/>
      <c r="DO258" s="285"/>
      <c r="DP258" s="285"/>
      <c r="DQ258" s="285"/>
      <c r="DR258" s="285"/>
      <c r="DS258" s="285"/>
      <c r="DT258" s="285"/>
      <c r="DU258" s="285"/>
      <c r="DV258" s="285"/>
      <c r="DW258" s="285"/>
      <c r="DX258" s="285"/>
      <c r="DY258" s="285"/>
      <c r="DZ258" s="285"/>
      <c r="EA258" s="285"/>
      <c r="EB258" s="285"/>
      <c r="EC258" s="285"/>
      <c r="ED258" s="285"/>
      <c r="EE258" s="285"/>
      <c r="EF258" s="285"/>
      <c r="EG258" s="285"/>
      <c r="EH258" s="285"/>
      <c r="EI258" s="285"/>
      <c r="EJ258" s="285"/>
      <c r="EK258" s="285"/>
      <c r="EL258" s="285"/>
      <c r="EM258" s="285"/>
      <c r="EN258" s="285"/>
      <c r="EO258" s="285"/>
      <c r="EP258" s="285"/>
      <c r="EQ258" s="285"/>
      <c r="ER258" s="330"/>
      <c r="ES258" s="330"/>
      <c r="ET258" s="330"/>
      <c r="EU258" s="285"/>
      <c r="EV258" s="285"/>
      <c r="EW258" s="285"/>
      <c r="EX258" s="285"/>
      <c r="EY258" s="285"/>
      <c r="EZ258" s="285"/>
      <c r="FA258" s="285"/>
      <c r="FB258" s="285"/>
      <c r="FC258" s="285"/>
      <c r="FD258" s="285"/>
      <c r="FE258" s="285"/>
      <c r="FF258" s="285"/>
      <c r="FG258" s="285"/>
      <c r="FH258" s="285"/>
      <c r="FI258" s="285"/>
      <c r="FJ258" s="285"/>
      <c r="FK258" s="285"/>
      <c r="FL258" s="285"/>
      <c r="FM258" s="285"/>
      <c r="FN258" s="285"/>
      <c r="FO258" s="285"/>
      <c r="FP258" s="285"/>
      <c r="FQ258" s="285"/>
      <c r="FR258" s="285"/>
      <c r="FS258" s="285"/>
      <c r="FT258" s="285"/>
      <c r="FU258" s="285"/>
      <c r="FV258" s="330"/>
      <c r="FW258" s="330"/>
      <c r="FX258" s="330"/>
      <c r="FY258" s="285"/>
      <c r="FZ258" s="285"/>
      <c r="GA258" s="285"/>
      <c r="GB258" s="330"/>
      <c r="GC258" s="330"/>
      <c r="GD258" s="330"/>
      <c r="GE258" s="330"/>
      <c r="GF258" s="330"/>
      <c r="GG258" s="330"/>
    </row>
    <row r="259" spans="1:189" s="146" customFormat="1">
      <c r="A259" s="151"/>
      <c r="B259" s="152"/>
      <c r="C259" s="201"/>
      <c r="D259" s="201"/>
      <c r="E259" s="201"/>
      <c r="J259" s="201"/>
      <c r="BE259" s="201"/>
      <c r="BF259" s="201"/>
      <c r="BG259" s="201"/>
      <c r="CI259" s="201"/>
      <c r="CJ259" s="201"/>
      <c r="CK259" s="201"/>
      <c r="CO259" s="295"/>
      <c r="CP259" s="330"/>
      <c r="CQ259" s="330"/>
      <c r="CR259" s="330"/>
      <c r="CS259" s="285"/>
      <c r="CT259" s="285"/>
      <c r="CU259" s="285"/>
      <c r="CV259" s="285"/>
      <c r="CW259" s="330"/>
      <c r="CX259" s="285"/>
      <c r="CY259" s="285"/>
      <c r="CZ259" s="285"/>
      <c r="DA259" s="285"/>
      <c r="DB259" s="285"/>
      <c r="DC259" s="285"/>
      <c r="DD259" s="285"/>
      <c r="DE259" s="285"/>
      <c r="DF259" s="285"/>
      <c r="DG259" s="285"/>
      <c r="DH259" s="285"/>
      <c r="DI259" s="285"/>
      <c r="DJ259" s="285"/>
      <c r="DK259" s="285"/>
      <c r="DL259" s="285"/>
      <c r="DM259" s="285"/>
      <c r="DN259" s="285"/>
      <c r="DO259" s="285"/>
      <c r="DP259" s="285"/>
      <c r="DQ259" s="285"/>
      <c r="DR259" s="285"/>
      <c r="DS259" s="285"/>
      <c r="DT259" s="285"/>
      <c r="DU259" s="285"/>
      <c r="DV259" s="285"/>
      <c r="DW259" s="285"/>
      <c r="DX259" s="285"/>
      <c r="DY259" s="285"/>
      <c r="DZ259" s="285"/>
      <c r="EA259" s="285"/>
      <c r="EB259" s="285"/>
      <c r="EC259" s="285"/>
      <c r="ED259" s="285"/>
      <c r="EE259" s="285"/>
      <c r="EF259" s="285"/>
      <c r="EG259" s="285"/>
      <c r="EH259" s="285"/>
      <c r="EI259" s="285"/>
      <c r="EJ259" s="285"/>
      <c r="EK259" s="285"/>
      <c r="EL259" s="285"/>
      <c r="EM259" s="285"/>
      <c r="EN259" s="285"/>
      <c r="EO259" s="285"/>
      <c r="EP259" s="285"/>
      <c r="EQ259" s="285"/>
      <c r="ER259" s="330"/>
      <c r="ES259" s="330"/>
      <c r="ET259" s="330"/>
      <c r="EU259" s="285"/>
      <c r="EV259" s="285"/>
      <c r="EW259" s="285"/>
      <c r="EX259" s="285"/>
      <c r="EY259" s="285"/>
      <c r="EZ259" s="285"/>
      <c r="FA259" s="285"/>
      <c r="FB259" s="285"/>
      <c r="FC259" s="285"/>
      <c r="FD259" s="285"/>
      <c r="FE259" s="285"/>
      <c r="FF259" s="285"/>
      <c r="FG259" s="285"/>
      <c r="FH259" s="285"/>
      <c r="FI259" s="285"/>
      <c r="FJ259" s="285"/>
      <c r="FK259" s="285"/>
      <c r="FL259" s="285"/>
      <c r="FM259" s="285"/>
      <c r="FN259" s="285"/>
      <c r="FO259" s="285"/>
      <c r="FP259" s="285"/>
      <c r="FQ259" s="285"/>
      <c r="FR259" s="285"/>
      <c r="FS259" s="285"/>
      <c r="FT259" s="285"/>
      <c r="FU259" s="285"/>
      <c r="FV259" s="330"/>
      <c r="FW259" s="330"/>
      <c r="FX259" s="330"/>
      <c r="FY259" s="285"/>
      <c r="FZ259" s="285"/>
      <c r="GA259" s="285"/>
      <c r="GB259" s="330"/>
      <c r="GC259" s="330"/>
      <c r="GD259" s="330"/>
      <c r="GE259" s="330"/>
      <c r="GF259" s="330"/>
      <c r="GG259" s="330"/>
    </row>
    <row r="260" spans="1:189" s="146" customFormat="1">
      <c r="A260" s="151"/>
      <c r="B260" s="152"/>
      <c r="C260" s="201"/>
      <c r="D260" s="201"/>
      <c r="E260" s="201"/>
      <c r="J260" s="201"/>
      <c r="BE260" s="201"/>
      <c r="BF260" s="201"/>
      <c r="BG260" s="201"/>
      <c r="CI260" s="201"/>
      <c r="CJ260" s="201"/>
      <c r="CK260" s="201"/>
      <c r="CO260" s="295"/>
      <c r="CP260" s="330"/>
      <c r="CQ260" s="330"/>
      <c r="CR260" s="330"/>
      <c r="CS260" s="285"/>
      <c r="CT260" s="285"/>
      <c r="CU260" s="285"/>
      <c r="CV260" s="285"/>
      <c r="CW260" s="330"/>
      <c r="CX260" s="285"/>
      <c r="CY260" s="285"/>
      <c r="CZ260" s="285"/>
      <c r="DA260" s="285"/>
      <c r="DB260" s="285"/>
      <c r="DC260" s="285"/>
      <c r="DD260" s="285"/>
      <c r="DE260" s="285"/>
      <c r="DF260" s="285"/>
      <c r="DG260" s="285"/>
      <c r="DH260" s="285"/>
      <c r="DI260" s="285"/>
      <c r="DJ260" s="285"/>
      <c r="DK260" s="285"/>
      <c r="DL260" s="285"/>
      <c r="DM260" s="285"/>
      <c r="DN260" s="285"/>
      <c r="DO260" s="285"/>
      <c r="DP260" s="285"/>
      <c r="DQ260" s="285"/>
      <c r="DR260" s="285"/>
      <c r="DS260" s="285"/>
      <c r="DT260" s="285"/>
      <c r="DU260" s="285"/>
      <c r="DV260" s="285"/>
      <c r="DW260" s="285"/>
      <c r="DX260" s="285"/>
      <c r="DY260" s="285"/>
      <c r="DZ260" s="285"/>
      <c r="EA260" s="285"/>
      <c r="EB260" s="285"/>
      <c r="EC260" s="285"/>
      <c r="ED260" s="285"/>
      <c r="EE260" s="285"/>
      <c r="EF260" s="285"/>
      <c r="EG260" s="285"/>
      <c r="EH260" s="285"/>
      <c r="EI260" s="285"/>
      <c r="EJ260" s="285"/>
      <c r="EK260" s="285"/>
      <c r="EL260" s="285"/>
      <c r="EM260" s="285"/>
      <c r="EN260" s="285"/>
      <c r="EO260" s="285"/>
      <c r="EP260" s="285"/>
      <c r="EQ260" s="285"/>
      <c r="ER260" s="330"/>
      <c r="ES260" s="330"/>
      <c r="ET260" s="330"/>
      <c r="EU260" s="285"/>
      <c r="EV260" s="285"/>
      <c r="EW260" s="285"/>
      <c r="EX260" s="285"/>
      <c r="EY260" s="285"/>
      <c r="EZ260" s="285"/>
      <c r="FA260" s="285"/>
      <c r="FB260" s="285"/>
      <c r="FC260" s="285"/>
      <c r="FD260" s="285"/>
      <c r="FE260" s="285"/>
      <c r="FF260" s="285"/>
      <c r="FG260" s="285"/>
      <c r="FH260" s="285"/>
      <c r="FI260" s="285"/>
      <c r="FJ260" s="285"/>
      <c r="FK260" s="285"/>
      <c r="FL260" s="285"/>
      <c r="FM260" s="285"/>
      <c r="FN260" s="285"/>
      <c r="FO260" s="285"/>
      <c r="FP260" s="285"/>
      <c r="FQ260" s="285"/>
      <c r="FR260" s="285"/>
      <c r="FS260" s="285"/>
      <c r="FT260" s="285"/>
      <c r="FU260" s="285"/>
      <c r="FV260" s="330"/>
      <c r="FW260" s="330"/>
      <c r="FX260" s="330"/>
      <c r="FY260" s="285"/>
      <c r="FZ260" s="285"/>
      <c r="GA260" s="285"/>
      <c r="GB260" s="330"/>
      <c r="GC260" s="330"/>
      <c r="GD260" s="330"/>
      <c r="GE260" s="330"/>
      <c r="GF260" s="330"/>
      <c r="GG260" s="330"/>
    </row>
    <row r="261" spans="1:189" s="146" customFormat="1" ht="15.75" customHeight="1">
      <c r="A261" s="151"/>
      <c r="B261" s="152"/>
      <c r="C261" s="201"/>
      <c r="D261" s="201"/>
      <c r="E261" s="201"/>
      <c r="J261" s="201"/>
      <c r="BE261" s="201"/>
      <c r="BF261" s="201"/>
      <c r="BG261" s="201"/>
      <c r="CI261" s="201"/>
      <c r="CJ261" s="201"/>
      <c r="CK261" s="201"/>
      <c r="CO261" s="295"/>
      <c r="CP261" s="330"/>
      <c r="CQ261" s="330"/>
      <c r="CR261" s="330"/>
      <c r="CS261" s="285"/>
      <c r="CT261" s="285"/>
      <c r="CU261" s="285"/>
      <c r="CV261" s="285"/>
      <c r="CW261" s="330"/>
      <c r="CX261" s="285"/>
      <c r="CY261" s="285"/>
      <c r="CZ261" s="285"/>
      <c r="DA261" s="285"/>
      <c r="DB261" s="285"/>
      <c r="DC261" s="285"/>
      <c r="DD261" s="285"/>
      <c r="DE261" s="285"/>
      <c r="DF261" s="285"/>
      <c r="DG261" s="285"/>
      <c r="DH261" s="285"/>
      <c r="DI261" s="285"/>
      <c r="DJ261" s="285"/>
      <c r="DK261" s="285"/>
      <c r="DL261" s="285"/>
      <c r="DM261" s="285"/>
      <c r="DN261" s="285"/>
      <c r="DO261" s="285"/>
      <c r="DP261" s="285"/>
      <c r="DQ261" s="285"/>
      <c r="DR261" s="285"/>
      <c r="DS261" s="285"/>
      <c r="DT261" s="285"/>
      <c r="DU261" s="285"/>
      <c r="DV261" s="285"/>
      <c r="DW261" s="285"/>
      <c r="DX261" s="285"/>
      <c r="DY261" s="285"/>
      <c r="DZ261" s="285"/>
      <c r="EA261" s="285"/>
      <c r="EB261" s="285"/>
      <c r="EC261" s="285"/>
      <c r="ED261" s="285"/>
      <c r="EE261" s="285"/>
      <c r="EF261" s="285"/>
      <c r="EG261" s="285"/>
      <c r="EH261" s="285"/>
      <c r="EI261" s="285"/>
      <c r="EJ261" s="285"/>
      <c r="EK261" s="285"/>
      <c r="EL261" s="285"/>
      <c r="EM261" s="285"/>
      <c r="EN261" s="285"/>
      <c r="EO261" s="285"/>
      <c r="EP261" s="285"/>
      <c r="EQ261" s="285"/>
      <c r="ER261" s="330"/>
      <c r="ES261" s="330"/>
      <c r="ET261" s="330"/>
      <c r="EU261" s="285"/>
      <c r="EV261" s="285"/>
      <c r="EW261" s="285"/>
      <c r="EX261" s="285"/>
      <c r="EY261" s="285"/>
      <c r="EZ261" s="285"/>
      <c r="FA261" s="285"/>
      <c r="FB261" s="285"/>
      <c r="FC261" s="285"/>
      <c r="FD261" s="285"/>
      <c r="FE261" s="285"/>
      <c r="FF261" s="285"/>
      <c r="FG261" s="285"/>
      <c r="FH261" s="285"/>
      <c r="FI261" s="285"/>
      <c r="FJ261" s="285"/>
      <c r="FK261" s="285"/>
      <c r="FL261" s="285"/>
      <c r="FM261" s="285"/>
      <c r="FN261" s="285"/>
      <c r="FO261" s="285"/>
      <c r="FP261" s="285"/>
      <c r="FQ261" s="285"/>
      <c r="FR261" s="285"/>
      <c r="FS261" s="285"/>
      <c r="FT261" s="285"/>
      <c r="FU261" s="285"/>
      <c r="FV261" s="330"/>
      <c r="FW261" s="330"/>
      <c r="FX261" s="330"/>
      <c r="FY261" s="285"/>
      <c r="FZ261" s="285"/>
      <c r="GA261" s="285"/>
      <c r="GB261" s="330"/>
      <c r="GC261" s="330"/>
      <c r="GD261" s="330"/>
      <c r="GE261" s="330"/>
      <c r="GF261" s="330"/>
      <c r="GG261" s="330"/>
    </row>
    <row r="262" spans="1:189" s="146" customFormat="1">
      <c r="A262" s="151"/>
      <c r="B262" s="152"/>
      <c r="C262" s="201"/>
      <c r="D262" s="201"/>
      <c r="E262" s="201"/>
      <c r="J262" s="201"/>
      <c r="BE262" s="201"/>
      <c r="BF262" s="201"/>
      <c r="BG262" s="201"/>
      <c r="CI262" s="201"/>
      <c r="CJ262" s="201"/>
      <c r="CK262" s="201"/>
      <c r="CO262" s="295"/>
      <c r="CP262" s="330"/>
      <c r="CQ262" s="330"/>
      <c r="CR262" s="330"/>
      <c r="CS262" s="285"/>
      <c r="CT262" s="285"/>
      <c r="CU262" s="285"/>
      <c r="CV262" s="285"/>
      <c r="CW262" s="330"/>
      <c r="CX262" s="285"/>
      <c r="CY262" s="285"/>
      <c r="CZ262" s="285"/>
      <c r="DA262" s="285"/>
      <c r="DB262" s="285"/>
      <c r="DC262" s="285"/>
      <c r="DD262" s="285"/>
      <c r="DE262" s="285"/>
      <c r="DF262" s="285"/>
      <c r="DG262" s="285"/>
      <c r="DH262" s="285"/>
      <c r="DI262" s="285"/>
      <c r="DJ262" s="285"/>
      <c r="DK262" s="285"/>
      <c r="DL262" s="285"/>
      <c r="DM262" s="285"/>
      <c r="DN262" s="285"/>
      <c r="DO262" s="285"/>
      <c r="DP262" s="285"/>
      <c r="DQ262" s="285"/>
      <c r="DR262" s="285"/>
      <c r="DS262" s="285"/>
      <c r="DT262" s="285"/>
      <c r="DU262" s="285"/>
      <c r="DV262" s="285"/>
      <c r="DW262" s="285"/>
      <c r="DX262" s="285"/>
      <c r="DY262" s="285"/>
      <c r="DZ262" s="285"/>
      <c r="EA262" s="285"/>
      <c r="EB262" s="285"/>
      <c r="EC262" s="285"/>
      <c r="ED262" s="285"/>
      <c r="EE262" s="285"/>
      <c r="EF262" s="285"/>
      <c r="EG262" s="285"/>
      <c r="EH262" s="285"/>
      <c r="EI262" s="285"/>
      <c r="EJ262" s="285"/>
      <c r="EK262" s="285"/>
      <c r="EL262" s="285"/>
      <c r="EM262" s="285"/>
      <c r="EN262" s="285"/>
      <c r="EO262" s="285"/>
      <c r="EP262" s="285"/>
      <c r="EQ262" s="285"/>
      <c r="ER262" s="330"/>
      <c r="ES262" s="330"/>
      <c r="ET262" s="330"/>
      <c r="EU262" s="285"/>
      <c r="EV262" s="285"/>
      <c r="EW262" s="285"/>
      <c r="EX262" s="285"/>
      <c r="EY262" s="285"/>
      <c r="EZ262" s="285"/>
      <c r="FA262" s="285"/>
      <c r="FB262" s="285"/>
      <c r="FC262" s="285"/>
      <c r="FD262" s="285"/>
      <c r="FE262" s="285"/>
      <c r="FF262" s="285"/>
      <c r="FG262" s="285"/>
      <c r="FH262" s="285"/>
      <c r="FI262" s="285"/>
      <c r="FJ262" s="285"/>
      <c r="FK262" s="285"/>
      <c r="FL262" s="285"/>
      <c r="FM262" s="285"/>
      <c r="FN262" s="285"/>
      <c r="FO262" s="285"/>
      <c r="FP262" s="285"/>
      <c r="FQ262" s="285"/>
      <c r="FR262" s="285"/>
      <c r="FS262" s="285"/>
      <c r="FT262" s="285"/>
      <c r="FU262" s="285"/>
      <c r="FV262" s="330"/>
      <c r="FW262" s="330"/>
      <c r="FX262" s="330"/>
      <c r="FY262" s="285"/>
      <c r="FZ262" s="285"/>
      <c r="GA262" s="285"/>
      <c r="GB262" s="330"/>
      <c r="GC262" s="330"/>
      <c r="GD262" s="330"/>
      <c r="GE262" s="330"/>
      <c r="GF262" s="330"/>
      <c r="GG262" s="330"/>
    </row>
    <row r="263" spans="1:189" s="146" customFormat="1">
      <c r="A263" s="151"/>
      <c r="B263" s="152"/>
      <c r="C263" s="201"/>
      <c r="D263" s="201"/>
      <c r="E263" s="201"/>
      <c r="J263" s="201"/>
      <c r="BE263" s="201"/>
      <c r="BF263" s="201"/>
      <c r="BG263" s="201"/>
      <c r="CI263" s="201"/>
      <c r="CJ263" s="201"/>
      <c r="CK263" s="201"/>
      <c r="CO263" s="295"/>
      <c r="CP263" s="330"/>
      <c r="CQ263" s="330"/>
      <c r="CR263" s="330"/>
      <c r="CS263" s="285"/>
      <c r="CT263" s="285"/>
      <c r="CU263" s="285"/>
      <c r="CV263" s="285"/>
      <c r="CW263" s="330"/>
      <c r="CX263" s="285"/>
      <c r="CY263" s="285"/>
      <c r="CZ263" s="285"/>
      <c r="DA263" s="285"/>
      <c r="DB263" s="285"/>
      <c r="DC263" s="285"/>
      <c r="DD263" s="285"/>
      <c r="DE263" s="285"/>
      <c r="DF263" s="285"/>
      <c r="DG263" s="285"/>
      <c r="DH263" s="285"/>
      <c r="DI263" s="285"/>
      <c r="DJ263" s="285"/>
      <c r="DK263" s="285"/>
      <c r="DL263" s="285"/>
      <c r="DM263" s="285"/>
      <c r="DN263" s="285"/>
      <c r="DO263" s="285"/>
      <c r="DP263" s="285"/>
      <c r="DQ263" s="285"/>
      <c r="DR263" s="285"/>
      <c r="DS263" s="285"/>
      <c r="DT263" s="285"/>
      <c r="DU263" s="285"/>
      <c r="DV263" s="285"/>
      <c r="DW263" s="285"/>
      <c r="DX263" s="285"/>
      <c r="DY263" s="285"/>
      <c r="DZ263" s="285"/>
      <c r="EA263" s="285"/>
      <c r="EB263" s="285"/>
      <c r="EC263" s="285"/>
      <c r="ED263" s="285"/>
      <c r="EE263" s="285"/>
      <c r="EF263" s="285"/>
      <c r="EG263" s="285"/>
      <c r="EH263" s="285"/>
      <c r="EI263" s="285"/>
      <c r="EJ263" s="285"/>
      <c r="EK263" s="285"/>
      <c r="EL263" s="285"/>
      <c r="EM263" s="285"/>
      <c r="EN263" s="285"/>
      <c r="EO263" s="285"/>
      <c r="EP263" s="285"/>
      <c r="EQ263" s="285"/>
      <c r="ER263" s="330"/>
      <c r="ES263" s="330"/>
      <c r="ET263" s="330"/>
      <c r="EU263" s="285"/>
      <c r="EV263" s="285"/>
      <c r="EW263" s="285"/>
      <c r="EX263" s="285"/>
      <c r="EY263" s="285"/>
      <c r="EZ263" s="285"/>
      <c r="FA263" s="285"/>
      <c r="FB263" s="285"/>
      <c r="FC263" s="285"/>
      <c r="FD263" s="285"/>
      <c r="FE263" s="285"/>
      <c r="FF263" s="285"/>
      <c r="FG263" s="285"/>
      <c r="FH263" s="285"/>
      <c r="FI263" s="285"/>
      <c r="FJ263" s="285"/>
      <c r="FK263" s="285"/>
      <c r="FL263" s="285"/>
      <c r="FM263" s="285"/>
      <c r="FN263" s="285"/>
      <c r="FO263" s="285"/>
      <c r="FP263" s="285"/>
      <c r="FQ263" s="285"/>
      <c r="FR263" s="285"/>
      <c r="FS263" s="285"/>
      <c r="FT263" s="285"/>
      <c r="FU263" s="285"/>
      <c r="FV263" s="330"/>
      <c r="FW263" s="330"/>
      <c r="FX263" s="330"/>
      <c r="FY263" s="285"/>
      <c r="FZ263" s="285"/>
      <c r="GA263" s="285"/>
      <c r="GB263" s="330"/>
      <c r="GC263" s="330"/>
      <c r="GD263" s="330"/>
      <c r="GE263" s="330"/>
      <c r="GF263" s="330"/>
      <c r="GG263" s="330"/>
    </row>
    <row r="264" spans="1:189" s="146" customFormat="1">
      <c r="A264" s="151"/>
      <c r="B264" s="152"/>
      <c r="C264" s="201"/>
      <c r="D264" s="201"/>
      <c r="E264" s="201"/>
      <c r="J264" s="201"/>
      <c r="BE264" s="201"/>
      <c r="BF264" s="201"/>
      <c r="BG264" s="201"/>
      <c r="CI264" s="201"/>
      <c r="CJ264" s="201"/>
      <c r="CK264" s="201"/>
      <c r="CO264" s="295"/>
      <c r="CP264" s="330"/>
      <c r="CQ264" s="330"/>
      <c r="CR264" s="330"/>
      <c r="CS264" s="285"/>
      <c r="CT264" s="285"/>
      <c r="CU264" s="285"/>
      <c r="CV264" s="285"/>
      <c r="CW264" s="330"/>
      <c r="CX264" s="285"/>
      <c r="CY264" s="285"/>
      <c r="CZ264" s="285"/>
      <c r="DA264" s="285"/>
      <c r="DB264" s="285"/>
      <c r="DC264" s="285"/>
      <c r="DD264" s="285"/>
      <c r="DE264" s="285"/>
      <c r="DF264" s="285"/>
      <c r="DG264" s="285"/>
      <c r="DH264" s="285"/>
      <c r="DI264" s="285"/>
      <c r="DJ264" s="285"/>
      <c r="DK264" s="285"/>
      <c r="DL264" s="285"/>
      <c r="DM264" s="285"/>
      <c r="DN264" s="285"/>
      <c r="DO264" s="285"/>
      <c r="DP264" s="285"/>
      <c r="DQ264" s="285"/>
      <c r="DR264" s="285"/>
      <c r="DS264" s="285"/>
      <c r="DT264" s="285"/>
      <c r="DU264" s="285"/>
      <c r="DV264" s="285"/>
      <c r="DW264" s="285"/>
      <c r="DX264" s="285"/>
      <c r="DY264" s="285"/>
      <c r="DZ264" s="285"/>
      <c r="EA264" s="285"/>
      <c r="EB264" s="285"/>
      <c r="EC264" s="285"/>
      <c r="ED264" s="285"/>
      <c r="EE264" s="285"/>
      <c r="EF264" s="285"/>
      <c r="EG264" s="285"/>
      <c r="EH264" s="285"/>
      <c r="EI264" s="285"/>
      <c r="EJ264" s="285"/>
      <c r="EK264" s="285"/>
      <c r="EL264" s="285"/>
      <c r="EM264" s="285"/>
      <c r="EN264" s="285"/>
      <c r="EO264" s="285"/>
      <c r="EP264" s="285"/>
      <c r="EQ264" s="285"/>
      <c r="ER264" s="330"/>
      <c r="ES264" s="330"/>
      <c r="ET264" s="330"/>
      <c r="EU264" s="285"/>
      <c r="EV264" s="285"/>
      <c r="EW264" s="285"/>
      <c r="EX264" s="285"/>
      <c r="EY264" s="285"/>
      <c r="EZ264" s="285"/>
      <c r="FA264" s="285"/>
      <c r="FB264" s="285"/>
      <c r="FC264" s="285"/>
      <c r="FD264" s="285"/>
      <c r="FE264" s="285"/>
      <c r="FF264" s="285"/>
      <c r="FG264" s="285"/>
      <c r="FH264" s="285"/>
      <c r="FI264" s="285"/>
      <c r="FJ264" s="285"/>
      <c r="FK264" s="285"/>
      <c r="FL264" s="285"/>
      <c r="FM264" s="285"/>
      <c r="FN264" s="285"/>
      <c r="FO264" s="285"/>
      <c r="FP264" s="285"/>
      <c r="FQ264" s="285"/>
      <c r="FR264" s="285"/>
      <c r="FS264" s="285"/>
      <c r="FT264" s="285"/>
      <c r="FU264" s="285"/>
      <c r="FV264" s="330"/>
      <c r="FW264" s="330"/>
      <c r="FX264" s="330"/>
      <c r="FY264" s="285"/>
      <c r="FZ264" s="285"/>
      <c r="GA264" s="285"/>
      <c r="GB264" s="330"/>
      <c r="GC264" s="330"/>
      <c r="GD264" s="330"/>
      <c r="GE264" s="330"/>
      <c r="GF264" s="330"/>
      <c r="GG264" s="330"/>
    </row>
    <row r="265" spans="1:189" s="146" customFormat="1" ht="15.75" customHeight="1">
      <c r="A265" s="151"/>
      <c r="B265" s="152"/>
      <c r="C265" s="201"/>
      <c r="D265" s="201"/>
      <c r="E265" s="201"/>
      <c r="J265" s="201"/>
      <c r="BE265" s="201"/>
      <c r="BF265" s="201"/>
      <c r="BG265" s="201"/>
      <c r="CI265" s="201"/>
      <c r="CJ265" s="201"/>
      <c r="CK265" s="201"/>
      <c r="CO265" s="295"/>
      <c r="CP265" s="330"/>
      <c r="CQ265" s="330"/>
      <c r="CR265" s="330"/>
      <c r="CS265" s="285"/>
      <c r="CT265" s="285"/>
      <c r="CU265" s="285"/>
      <c r="CV265" s="285"/>
      <c r="CW265" s="330"/>
      <c r="CX265" s="285"/>
      <c r="CY265" s="285"/>
      <c r="CZ265" s="285"/>
      <c r="DA265" s="285"/>
      <c r="DB265" s="285"/>
      <c r="DC265" s="285"/>
      <c r="DD265" s="285"/>
      <c r="DE265" s="285"/>
      <c r="DF265" s="285"/>
      <c r="DG265" s="285"/>
      <c r="DH265" s="285"/>
      <c r="DI265" s="285"/>
      <c r="DJ265" s="285"/>
      <c r="DK265" s="285"/>
      <c r="DL265" s="285"/>
      <c r="DM265" s="285"/>
      <c r="DN265" s="285"/>
      <c r="DO265" s="285"/>
      <c r="DP265" s="285"/>
      <c r="DQ265" s="285"/>
      <c r="DR265" s="285"/>
      <c r="DS265" s="285"/>
      <c r="DT265" s="285"/>
      <c r="DU265" s="285"/>
      <c r="DV265" s="285"/>
      <c r="DW265" s="285"/>
      <c r="DX265" s="285"/>
      <c r="DY265" s="285"/>
      <c r="DZ265" s="285"/>
      <c r="EA265" s="285"/>
      <c r="EB265" s="285"/>
      <c r="EC265" s="285"/>
      <c r="ED265" s="285"/>
      <c r="EE265" s="285"/>
      <c r="EF265" s="285"/>
      <c r="EG265" s="285"/>
      <c r="EH265" s="285"/>
      <c r="EI265" s="285"/>
      <c r="EJ265" s="285"/>
      <c r="EK265" s="285"/>
      <c r="EL265" s="285"/>
      <c r="EM265" s="285"/>
      <c r="EN265" s="285"/>
      <c r="EO265" s="285"/>
      <c r="EP265" s="285"/>
      <c r="EQ265" s="285"/>
      <c r="ER265" s="330"/>
      <c r="ES265" s="330"/>
      <c r="ET265" s="330"/>
      <c r="EU265" s="285"/>
      <c r="EV265" s="285"/>
      <c r="EW265" s="285"/>
      <c r="EX265" s="285"/>
      <c r="EY265" s="285"/>
      <c r="EZ265" s="285"/>
      <c r="FA265" s="285"/>
      <c r="FB265" s="285"/>
      <c r="FC265" s="285"/>
      <c r="FD265" s="285"/>
      <c r="FE265" s="285"/>
      <c r="FF265" s="285"/>
      <c r="FG265" s="285"/>
      <c r="FH265" s="285"/>
      <c r="FI265" s="285"/>
      <c r="FJ265" s="285"/>
      <c r="FK265" s="285"/>
      <c r="FL265" s="285"/>
      <c r="FM265" s="285"/>
      <c r="FN265" s="285"/>
      <c r="FO265" s="285"/>
      <c r="FP265" s="285"/>
      <c r="FQ265" s="285"/>
      <c r="FR265" s="285"/>
      <c r="FS265" s="285"/>
      <c r="FT265" s="285"/>
      <c r="FU265" s="285"/>
      <c r="FV265" s="330"/>
      <c r="FW265" s="330"/>
      <c r="FX265" s="330"/>
      <c r="FY265" s="285"/>
      <c r="FZ265" s="285"/>
      <c r="GA265" s="285"/>
      <c r="GB265" s="330"/>
      <c r="GC265" s="330"/>
      <c r="GD265" s="330"/>
      <c r="GE265" s="330"/>
      <c r="GF265" s="330"/>
      <c r="GG265" s="330"/>
    </row>
    <row r="266" spans="1:189" s="146" customFormat="1">
      <c r="A266" s="151"/>
      <c r="B266" s="152"/>
      <c r="C266" s="201"/>
      <c r="D266" s="201"/>
      <c r="E266" s="201"/>
      <c r="J266" s="201"/>
      <c r="BE266" s="201"/>
      <c r="BF266" s="201"/>
      <c r="BG266" s="201"/>
      <c r="CI266" s="201"/>
      <c r="CJ266" s="201"/>
      <c r="CK266" s="201"/>
      <c r="CO266" s="295"/>
      <c r="CP266" s="330"/>
      <c r="CQ266" s="330"/>
      <c r="CR266" s="330"/>
      <c r="CS266" s="285"/>
      <c r="CT266" s="285"/>
      <c r="CU266" s="285"/>
      <c r="CV266" s="285"/>
      <c r="CW266" s="330"/>
      <c r="CX266" s="285"/>
      <c r="CY266" s="285"/>
      <c r="CZ266" s="285"/>
      <c r="DA266" s="285"/>
      <c r="DB266" s="285"/>
      <c r="DC266" s="285"/>
      <c r="DD266" s="285"/>
      <c r="DE266" s="285"/>
      <c r="DF266" s="285"/>
      <c r="DG266" s="285"/>
      <c r="DH266" s="285"/>
      <c r="DI266" s="285"/>
      <c r="DJ266" s="285"/>
      <c r="DK266" s="285"/>
      <c r="DL266" s="285"/>
      <c r="DM266" s="285"/>
      <c r="DN266" s="285"/>
      <c r="DO266" s="285"/>
      <c r="DP266" s="285"/>
      <c r="DQ266" s="285"/>
      <c r="DR266" s="285"/>
      <c r="DS266" s="285"/>
      <c r="DT266" s="285"/>
      <c r="DU266" s="285"/>
      <c r="DV266" s="285"/>
      <c r="DW266" s="285"/>
      <c r="DX266" s="285"/>
      <c r="DY266" s="285"/>
      <c r="DZ266" s="285"/>
      <c r="EA266" s="285"/>
      <c r="EB266" s="285"/>
      <c r="EC266" s="285"/>
      <c r="ED266" s="285"/>
      <c r="EE266" s="285"/>
      <c r="EF266" s="285"/>
      <c r="EG266" s="285"/>
      <c r="EH266" s="285"/>
      <c r="EI266" s="285"/>
      <c r="EJ266" s="285"/>
      <c r="EK266" s="285"/>
      <c r="EL266" s="285"/>
      <c r="EM266" s="285"/>
      <c r="EN266" s="285"/>
      <c r="EO266" s="285"/>
      <c r="EP266" s="285"/>
      <c r="EQ266" s="285"/>
      <c r="ER266" s="330"/>
      <c r="ES266" s="330"/>
      <c r="ET266" s="330"/>
      <c r="EU266" s="285"/>
      <c r="EV266" s="285"/>
      <c r="EW266" s="285"/>
      <c r="EX266" s="285"/>
      <c r="EY266" s="285"/>
      <c r="EZ266" s="285"/>
      <c r="FA266" s="285"/>
      <c r="FB266" s="285"/>
      <c r="FC266" s="285"/>
      <c r="FD266" s="285"/>
      <c r="FE266" s="285"/>
      <c r="FF266" s="285"/>
      <c r="FG266" s="285"/>
      <c r="FH266" s="285"/>
      <c r="FI266" s="285"/>
      <c r="FJ266" s="285"/>
      <c r="FK266" s="285"/>
      <c r="FL266" s="285"/>
      <c r="FM266" s="285"/>
      <c r="FN266" s="285"/>
      <c r="FO266" s="285"/>
      <c r="FP266" s="285"/>
      <c r="FQ266" s="285"/>
      <c r="FR266" s="285"/>
      <c r="FS266" s="285"/>
      <c r="FT266" s="285"/>
      <c r="FU266" s="285"/>
      <c r="FV266" s="330"/>
      <c r="FW266" s="330"/>
      <c r="FX266" s="330"/>
      <c r="FY266" s="285"/>
      <c r="FZ266" s="285"/>
      <c r="GA266" s="285"/>
      <c r="GB266" s="330"/>
      <c r="GC266" s="330"/>
      <c r="GD266" s="330"/>
      <c r="GE266" s="330"/>
      <c r="GF266" s="330"/>
      <c r="GG266" s="330"/>
    </row>
    <row r="267" spans="1:189" s="146" customFormat="1">
      <c r="A267" s="151"/>
      <c r="B267" s="152"/>
      <c r="C267" s="201"/>
      <c r="D267" s="201"/>
      <c r="E267" s="201"/>
      <c r="J267" s="201"/>
      <c r="BE267" s="201"/>
      <c r="BF267" s="201"/>
      <c r="BG267" s="201"/>
      <c r="CI267" s="201"/>
      <c r="CJ267" s="201"/>
      <c r="CK267" s="201"/>
      <c r="CO267" s="295"/>
      <c r="CP267" s="330"/>
      <c r="CQ267" s="330"/>
      <c r="CR267" s="330"/>
      <c r="CS267" s="285"/>
      <c r="CT267" s="285"/>
      <c r="CU267" s="285"/>
      <c r="CV267" s="285"/>
      <c r="CW267" s="330"/>
      <c r="CX267" s="285"/>
      <c r="CY267" s="285"/>
      <c r="CZ267" s="285"/>
      <c r="DA267" s="285"/>
      <c r="DB267" s="285"/>
      <c r="DC267" s="285"/>
      <c r="DD267" s="285"/>
      <c r="DE267" s="285"/>
      <c r="DF267" s="285"/>
      <c r="DG267" s="285"/>
      <c r="DH267" s="285"/>
      <c r="DI267" s="285"/>
      <c r="DJ267" s="285"/>
      <c r="DK267" s="285"/>
      <c r="DL267" s="285"/>
      <c r="DM267" s="285"/>
      <c r="DN267" s="285"/>
      <c r="DO267" s="285"/>
      <c r="DP267" s="285"/>
      <c r="DQ267" s="285"/>
      <c r="DR267" s="285"/>
      <c r="DS267" s="285"/>
      <c r="DT267" s="285"/>
      <c r="DU267" s="285"/>
      <c r="DV267" s="285"/>
      <c r="DW267" s="285"/>
      <c r="DX267" s="285"/>
      <c r="DY267" s="285"/>
      <c r="DZ267" s="285"/>
      <c r="EA267" s="285"/>
      <c r="EB267" s="285"/>
      <c r="EC267" s="285"/>
      <c r="ED267" s="285"/>
      <c r="EE267" s="285"/>
      <c r="EF267" s="285"/>
      <c r="EG267" s="285"/>
      <c r="EH267" s="285"/>
      <c r="EI267" s="285"/>
      <c r="EJ267" s="285"/>
      <c r="EK267" s="285"/>
      <c r="EL267" s="285"/>
      <c r="EM267" s="285"/>
      <c r="EN267" s="285"/>
      <c r="EO267" s="285"/>
      <c r="EP267" s="285"/>
      <c r="EQ267" s="285"/>
      <c r="ER267" s="330"/>
      <c r="ES267" s="330"/>
      <c r="ET267" s="330"/>
      <c r="EU267" s="285"/>
      <c r="EV267" s="285"/>
      <c r="EW267" s="285"/>
      <c r="EX267" s="285"/>
      <c r="EY267" s="285"/>
      <c r="EZ267" s="285"/>
      <c r="FA267" s="285"/>
      <c r="FB267" s="285"/>
      <c r="FC267" s="285"/>
      <c r="FD267" s="285"/>
      <c r="FE267" s="285"/>
      <c r="FF267" s="285"/>
      <c r="FG267" s="285"/>
      <c r="FH267" s="285"/>
      <c r="FI267" s="285"/>
      <c r="FJ267" s="285"/>
      <c r="FK267" s="285"/>
      <c r="FL267" s="285"/>
      <c r="FM267" s="285"/>
      <c r="FN267" s="285"/>
      <c r="FO267" s="285"/>
      <c r="FP267" s="285"/>
      <c r="FQ267" s="285"/>
      <c r="FR267" s="285"/>
      <c r="FS267" s="285"/>
      <c r="FT267" s="285"/>
      <c r="FU267" s="285"/>
      <c r="FV267" s="330"/>
      <c r="FW267" s="330"/>
      <c r="FX267" s="330"/>
      <c r="FY267" s="285"/>
      <c r="FZ267" s="285"/>
      <c r="GA267" s="285"/>
      <c r="GB267" s="330"/>
      <c r="GC267" s="330"/>
      <c r="GD267" s="330"/>
      <c r="GE267" s="330"/>
      <c r="GF267" s="330"/>
      <c r="GG267" s="330"/>
    </row>
    <row r="268" spans="1:189" s="146" customFormat="1">
      <c r="A268" s="151"/>
      <c r="B268" s="152"/>
      <c r="C268" s="201"/>
      <c r="D268" s="201"/>
      <c r="E268" s="201"/>
      <c r="J268" s="201"/>
      <c r="BE268" s="201"/>
      <c r="BF268" s="201"/>
      <c r="BG268" s="201"/>
      <c r="CI268" s="201"/>
      <c r="CJ268" s="201"/>
      <c r="CK268" s="201"/>
      <c r="CO268" s="295"/>
      <c r="CP268" s="330"/>
      <c r="CQ268" s="330"/>
      <c r="CR268" s="330"/>
      <c r="CS268" s="285"/>
      <c r="CT268" s="285"/>
      <c r="CU268" s="285"/>
      <c r="CV268" s="285"/>
      <c r="CW268" s="330"/>
      <c r="CX268" s="285"/>
      <c r="CY268" s="285"/>
      <c r="CZ268" s="285"/>
      <c r="DA268" s="285"/>
      <c r="DB268" s="285"/>
      <c r="DC268" s="285"/>
      <c r="DD268" s="285"/>
      <c r="DE268" s="285"/>
      <c r="DF268" s="285"/>
      <c r="DG268" s="285"/>
      <c r="DH268" s="285"/>
      <c r="DI268" s="285"/>
      <c r="DJ268" s="285"/>
      <c r="DK268" s="285"/>
      <c r="DL268" s="285"/>
      <c r="DM268" s="285"/>
      <c r="DN268" s="285"/>
      <c r="DO268" s="285"/>
      <c r="DP268" s="285"/>
      <c r="DQ268" s="285"/>
      <c r="DR268" s="285"/>
      <c r="DS268" s="285"/>
      <c r="DT268" s="285"/>
      <c r="DU268" s="285"/>
      <c r="DV268" s="285"/>
      <c r="DW268" s="285"/>
      <c r="DX268" s="285"/>
      <c r="DY268" s="285"/>
      <c r="DZ268" s="285"/>
      <c r="EA268" s="285"/>
      <c r="EB268" s="285"/>
      <c r="EC268" s="285"/>
      <c r="ED268" s="285"/>
      <c r="EE268" s="285"/>
      <c r="EF268" s="285"/>
      <c r="EG268" s="285"/>
      <c r="EH268" s="285"/>
      <c r="EI268" s="285"/>
      <c r="EJ268" s="285"/>
      <c r="EK268" s="285"/>
      <c r="EL268" s="285"/>
      <c r="EM268" s="285"/>
      <c r="EN268" s="285"/>
      <c r="EO268" s="285"/>
      <c r="EP268" s="285"/>
      <c r="EQ268" s="285"/>
      <c r="ER268" s="330"/>
      <c r="ES268" s="330"/>
      <c r="ET268" s="330"/>
      <c r="EU268" s="285"/>
      <c r="EV268" s="285"/>
      <c r="EW268" s="285"/>
      <c r="EX268" s="285"/>
      <c r="EY268" s="285"/>
      <c r="EZ268" s="285"/>
      <c r="FA268" s="285"/>
      <c r="FB268" s="285"/>
      <c r="FC268" s="285"/>
      <c r="FD268" s="285"/>
      <c r="FE268" s="285"/>
      <c r="FF268" s="285"/>
      <c r="FG268" s="285"/>
      <c r="FH268" s="285"/>
      <c r="FI268" s="285"/>
      <c r="FJ268" s="285"/>
      <c r="FK268" s="285"/>
      <c r="FL268" s="285"/>
      <c r="FM268" s="285"/>
      <c r="FN268" s="285"/>
      <c r="FO268" s="285"/>
      <c r="FP268" s="285"/>
      <c r="FQ268" s="285"/>
      <c r="FR268" s="285"/>
      <c r="FS268" s="285"/>
      <c r="FT268" s="285"/>
      <c r="FU268" s="285"/>
      <c r="FV268" s="330"/>
      <c r="FW268" s="330"/>
      <c r="FX268" s="330"/>
      <c r="FY268" s="285"/>
      <c r="FZ268" s="285"/>
      <c r="GA268" s="285"/>
      <c r="GB268" s="330"/>
      <c r="GC268" s="330"/>
      <c r="GD268" s="330"/>
      <c r="GE268" s="330"/>
      <c r="GF268" s="330"/>
      <c r="GG268" s="330"/>
    </row>
    <row r="269" spans="1:189" s="146" customFormat="1" ht="15.75" customHeight="1">
      <c r="A269" s="151"/>
      <c r="B269" s="152"/>
      <c r="C269" s="201"/>
      <c r="D269" s="201"/>
      <c r="E269" s="201"/>
      <c r="J269" s="201"/>
      <c r="BE269" s="201"/>
      <c r="BF269" s="201"/>
      <c r="BG269" s="201"/>
      <c r="CI269" s="201"/>
      <c r="CJ269" s="201"/>
      <c r="CK269" s="201"/>
      <c r="CO269" s="295"/>
      <c r="CP269" s="330"/>
      <c r="CQ269" s="330"/>
      <c r="CR269" s="330"/>
      <c r="CS269" s="285"/>
      <c r="CT269" s="285"/>
      <c r="CU269" s="285"/>
      <c r="CV269" s="285"/>
      <c r="CW269" s="330"/>
      <c r="CX269" s="285"/>
      <c r="CY269" s="285"/>
      <c r="CZ269" s="285"/>
      <c r="DA269" s="285"/>
      <c r="DB269" s="285"/>
      <c r="DC269" s="285"/>
      <c r="DD269" s="285"/>
      <c r="DE269" s="285"/>
      <c r="DF269" s="285"/>
      <c r="DG269" s="285"/>
      <c r="DH269" s="285"/>
      <c r="DI269" s="285"/>
      <c r="DJ269" s="285"/>
      <c r="DK269" s="285"/>
      <c r="DL269" s="285"/>
      <c r="DM269" s="285"/>
      <c r="DN269" s="285"/>
      <c r="DO269" s="285"/>
      <c r="DP269" s="285"/>
      <c r="DQ269" s="285"/>
      <c r="DR269" s="285"/>
      <c r="DS269" s="285"/>
      <c r="DT269" s="285"/>
      <c r="DU269" s="285"/>
      <c r="DV269" s="285"/>
      <c r="DW269" s="285"/>
      <c r="DX269" s="285"/>
      <c r="DY269" s="285"/>
      <c r="DZ269" s="285"/>
      <c r="EA269" s="285"/>
      <c r="EB269" s="285"/>
      <c r="EC269" s="285"/>
      <c r="ED269" s="285"/>
      <c r="EE269" s="285"/>
      <c r="EF269" s="285"/>
      <c r="EG269" s="285"/>
      <c r="EH269" s="285"/>
      <c r="EI269" s="285"/>
      <c r="EJ269" s="285"/>
      <c r="EK269" s="285"/>
      <c r="EL269" s="285"/>
      <c r="EM269" s="285"/>
      <c r="EN269" s="285"/>
      <c r="EO269" s="285"/>
      <c r="EP269" s="285"/>
      <c r="EQ269" s="285"/>
      <c r="ER269" s="330"/>
      <c r="ES269" s="330"/>
      <c r="ET269" s="330"/>
      <c r="EU269" s="285"/>
      <c r="EV269" s="285"/>
      <c r="EW269" s="285"/>
      <c r="EX269" s="285"/>
      <c r="EY269" s="285"/>
      <c r="EZ269" s="285"/>
      <c r="FA269" s="285"/>
      <c r="FB269" s="285"/>
      <c r="FC269" s="285"/>
      <c r="FD269" s="285"/>
      <c r="FE269" s="285"/>
      <c r="FF269" s="285"/>
      <c r="FG269" s="285"/>
      <c r="FH269" s="285"/>
      <c r="FI269" s="285"/>
      <c r="FJ269" s="285"/>
      <c r="FK269" s="285"/>
      <c r="FL269" s="285"/>
      <c r="FM269" s="285"/>
      <c r="FN269" s="285"/>
      <c r="FO269" s="285"/>
      <c r="FP269" s="285"/>
      <c r="FQ269" s="285"/>
      <c r="FR269" s="285"/>
      <c r="FS269" s="285"/>
      <c r="FT269" s="285"/>
      <c r="FU269" s="285"/>
      <c r="FV269" s="330"/>
      <c r="FW269" s="330"/>
      <c r="FX269" s="330"/>
      <c r="FY269" s="285"/>
      <c r="FZ269" s="285"/>
      <c r="GA269" s="285"/>
      <c r="GB269" s="330"/>
      <c r="GC269" s="330"/>
      <c r="GD269" s="330"/>
      <c r="GE269" s="330"/>
      <c r="GF269" s="330"/>
      <c r="GG269" s="330"/>
    </row>
    <row r="270" spans="1:189" s="146" customFormat="1">
      <c r="A270" s="151"/>
      <c r="B270" s="152"/>
      <c r="C270" s="201"/>
      <c r="D270" s="201"/>
      <c r="E270" s="201"/>
      <c r="J270" s="201"/>
      <c r="BE270" s="201"/>
      <c r="BF270" s="201"/>
      <c r="BG270" s="201"/>
      <c r="CI270" s="201"/>
      <c r="CJ270" s="201"/>
      <c r="CK270" s="201"/>
      <c r="CO270" s="295"/>
      <c r="CP270" s="330"/>
      <c r="CQ270" s="330"/>
      <c r="CR270" s="330"/>
      <c r="CS270" s="285"/>
      <c r="CT270" s="285"/>
      <c r="CU270" s="285"/>
      <c r="CV270" s="285"/>
      <c r="CW270" s="330"/>
      <c r="CX270" s="285"/>
      <c r="CY270" s="285"/>
      <c r="CZ270" s="285"/>
      <c r="DA270" s="285"/>
      <c r="DB270" s="285"/>
      <c r="DC270" s="285"/>
      <c r="DD270" s="285"/>
      <c r="DE270" s="285"/>
      <c r="DF270" s="285"/>
      <c r="DG270" s="285"/>
      <c r="DH270" s="285"/>
      <c r="DI270" s="285"/>
      <c r="DJ270" s="285"/>
      <c r="DK270" s="285"/>
      <c r="DL270" s="285"/>
      <c r="DM270" s="285"/>
      <c r="DN270" s="285"/>
      <c r="DO270" s="285"/>
      <c r="DP270" s="285"/>
      <c r="DQ270" s="285"/>
      <c r="DR270" s="285"/>
      <c r="DS270" s="285"/>
      <c r="DT270" s="285"/>
      <c r="DU270" s="285"/>
      <c r="DV270" s="285"/>
      <c r="DW270" s="285"/>
      <c r="DX270" s="285"/>
      <c r="DY270" s="285"/>
      <c r="DZ270" s="285"/>
      <c r="EA270" s="285"/>
      <c r="EB270" s="285"/>
      <c r="EC270" s="285"/>
      <c r="ED270" s="285"/>
      <c r="EE270" s="285"/>
      <c r="EF270" s="285"/>
      <c r="EG270" s="285"/>
      <c r="EH270" s="285"/>
      <c r="EI270" s="285"/>
      <c r="EJ270" s="285"/>
      <c r="EK270" s="285"/>
      <c r="EL270" s="285"/>
      <c r="EM270" s="285"/>
      <c r="EN270" s="285"/>
      <c r="EO270" s="285"/>
      <c r="EP270" s="285"/>
      <c r="EQ270" s="285"/>
      <c r="ER270" s="330"/>
      <c r="ES270" s="330"/>
      <c r="ET270" s="330"/>
      <c r="EU270" s="285"/>
      <c r="EV270" s="285"/>
      <c r="EW270" s="285"/>
      <c r="EX270" s="285"/>
      <c r="EY270" s="285"/>
      <c r="EZ270" s="285"/>
      <c r="FA270" s="285"/>
      <c r="FB270" s="285"/>
      <c r="FC270" s="285"/>
      <c r="FD270" s="285"/>
      <c r="FE270" s="285"/>
      <c r="FF270" s="285"/>
      <c r="FG270" s="285"/>
      <c r="FH270" s="285"/>
      <c r="FI270" s="285"/>
      <c r="FJ270" s="285"/>
      <c r="FK270" s="285"/>
      <c r="FL270" s="285"/>
      <c r="FM270" s="285"/>
      <c r="FN270" s="285"/>
      <c r="FO270" s="285"/>
      <c r="FP270" s="285"/>
      <c r="FQ270" s="285"/>
      <c r="FR270" s="285"/>
      <c r="FS270" s="285"/>
      <c r="FT270" s="285"/>
      <c r="FU270" s="285"/>
      <c r="FV270" s="330"/>
      <c r="FW270" s="330"/>
      <c r="FX270" s="330"/>
      <c r="FY270" s="285"/>
      <c r="FZ270" s="285"/>
      <c r="GA270" s="285"/>
      <c r="GB270" s="330"/>
      <c r="GC270" s="330"/>
      <c r="GD270" s="330"/>
      <c r="GE270" s="330"/>
      <c r="GF270" s="330"/>
      <c r="GG270" s="330"/>
    </row>
    <row r="271" spans="1:189" s="146" customFormat="1">
      <c r="A271" s="151"/>
      <c r="B271" s="152"/>
      <c r="C271" s="201"/>
      <c r="D271" s="201"/>
      <c r="E271" s="201"/>
      <c r="J271" s="201"/>
      <c r="BE271" s="201"/>
      <c r="BF271" s="201"/>
      <c r="BG271" s="201"/>
      <c r="CI271" s="201"/>
      <c r="CJ271" s="201"/>
      <c r="CK271" s="201"/>
      <c r="CO271" s="295"/>
      <c r="CP271" s="330"/>
      <c r="CQ271" s="330"/>
      <c r="CR271" s="330"/>
      <c r="CS271" s="285"/>
      <c r="CT271" s="285"/>
      <c r="CU271" s="285"/>
      <c r="CV271" s="285"/>
      <c r="CW271" s="330"/>
      <c r="CX271" s="285"/>
      <c r="CY271" s="285"/>
      <c r="CZ271" s="285"/>
      <c r="DA271" s="285"/>
      <c r="DB271" s="285"/>
      <c r="DC271" s="285"/>
      <c r="DD271" s="285"/>
      <c r="DE271" s="285"/>
      <c r="DF271" s="285"/>
      <c r="DG271" s="285"/>
      <c r="DH271" s="285"/>
      <c r="DI271" s="285"/>
      <c r="DJ271" s="285"/>
      <c r="DK271" s="285"/>
      <c r="DL271" s="285"/>
      <c r="DM271" s="285"/>
      <c r="DN271" s="285"/>
      <c r="DO271" s="285"/>
      <c r="DP271" s="285"/>
      <c r="DQ271" s="285"/>
      <c r="DR271" s="285"/>
      <c r="DS271" s="285"/>
      <c r="DT271" s="285"/>
      <c r="DU271" s="285"/>
      <c r="DV271" s="285"/>
      <c r="DW271" s="285"/>
      <c r="DX271" s="285"/>
      <c r="DY271" s="285"/>
      <c r="DZ271" s="285"/>
      <c r="EA271" s="285"/>
      <c r="EB271" s="285"/>
      <c r="EC271" s="285"/>
      <c r="ED271" s="285"/>
      <c r="EE271" s="285"/>
      <c r="EF271" s="285"/>
      <c r="EG271" s="285"/>
      <c r="EH271" s="285"/>
      <c r="EI271" s="285"/>
      <c r="EJ271" s="285"/>
      <c r="EK271" s="285"/>
      <c r="EL271" s="285"/>
      <c r="EM271" s="285"/>
      <c r="EN271" s="285"/>
      <c r="EO271" s="285"/>
      <c r="EP271" s="285"/>
      <c r="EQ271" s="285"/>
      <c r="ER271" s="330"/>
      <c r="ES271" s="330"/>
      <c r="ET271" s="330"/>
      <c r="EU271" s="285"/>
      <c r="EV271" s="285"/>
      <c r="EW271" s="285"/>
      <c r="EX271" s="285"/>
      <c r="EY271" s="285"/>
      <c r="EZ271" s="285"/>
      <c r="FA271" s="285"/>
      <c r="FB271" s="285"/>
      <c r="FC271" s="285"/>
      <c r="FD271" s="285"/>
      <c r="FE271" s="285"/>
      <c r="FF271" s="285"/>
      <c r="FG271" s="285"/>
      <c r="FH271" s="285"/>
      <c r="FI271" s="285"/>
      <c r="FJ271" s="285"/>
      <c r="FK271" s="285"/>
      <c r="FL271" s="285"/>
      <c r="FM271" s="285"/>
      <c r="FN271" s="285"/>
      <c r="FO271" s="285"/>
      <c r="FP271" s="285"/>
      <c r="FQ271" s="285"/>
      <c r="FR271" s="285"/>
      <c r="FS271" s="285"/>
      <c r="FT271" s="285"/>
      <c r="FU271" s="285"/>
      <c r="FV271" s="330"/>
      <c r="FW271" s="330"/>
      <c r="FX271" s="330"/>
      <c r="FY271" s="285"/>
      <c r="FZ271" s="285"/>
      <c r="GA271" s="285"/>
      <c r="GB271" s="330"/>
      <c r="GC271" s="330"/>
      <c r="GD271" s="330"/>
      <c r="GE271" s="330"/>
      <c r="GF271" s="330"/>
      <c r="GG271" s="330"/>
    </row>
    <row r="272" spans="1:189" s="146" customFormat="1">
      <c r="A272" s="151"/>
      <c r="B272" s="152"/>
      <c r="C272" s="201"/>
      <c r="D272" s="201"/>
      <c r="E272" s="201"/>
      <c r="J272" s="201"/>
      <c r="BE272" s="201"/>
      <c r="BF272" s="201"/>
      <c r="BG272" s="201"/>
      <c r="CI272" s="201"/>
      <c r="CJ272" s="201"/>
      <c r="CK272" s="201"/>
      <c r="CO272" s="295"/>
      <c r="CP272" s="330"/>
      <c r="CQ272" s="330"/>
      <c r="CR272" s="330"/>
      <c r="CS272" s="285"/>
      <c r="CT272" s="285"/>
      <c r="CU272" s="285"/>
      <c r="CV272" s="285"/>
      <c r="CW272" s="330"/>
      <c r="CX272" s="285"/>
      <c r="CY272" s="285"/>
      <c r="CZ272" s="285"/>
      <c r="DA272" s="285"/>
      <c r="DB272" s="285"/>
      <c r="DC272" s="285"/>
      <c r="DD272" s="285"/>
      <c r="DE272" s="285"/>
      <c r="DF272" s="285"/>
      <c r="DG272" s="285"/>
      <c r="DH272" s="285"/>
      <c r="DI272" s="285"/>
      <c r="DJ272" s="285"/>
      <c r="DK272" s="285"/>
      <c r="DL272" s="285"/>
      <c r="DM272" s="285"/>
      <c r="DN272" s="285"/>
      <c r="DO272" s="285"/>
      <c r="DP272" s="285"/>
      <c r="DQ272" s="285"/>
      <c r="DR272" s="285"/>
      <c r="DS272" s="285"/>
      <c r="DT272" s="285"/>
      <c r="DU272" s="285"/>
      <c r="DV272" s="285"/>
      <c r="DW272" s="285"/>
      <c r="DX272" s="285"/>
      <c r="DY272" s="285"/>
      <c r="DZ272" s="285"/>
      <c r="EA272" s="285"/>
      <c r="EB272" s="285"/>
      <c r="EC272" s="285"/>
      <c r="ED272" s="285"/>
      <c r="EE272" s="285"/>
      <c r="EF272" s="285"/>
      <c r="EG272" s="285"/>
      <c r="EH272" s="285"/>
      <c r="EI272" s="285"/>
      <c r="EJ272" s="285"/>
      <c r="EK272" s="285"/>
      <c r="EL272" s="285"/>
      <c r="EM272" s="285"/>
      <c r="EN272" s="285"/>
      <c r="EO272" s="285"/>
      <c r="EP272" s="285"/>
      <c r="EQ272" s="285"/>
      <c r="ER272" s="330"/>
      <c r="ES272" s="330"/>
      <c r="ET272" s="330"/>
      <c r="EU272" s="285"/>
      <c r="EV272" s="285"/>
      <c r="EW272" s="285"/>
      <c r="EX272" s="285"/>
      <c r="EY272" s="285"/>
      <c r="EZ272" s="285"/>
      <c r="FA272" s="285"/>
      <c r="FB272" s="285"/>
      <c r="FC272" s="285"/>
      <c r="FD272" s="285"/>
      <c r="FE272" s="285"/>
      <c r="FF272" s="285"/>
      <c r="FG272" s="285"/>
      <c r="FH272" s="285"/>
      <c r="FI272" s="285"/>
      <c r="FJ272" s="285"/>
      <c r="FK272" s="285"/>
      <c r="FL272" s="285"/>
      <c r="FM272" s="285"/>
      <c r="FN272" s="285"/>
      <c r="FO272" s="285"/>
      <c r="FP272" s="285"/>
      <c r="FQ272" s="285"/>
      <c r="FR272" s="285"/>
      <c r="FS272" s="285"/>
      <c r="FT272" s="285"/>
      <c r="FU272" s="285"/>
      <c r="FV272" s="330"/>
      <c r="FW272" s="330"/>
      <c r="FX272" s="330"/>
      <c r="FY272" s="285"/>
      <c r="FZ272" s="285"/>
      <c r="GA272" s="285"/>
      <c r="GB272" s="330"/>
      <c r="GC272" s="330"/>
      <c r="GD272" s="330"/>
      <c r="GE272" s="330"/>
      <c r="GF272" s="330"/>
      <c r="GG272" s="330"/>
    </row>
    <row r="273" spans="1:189" s="146" customFormat="1" ht="15.75" customHeight="1">
      <c r="A273" s="151"/>
      <c r="B273" s="152"/>
      <c r="C273" s="201"/>
      <c r="D273" s="201"/>
      <c r="E273" s="201"/>
      <c r="J273" s="201"/>
      <c r="BE273" s="201"/>
      <c r="BF273" s="201"/>
      <c r="BG273" s="201"/>
      <c r="CI273" s="201"/>
      <c r="CJ273" s="201"/>
      <c r="CK273" s="201"/>
      <c r="CO273" s="295"/>
      <c r="CP273" s="330"/>
      <c r="CQ273" s="330"/>
      <c r="CR273" s="330"/>
      <c r="CS273" s="285"/>
      <c r="CT273" s="285"/>
      <c r="CU273" s="285"/>
      <c r="CV273" s="285"/>
      <c r="CW273" s="330"/>
      <c r="CX273" s="285"/>
      <c r="CY273" s="285"/>
      <c r="CZ273" s="285"/>
      <c r="DA273" s="285"/>
      <c r="DB273" s="285"/>
      <c r="DC273" s="285"/>
      <c r="DD273" s="285"/>
      <c r="DE273" s="285"/>
      <c r="DF273" s="285"/>
      <c r="DG273" s="285"/>
      <c r="DH273" s="285"/>
      <c r="DI273" s="285"/>
      <c r="DJ273" s="285"/>
      <c r="DK273" s="285"/>
      <c r="DL273" s="285"/>
      <c r="DM273" s="285"/>
      <c r="DN273" s="285"/>
      <c r="DO273" s="285"/>
      <c r="DP273" s="285"/>
      <c r="DQ273" s="285"/>
      <c r="DR273" s="285"/>
      <c r="DS273" s="285"/>
      <c r="DT273" s="285"/>
      <c r="DU273" s="285"/>
      <c r="DV273" s="285"/>
      <c r="DW273" s="285"/>
      <c r="DX273" s="285"/>
      <c r="DY273" s="285"/>
      <c r="DZ273" s="285"/>
      <c r="EA273" s="285"/>
      <c r="EB273" s="285"/>
      <c r="EC273" s="285"/>
      <c r="ED273" s="285"/>
      <c r="EE273" s="285"/>
      <c r="EF273" s="285"/>
      <c r="EG273" s="285"/>
      <c r="EH273" s="285"/>
      <c r="EI273" s="285"/>
      <c r="EJ273" s="285"/>
      <c r="EK273" s="285"/>
      <c r="EL273" s="285"/>
      <c r="EM273" s="285"/>
      <c r="EN273" s="285"/>
      <c r="EO273" s="285"/>
      <c r="EP273" s="285"/>
      <c r="EQ273" s="285"/>
      <c r="ER273" s="330"/>
      <c r="ES273" s="330"/>
      <c r="ET273" s="330"/>
      <c r="EU273" s="285"/>
      <c r="EV273" s="285"/>
      <c r="EW273" s="285"/>
      <c r="EX273" s="285"/>
      <c r="EY273" s="285"/>
      <c r="EZ273" s="285"/>
      <c r="FA273" s="285"/>
      <c r="FB273" s="285"/>
      <c r="FC273" s="285"/>
      <c r="FD273" s="285"/>
      <c r="FE273" s="285"/>
      <c r="FF273" s="285"/>
      <c r="FG273" s="285"/>
      <c r="FH273" s="285"/>
      <c r="FI273" s="285"/>
      <c r="FJ273" s="285"/>
      <c r="FK273" s="285"/>
      <c r="FL273" s="285"/>
      <c r="FM273" s="285"/>
      <c r="FN273" s="285"/>
      <c r="FO273" s="285"/>
      <c r="FP273" s="285"/>
      <c r="FQ273" s="285"/>
      <c r="FR273" s="285"/>
      <c r="FS273" s="285"/>
      <c r="FT273" s="285"/>
      <c r="FU273" s="285"/>
      <c r="FV273" s="330"/>
      <c r="FW273" s="330"/>
      <c r="FX273" s="330"/>
      <c r="FY273" s="285"/>
      <c r="FZ273" s="285"/>
      <c r="GA273" s="285"/>
      <c r="GB273" s="330"/>
      <c r="GC273" s="330"/>
      <c r="GD273" s="330"/>
      <c r="GE273" s="330"/>
      <c r="GF273" s="330"/>
      <c r="GG273" s="330"/>
    </row>
    <row r="274" spans="1:189" s="146" customFormat="1">
      <c r="A274" s="151"/>
      <c r="B274" s="152"/>
      <c r="C274" s="201"/>
      <c r="D274" s="201"/>
      <c r="E274" s="201"/>
      <c r="J274" s="201"/>
      <c r="BE274" s="201"/>
      <c r="BF274" s="201"/>
      <c r="BG274" s="201"/>
      <c r="CI274" s="201"/>
      <c r="CJ274" s="201"/>
      <c r="CK274" s="201"/>
      <c r="CO274" s="295"/>
      <c r="CP274" s="330"/>
      <c r="CQ274" s="330"/>
      <c r="CR274" s="330"/>
      <c r="CS274" s="285"/>
      <c r="CT274" s="285"/>
      <c r="CU274" s="285"/>
      <c r="CV274" s="285"/>
      <c r="CW274" s="330"/>
      <c r="CX274" s="285"/>
      <c r="CY274" s="285"/>
      <c r="CZ274" s="285"/>
      <c r="DA274" s="285"/>
      <c r="DB274" s="285"/>
      <c r="DC274" s="285"/>
      <c r="DD274" s="285"/>
      <c r="DE274" s="285"/>
      <c r="DF274" s="285"/>
      <c r="DG274" s="285"/>
      <c r="DH274" s="285"/>
      <c r="DI274" s="285"/>
      <c r="DJ274" s="285"/>
      <c r="DK274" s="285"/>
      <c r="DL274" s="285"/>
      <c r="DM274" s="285"/>
      <c r="DN274" s="285"/>
      <c r="DO274" s="285"/>
      <c r="DP274" s="285"/>
      <c r="DQ274" s="285"/>
      <c r="DR274" s="285"/>
      <c r="DS274" s="285"/>
      <c r="DT274" s="285"/>
      <c r="DU274" s="285"/>
      <c r="DV274" s="285"/>
      <c r="DW274" s="285"/>
      <c r="DX274" s="285"/>
      <c r="DY274" s="285"/>
      <c r="DZ274" s="285"/>
      <c r="EA274" s="285"/>
      <c r="EB274" s="285"/>
      <c r="EC274" s="285"/>
      <c r="ED274" s="285"/>
      <c r="EE274" s="285"/>
      <c r="EF274" s="285"/>
      <c r="EG274" s="285"/>
      <c r="EH274" s="285"/>
      <c r="EI274" s="285"/>
      <c r="EJ274" s="285"/>
      <c r="EK274" s="285"/>
      <c r="EL274" s="285"/>
      <c r="EM274" s="285"/>
      <c r="EN274" s="285"/>
      <c r="EO274" s="285"/>
      <c r="EP274" s="285"/>
      <c r="EQ274" s="285"/>
      <c r="ER274" s="330"/>
      <c r="ES274" s="330"/>
      <c r="ET274" s="330"/>
      <c r="EU274" s="285"/>
      <c r="EV274" s="285"/>
      <c r="EW274" s="285"/>
      <c r="EX274" s="285"/>
      <c r="EY274" s="285"/>
      <c r="EZ274" s="285"/>
      <c r="FA274" s="285"/>
      <c r="FB274" s="285"/>
      <c r="FC274" s="285"/>
      <c r="FD274" s="285"/>
      <c r="FE274" s="285"/>
      <c r="FF274" s="285"/>
      <c r="FG274" s="285"/>
      <c r="FH274" s="285"/>
      <c r="FI274" s="285"/>
      <c r="FJ274" s="285"/>
      <c r="FK274" s="285"/>
      <c r="FL274" s="285"/>
      <c r="FM274" s="285"/>
      <c r="FN274" s="285"/>
      <c r="FO274" s="285"/>
      <c r="FP274" s="285"/>
      <c r="FQ274" s="285"/>
      <c r="FR274" s="285"/>
      <c r="FS274" s="285"/>
      <c r="FT274" s="285"/>
      <c r="FU274" s="285"/>
      <c r="FV274" s="330"/>
      <c r="FW274" s="330"/>
      <c r="FX274" s="330"/>
      <c r="FY274" s="285"/>
      <c r="FZ274" s="285"/>
      <c r="GA274" s="285"/>
      <c r="GB274" s="330"/>
      <c r="GC274" s="330"/>
      <c r="GD274" s="330"/>
      <c r="GE274" s="330"/>
      <c r="GF274" s="330"/>
      <c r="GG274" s="330"/>
    </row>
    <row r="275" spans="1:189" s="146" customFormat="1">
      <c r="A275" s="151"/>
      <c r="B275" s="152"/>
      <c r="C275" s="201"/>
      <c r="D275" s="201"/>
      <c r="E275" s="201"/>
      <c r="J275" s="201"/>
      <c r="BE275" s="201"/>
      <c r="BF275" s="201"/>
      <c r="BG275" s="201"/>
      <c r="CI275" s="201"/>
      <c r="CJ275" s="201"/>
      <c r="CK275" s="201"/>
      <c r="CO275" s="295"/>
      <c r="CP275" s="330"/>
      <c r="CQ275" s="330"/>
      <c r="CR275" s="330"/>
      <c r="CS275" s="285"/>
      <c r="CT275" s="285"/>
      <c r="CU275" s="285"/>
      <c r="CV275" s="285"/>
      <c r="CW275" s="330"/>
      <c r="CX275" s="285"/>
      <c r="CY275" s="285"/>
      <c r="CZ275" s="285"/>
      <c r="DA275" s="285"/>
      <c r="DB275" s="285"/>
      <c r="DC275" s="285"/>
      <c r="DD275" s="285"/>
      <c r="DE275" s="285"/>
      <c r="DF275" s="285"/>
      <c r="DG275" s="285"/>
      <c r="DH275" s="285"/>
      <c r="DI275" s="285"/>
      <c r="DJ275" s="285"/>
      <c r="DK275" s="285"/>
      <c r="DL275" s="285"/>
      <c r="DM275" s="285"/>
      <c r="DN275" s="285"/>
      <c r="DO275" s="285"/>
      <c r="DP275" s="285"/>
      <c r="DQ275" s="285"/>
      <c r="DR275" s="285"/>
      <c r="DS275" s="285"/>
      <c r="DT275" s="285"/>
      <c r="DU275" s="285"/>
      <c r="DV275" s="285"/>
      <c r="DW275" s="285"/>
      <c r="DX275" s="285"/>
      <c r="DY275" s="285"/>
      <c r="DZ275" s="285"/>
      <c r="EA275" s="285"/>
      <c r="EB275" s="285"/>
      <c r="EC275" s="285"/>
      <c r="ED275" s="285"/>
      <c r="EE275" s="285"/>
      <c r="EF275" s="285"/>
      <c r="EG275" s="285"/>
      <c r="EH275" s="285"/>
      <c r="EI275" s="285"/>
      <c r="EJ275" s="285"/>
      <c r="EK275" s="285"/>
      <c r="EL275" s="285"/>
      <c r="EM275" s="285"/>
      <c r="EN275" s="285"/>
      <c r="EO275" s="285"/>
      <c r="EP275" s="285"/>
      <c r="EQ275" s="285"/>
      <c r="ER275" s="330"/>
      <c r="ES275" s="330"/>
      <c r="ET275" s="330"/>
      <c r="EU275" s="285"/>
      <c r="EV275" s="285"/>
      <c r="EW275" s="285"/>
      <c r="EX275" s="285"/>
      <c r="EY275" s="285"/>
      <c r="EZ275" s="285"/>
      <c r="FA275" s="285"/>
      <c r="FB275" s="285"/>
      <c r="FC275" s="285"/>
      <c r="FD275" s="285"/>
      <c r="FE275" s="285"/>
      <c r="FF275" s="285"/>
      <c r="FG275" s="285"/>
      <c r="FH275" s="285"/>
      <c r="FI275" s="285"/>
      <c r="FJ275" s="285"/>
      <c r="FK275" s="285"/>
      <c r="FL275" s="285"/>
      <c r="FM275" s="285"/>
      <c r="FN275" s="285"/>
      <c r="FO275" s="285"/>
      <c r="FP275" s="285"/>
      <c r="FQ275" s="285"/>
      <c r="FR275" s="285"/>
      <c r="FS275" s="285"/>
      <c r="FT275" s="285"/>
      <c r="FU275" s="285"/>
      <c r="FV275" s="330"/>
      <c r="FW275" s="330"/>
      <c r="FX275" s="330"/>
      <c r="FY275" s="285"/>
      <c r="FZ275" s="285"/>
      <c r="GA275" s="285"/>
      <c r="GB275" s="330"/>
      <c r="GC275" s="330"/>
      <c r="GD275" s="330"/>
      <c r="GE275" s="330"/>
      <c r="GF275" s="330"/>
      <c r="GG275" s="330"/>
    </row>
    <row r="276" spans="1:189" s="146" customFormat="1">
      <c r="A276" s="151"/>
      <c r="B276" s="152"/>
      <c r="C276" s="201"/>
      <c r="D276" s="201"/>
      <c r="E276" s="201"/>
      <c r="J276" s="201"/>
      <c r="BE276" s="201"/>
      <c r="BF276" s="201"/>
      <c r="BG276" s="201"/>
      <c r="CI276" s="201"/>
      <c r="CJ276" s="201"/>
      <c r="CK276" s="201"/>
      <c r="CO276" s="295"/>
      <c r="CP276" s="330"/>
      <c r="CQ276" s="330"/>
      <c r="CR276" s="330"/>
      <c r="CS276" s="285"/>
      <c r="CT276" s="285"/>
      <c r="CU276" s="285"/>
      <c r="CV276" s="285"/>
      <c r="CW276" s="330"/>
      <c r="CX276" s="285"/>
      <c r="CY276" s="285"/>
      <c r="CZ276" s="285"/>
      <c r="DA276" s="285"/>
      <c r="DB276" s="285"/>
      <c r="DC276" s="285"/>
      <c r="DD276" s="285"/>
      <c r="DE276" s="285"/>
      <c r="DF276" s="285"/>
      <c r="DG276" s="285"/>
      <c r="DH276" s="285"/>
      <c r="DI276" s="285"/>
      <c r="DJ276" s="285"/>
      <c r="DK276" s="285"/>
      <c r="DL276" s="285"/>
      <c r="DM276" s="285"/>
      <c r="DN276" s="285"/>
      <c r="DO276" s="285"/>
      <c r="DP276" s="285"/>
      <c r="DQ276" s="285"/>
      <c r="DR276" s="285"/>
      <c r="DS276" s="285"/>
      <c r="DT276" s="285"/>
      <c r="DU276" s="285"/>
      <c r="DV276" s="285"/>
      <c r="DW276" s="285"/>
      <c r="DX276" s="285"/>
      <c r="DY276" s="285"/>
      <c r="DZ276" s="285"/>
      <c r="EA276" s="285"/>
      <c r="EB276" s="285"/>
      <c r="EC276" s="285"/>
      <c r="ED276" s="285"/>
      <c r="EE276" s="285"/>
      <c r="EF276" s="285"/>
      <c r="EG276" s="285"/>
      <c r="EH276" s="285"/>
      <c r="EI276" s="285"/>
      <c r="EJ276" s="285"/>
      <c r="EK276" s="285"/>
      <c r="EL276" s="285"/>
      <c r="EM276" s="285"/>
      <c r="EN276" s="285"/>
      <c r="EO276" s="285"/>
      <c r="EP276" s="285"/>
      <c r="EQ276" s="285"/>
      <c r="ER276" s="330"/>
      <c r="ES276" s="330"/>
      <c r="ET276" s="330"/>
      <c r="EU276" s="285"/>
      <c r="EV276" s="285"/>
      <c r="EW276" s="285"/>
      <c r="EX276" s="285"/>
      <c r="EY276" s="285"/>
      <c r="EZ276" s="285"/>
      <c r="FA276" s="285"/>
      <c r="FB276" s="285"/>
      <c r="FC276" s="285"/>
      <c r="FD276" s="285"/>
      <c r="FE276" s="285"/>
      <c r="FF276" s="285"/>
      <c r="FG276" s="285"/>
      <c r="FH276" s="285"/>
      <c r="FI276" s="285"/>
      <c r="FJ276" s="285"/>
      <c r="FK276" s="285"/>
      <c r="FL276" s="285"/>
      <c r="FM276" s="285"/>
      <c r="FN276" s="285"/>
      <c r="FO276" s="285"/>
      <c r="FP276" s="285"/>
      <c r="FQ276" s="285"/>
      <c r="FR276" s="285"/>
      <c r="FS276" s="285"/>
      <c r="FT276" s="285"/>
      <c r="FU276" s="285"/>
      <c r="FV276" s="330"/>
      <c r="FW276" s="330"/>
      <c r="FX276" s="330"/>
      <c r="FY276" s="285"/>
      <c r="FZ276" s="285"/>
      <c r="GA276" s="285"/>
      <c r="GB276" s="330"/>
      <c r="GC276" s="330"/>
      <c r="GD276" s="330"/>
      <c r="GE276" s="330"/>
      <c r="GF276" s="330"/>
      <c r="GG276" s="330"/>
    </row>
    <row r="277" spans="1:189" s="146" customFormat="1" ht="15.75" customHeight="1">
      <c r="A277" s="151"/>
      <c r="B277" s="152"/>
      <c r="C277" s="201"/>
      <c r="D277" s="201"/>
      <c r="E277" s="201"/>
      <c r="J277" s="201"/>
      <c r="BE277" s="201"/>
      <c r="BF277" s="201"/>
      <c r="BG277" s="201"/>
      <c r="CI277" s="201"/>
      <c r="CJ277" s="201"/>
      <c r="CK277" s="201"/>
      <c r="CO277" s="295"/>
      <c r="CP277" s="330"/>
      <c r="CQ277" s="330"/>
      <c r="CR277" s="330"/>
      <c r="CS277" s="285"/>
      <c r="CT277" s="285"/>
      <c r="CU277" s="285"/>
      <c r="CV277" s="285"/>
      <c r="CW277" s="330"/>
      <c r="CX277" s="285"/>
      <c r="CY277" s="285"/>
      <c r="CZ277" s="285"/>
      <c r="DA277" s="285"/>
      <c r="DB277" s="285"/>
      <c r="DC277" s="285"/>
      <c r="DD277" s="285"/>
      <c r="DE277" s="285"/>
      <c r="DF277" s="285"/>
      <c r="DG277" s="285"/>
      <c r="DH277" s="285"/>
      <c r="DI277" s="285"/>
      <c r="DJ277" s="285"/>
      <c r="DK277" s="285"/>
      <c r="DL277" s="285"/>
      <c r="DM277" s="285"/>
      <c r="DN277" s="285"/>
      <c r="DO277" s="285"/>
      <c r="DP277" s="285"/>
      <c r="DQ277" s="285"/>
      <c r="DR277" s="285"/>
      <c r="DS277" s="285"/>
      <c r="DT277" s="285"/>
      <c r="DU277" s="285"/>
      <c r="DV277" s="285"/>
      <c r="DW277" s="285"/>
      <c r="DX277" s="285"/>
      <c r="DY277" s="285"/>
      <c r="DZ277" s="285"/>
      <c r="EA277" s="285"/>
      <c r="EB277" s="285"/>
      <c r="EC277" s="285"/>
      <c r="ED277" s="285"/>
      <c r="EE277" s="285"/>
      <c r="EF277" s="285"/>
      <c r="EG277" s="285"/>
      <c r="EH277" s="285"/>
      <c r="EI277" s="285"/>
      <c r="EJ277" s="285"/>
      <c r="EK277" s="285"/>
      <c r="EL277" s="285"/>
      <c r="EM277" s="285"/>
      <c r="EN277" s="285"/>
      <c r="EO277" s="285"/>
      <c r="EP277" s="285"/>
      <c r="EQ277" s="285"/>
      <c r="ER277" s="330"/>
      <c r="ES277" s="330"/>
      <c r="ET277" s="330"/>
      <c r="EU277" s="285"/>
      <c r="EV277" s="285"/>
      <c r="EW277" s="285"/>
      <c r="EX277" s="285"/>
      <c r="EY277" s="285"/>
      <c r="EZ277" s="285"/>
      <c r="FA277" s="285"/>
      <c r="FB277" s="285"/>
      <c r="FC277" s="285"/>
      <c r="FD277" s="285"/>
      <c r="FE277" s="285"/>
      <c r="FF277" s="285"/>
      <c r="FG277" s="285"/>
      <c r="FH277" s="285"/>
      <c r="FI277" s="285"/>
      <c r="FJ277" s="285"/>
      <c r="FK277" s="285"/>
      <c r="FL277" s="285"/>
      <c r="FM277" s="285"/>
      <c r="FN277" s="285"/>
      <c r="FO277" s="285"/>
      <c r="FP277" s="285"/>
      <c r="FQ277" s="285"/>
      <c r="FR277" s="285"/>
      <c r="FS277" s="285"/>
      <c r="FT277" s="285"/>
      <c r="FU277" s="285"/>
      <c r="FV277" s="330"/>
      <c r="FW277" s="330"/>
      <c r="FX277" s="330"/>
      <c r="FY277" s="285"/>
      <c r="FZ277" s="285"/>
      <c r="GA277" s="285"/>
      <c r="GB277" s="330"/>
      <c r="GC277" s="330"/>
      <c r="GD277" s="330"/>
      <c r="GE277" s="330"/>
      <c r="GF277" s="330"/>
      <c r="GG277" s="330"/>
    </row>
  </sheetData>
  <mergeCells count="231">
    <mergeCell ref="AA6:AA9"/>
    <mergeCell ref="BC6:BC9"/>
    <mergeCell ref="EP6:EP9"/>
    <mergeCell ref="AC6:AC9"/>
    <mergeCell ref="BL6:BV6"/>
    <mergeCell ref="BL7:BN7"/>
    <mergeCell ref="BL8:BL9"/>
    <mergeCell ref="BM8:BM9"/>
    <mergeCell ref="EM6:EM9"/>
    <mergeCell ref="CH8:CH9"/>
    <mergeCell ref="CI8:CI9"/>
    <mergeCell ref="CJ8:CJ9"/>
    <mergeCell ref="CK8:CK9"/>
    <mergeCell ref="CN7:CN9"/>
    <mergeCell ref="BY8:BY9"/>
    <mergeCell ref="BZ8:BZ9"/>
    <mergeCell ref="CA8:CA9"/>
    <mergeCell ref="CB8:CB9"/>
    <mergeCell ref="CC8:CC9"/>
    <mergeCell ref="CD8:CD9"/>
    <mergeCell ref="CE8:CE9"/>
    <mergeCell ref="CF8:CF9"/>
    <mergeCell ref="CG8:CG9"/>
    <mergeCell ref="CP6:CP9"/>
    <mergeCell ref="EY8:EY9"/>
    <mergeCell ref="EZ8:EZ9"/>
    <mergeCell ref="DP6:DP9"/>
    <mergeCell ref="FX8:FX9"/>
    <mergeCell ref="FO8:FO9"/>
    <mergeCell ref="FP8:FP9"/>
    <mergeCell ref="FQ8:FQ9"/>
    <mergeCell ref="FR8:FR9"/>
    <mergeCell ref="FV8:FV9"/>
    <mergeCell ref="FH8:FH9"/>
    <mergeCell ref="FI8:FI9"/>
    <mergeCell ref="FJ8:FJ9"/>
    <mergeCell ref="FK8:FK9"/>
    <mergeCell ref="FL8:FL9"/>
    <mergeCell ref="FE8:FE9"/>
    <mergeCell ref="FF8:FF9"/>
    <mergeCell ref="FG8:FG9"/>
    <mergeCell ref="FS8:FS9"/>
    <mergeCell ref="FT8:FT9"/>
    <mergeCell ref="FU8:FU9"/>
    <mergeCell ref="EO6:EO9"/>
    <mergeCell ref="EU8:EU9"/>
    <mergeCell ref="CQ6:CW7"/>
    <mergeCell ref="EL8:EL9"/>
    <mergeCell ref="DW8:DW9"/>
    <mergeCell ref="DX8:DX9"/>
    <mergeCell ref="DW7:DY7"/>
    <mergeCell ref="DQ6:DQ9"/>
    <mergeCell ref="DR6:DR9"/>
    <mergeCell ref="DS6:DV6"/>
    <mergeCell ref="DY8:DY9"/>
    <mergeCell ref="DO6:DO9"/>
    <mergeCell ref="CQ8:CQ9"/>
    <mergeCell ref="CR8:CR9"/>
    <mergeCell ref="CS8:CS9"/>
    <mergeCell ref="CT8:CT9"/>
    <mergeCell ref="CU8:CU9"/>
    <mergeCell ref="DN6:DN9"/>
    <mergeCell ref="AG7:AG9"/>
    <mergeCell ref="AM8:AM9"/>
    <mergeCell ref="AN8:AN9"/>
    <mergeCell ref="AO8:AO9"/>
    <mergeCell ref="AP8:AP9"/>
    <mergeCell ref="AQ8:AQ9"/>
    <mergeCell ref="AX8:AX9"/>
    <mergeCell ref="AY8:AY9"/>
    <mergeCell ref="BE8:BE9"/>
    <mergeCell ref="BA6:BA9"/>
    <mergeCell ref="BB6:BB9"/>
    <mergeCell ref="BD6:BD9"/>
    <mergeCell ref="BE6:BG7"/>
    <mergeCell ref="AJ6:AY6"/>
    <mergeCell ref="AZ6:AZ9"/>
    <mergeCell ref="AH7:AH9"/>
    <mergeCell ref="AQ7:AY7"/>
    <mergeCell ref="J8:J9"/>
    <mergeCell ref="W8:X8"/>
    <mergeCell ref="Y8:Y9"/>
    <mergeCell ref="Z8:Z9"/>
    <mergeCell ref="EF8:EF9"/>
    <mergeCell ref="FY7:FY9"/>
    <mergeCell ref="EC8:EC9"/>
    <mergeCell ref="ED8:ED9"/>
    <mergeCell ref="EE8:EE9"/>
    <mergeCell ref="AJ7:AL7"/>
    <mergeCell ref="FS7:FU7"/>
    <mergeCell ref="FW8:FW9"/>
    <mergeCell ref="ES8:ES9"/>
    <mergeCell ref="ET8:ET9"/>
    <mergeCell ref="EW8:EW9"/>
    <mergeCell ref="EX8:EX9"/>
    <mergeCell ref="DJ8:DK8"/>
    <mergeCell ref="DL8:DL9"/>
    <mergeCell ref="DM8:DM9"/>
    <mergeCell ref="DD8:DD9"/>
    <mergeCell ref="DE8:DG8"/>
    <mergeCell ref="DH8:DH9"/>
    <mergeCell ref="D6:J7"/>
    <mergeCell ref="K6:K9"/>
    <mergeCell ref="D8:D9"/>
    <mergeCell ref="E8:E9"/>
    <mergeCell ref="F8:F9"/>
    <mergeCell ref="G8:G9"/>
    <mergeCell ref="H8:H9"/>
    <mergeCell ref="I8:I9"/>
    <mergeCell ref="CX6:CX9"/>
    <mergeCell ref="CY6:CY9"/>
    <mergeCell ref="CZ6:DM6"/>
    <mergeCell ref="DI8:DI9"/>
    <mergeCell ref="Q8:Q9"/>
    <mergeCell ref="R8:T8"/>
    <mergeCell ref="U8:U9"/>
    <mergeCell ref="V8:V9"/>
    <mergeCell ref="AM7:AN7"/>
    <mergeCell ref="AJ8:AJ9"/>
    <mergeCell ref="AK8:AK9"/>
    <mergeCell ref="AL8:AL9"/>
    <mergeCell ref="AI7:AI9"/>
    <mergeCell ref="AF7:AF9"/>
    <mergeCell ref="DA8:DB8"/>
    <mergeCell ref="DC8:DC9"/>
    <mergeCell ref="CZ7:DH7"/>
    <mergeCell ref="DI7:DM7"/>
    <mergeCell ref="GG6:GG9"/>
    <mergeCell ref="GD6:GD9"/>
    <mergeCell ref="GE6:GE9"/>
    <mergeCell ref="GF6:GF9"/>
    <mergeCell ref="FR6:FU6"/>
    <mergeCell ref="CV8:CV9"/>
    <mergeCell ref="CW8:CW9"/>
    <mergeCell ref="CZ8:CZ9"/>
    <mergeCell ref="GB6:GB9"/>
    <mergeCell ref="GC6:GC9"/>
    <mergeCell ref="EU6:EV6"/>
    <mergeCell ref="EW6:EX6"/>
    <mergeCell ref="FJ6:FQ6"/>
    <mergeCell ref="FV6:FX7"/>
    <mergeCell ref="FB7:FI7"/>
    <mergeCell ref="FK7:FQ7"/>
    <mergeCell ref="EU7:EV7"/>
    <mergeCell ref="EV8:EV9"/>
    <mergeCell ref="EG8:EG9"/>
    <mergeCell ref="EH8:EH9"/>
    <mergeCell ref="EI8:EI9"/>
    <mergeCell ref="EJ8:EJ9"/>
    <mergeCell ref="EK8:EK9"/>
    <mergeCell ref="EQ6:EQ9"/>
    <mergeCell ref="FZ6:GA6"/>
    <mergeCell ref="FM8:FM9"/>
    <mergeCell ref="FN8:FN9"/>
    <mergeCell ref="FB8:FB9"/>
    <mergeCell ref="FC8:FC9"/>
    <mergeCell ref="FD8:FD9"/>
    <mergeCell ref="FA8:FA9"/>
    <mergeCell ref="DW6:EL6"/>
    <mergeCell ref="DS7:DS9"/>
    <mergeCell ref="DT7:DT9"/>
    <mergeCell ref="DU7:DU9"/>
    <mergeCell ref="DV7:DV9"/>
    <mergeCell ref="DZ7:EA7"/>
    <mergeCell ref="ED7:EL7"/>
    <mergeCell ref="ER6:ET7"/>
    <mergeCell ref="ER8:ER9"/>
    <mergeCell ref="FZ7:FZ8"/>
    <mergeCell ref="GA7:GA9"/>
    <mergeCell ref="EA8:EA9"/>
    <mergeCell ref="EB8:EB9"/>
    <mergeCell ref="DZ8:DZ9"/>
    <mergeCell ref="EN6:EN9"/>
    <mergeCell ref="EY6:FI6"/>
    <mergeCell ref="EY7:FA7"/>
    <mergeCell ref="BJ6:BK6"/>
    <mergeCell ref="BW6:CD6"/>
    <mergeCell ref="CE6:CH6"/>
    <mergeCell ref="CI6:CK7"/>
    <mergeCell ref="CM6:CN6"/>
    <mergeCell ref="BX7:CD7"/>
    <mergeCell ref="CF7:CH7"/>
    <mergeCell ref="CL7:CL9"/>
    <mergeCell ref="CM7:CM8"/>
    <mergeCell ref="BJ8:BJ9"/>
    <mergeCell ref="BS8:BS9"/>
    <mergeCell ref="BT8:BT9"/>
    <mergeCell ref="BU8:BU9"/>
    <mergeCell ref="BV8:BV9"/>
    <mergeCell ref="BW8:BW9"/>
    <mergeCell ref="BX8:BX9"/>
    <mergeCell ref="BK8:BK9"/>
    <mergeCell ref="BN8:BN9"/>
    <mergeCell ref="BO8:BO9"/>
    <mergeCell ref="BP8:BP9"/>
    <mergeCell ref="BQ8:BQ9"/>
    <mergeCell ref="BR8:BR9"/>
    <mergeCell ref="BH7:BI7"/>
    <mergeCell ref="BO7:BV7"/>
    <mergeCell ref="AR8:AR9"/>
    <mergeCell ref="AS8:AS9"/>
    <mergeCell ref="AT8:AT9"/>
    <mergeCell ref="AU8:AU9"/>
    <mergeCell ref="AV8:AV9"/>
    <mergeCell ref="AW8:AW9"/>
    <mergeCell ref="BF8:BF9"/>
    <mergeCell ref="BG8:BG9"/>
    <mergeCell ref="L6:L9"/>
    <mergeCell ref="M6:Z6"/>
    <mergeCell ref="AB6:AB9"/>
    <mergeCell ref="M8:M9"/>
    <mergeCell ref="N8:O8"/>
    <mergeCell ref="P8:P9"/>
    <mergeCell ref="M7:U7"/>
    <mergeCell ref="V7:Z7"/>
    <mergeCell ref="A2:GG2"/>
    <mergeCell ref="A3:GG3"/>
    <mergeCell ref="CJ4:CK4"/>
    <mergeCell ref="A5:A9"/>
    <mergeCell ref="B5:B9"/>
    <mergeCell ref="C5:CN5"/>
    <mergeCell ref="CO5:CO9"/>
    <mergeCell ref="CP5:GB5"/>
    <mergeCell ref="GC5:GG5"/>
    <mergeCell ref="C6:C9"/>
    <mergeCell ref="BH6:BI6"/>
    <mergeCell ref="BH8:BH9"/>
    <mergeCell ref="BI8:BI9"/>
    <mergeCell ref="AD6:AD9"/>
    <mergeCell ref="AE6:AE9"/>
    <mergeCell ref="AF6:AI6"/>
  </mergeCells>
  <pageMargins left="0.7" right="0.7" top="0.75" bottom="0.75" header="0.3" footer="0.3"/>
  <pageSetup paperSize="9"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4FC20C-EE1B-4C06-99B3-94D598A653AE}">
  <ds:schemaRefs>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http://purl.org/dc/terms/"/>
    <ds:schemaRef ds:uri="http://purl.org/dc/dcmitype/"/>
    <ds:schemaRef ds:uri="http://www.w3.org/XML/1998/namespace"/>
    <ds:schemaRef ds:uri="http://purl.org/dc/elements/1.1/"/>
  </ds:schemaRefs>
</ds:datastoreItem>
</file>

<file path=customXml/itemProps2.xml><?xml version="1.0" encoding="utf-8"?>
<ds:datastoreItem xmlns:ds="http://schemas.openxmlformats.org/officeDocument/2006/customXml" ds:itemID="{C4787AD3-3B07-41AE-BD4C-7F4F350E0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6A448EE-11FD-44CE-B83B-6F3D0A1AC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15</vt:i4>
      </vt:variant>
    </vt:vector>
  </HeadingPairs>
  <TitlesOfParts>
    <vt:vector size="33" baseType="lpstr">
      <vt:lpstr>B48</vt:lpstr>
      <vt:lpstr>B49</vt:lpstr>
      <vt:lpstr>B50</vt:lpstr>
      <vt:lpstr>B51</vt:lpstr>
      <vt:lpstr>B52</vt:lpstr>
      <vt:lpstr>Biểu 53-H+X</vt:lpstr>
      <vt:lpstr>B54</vt:lpstr>
      <vt:lpstr>B54-chi tiết</vt:lpstr>
      <vt:lpstr>B55</vt:lpstr>
      <vt:lpstr>B56</vt:lpstr>
      <vt:lpstr>B57</vt:lpstr>
      <vt:lpstr>Biểu 58-xã</vt:lpstr>
      <vt:lpstr>Biểu 59-xã</vt:lpstr>
      <vt:lpstr>Biểu 60-xã</vt:lpstr>
      <vt:lpstr>Biểu 61- H+X</vt:lpstr>
      <vt:lpstr>Bieu 62-KH</vt:lpstr>
      <vt:lpstr>Biểu 63-quỹ</vt:lpstr>
      <vt:lpstr>B64-thu DV</vt:lpstr>
      <vt:lpstr>'B49'!Print_Area</vt:lpstr>
      <vt:lpstr>'B57'!Print_Area</vt:lpstr>
      <vt:lpstr>'Bieu 62-KH'!Print_Area</vt:lpstr>
      <vt:lpstr>'Biểu 53-H+X'!Print_Area</vt:lpstr>
      <vt:lpstr>'Biểu 59-xã'!Print_Area</vt:lpstr>
      <vt:lpstr>'Biểu 60-xã'!Print_Area</vt:lpstr>
      <vt:lpstr>'B50'!Print_Titles</vt:lpstr>
      <vt:lpstr>'B51'!Print_Titles</vt:lpstr>
      <vt:lpstr>'B52'!Print_Titles</vt:lpstr>
      <vt:lpstr>'B55'!Print_Titles</vt:lpstr>
      <vt:lpstr>'B56'!Print_Titles</vt:lpstr>
      <vt:lpstr>'B57'!Print_Titles</vt:lpstr>
      <vt:lpstr>'Bieu 62-KH'!Print_Titles</vt:lpstr>
      <vt:lpstr>'Biểu 53-H+X'!Print_Titles</vt:lpstr>
      <vt:lpstr>'Biểu 61- H+X'!Print_Titles</vt:lpstr>
    </vt:vector>
  </TitlesOfParts>
  <Company>Ministry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 Viet Hung</dc:creator>
  <cp:lastModifiedBy>Admin</cp:lastModifiedBy>
  <cp:lastPrinted>2024-06-24T08:39:03Z</cp:lastPrinted>
  <dcterms:created xsi:type="dcterms:W3CDTF">2001-01-04T01:21:32Z</dcterms:created>
  <dcterms:modified xsi:type="dcterms:W3CDTF">2024-06-26T08:56:56Z</dcterms:modified>
</cp:coreProperties>
</file>