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E:\OneDrive - Tuần Giáo\Desktop\các BC thẩm tra kỳ thứ  Mười hai\"/>
    </mc:Choice>
  </mc:AlternateContent>
  <xr:revisionPtr revIDLastSave="0" documentId="13_ncr:1_{22A17283-B053-4563-B60E-3A100365D089}" xr6:coauthVersionLast="47" xr6:coauthVersionMax="47" xr10:uidLastSave="{00000000-0000-0000-0000-000000000000}"/>
  <bookViews>
    <workbookView xWindow="1815" yWindow="1815" windowWidth="21600" windowHeight="11385" tabRatio="793" firstSheet="10" activeTab="10" xr2:uid="{00000000-000D-0000-FFFF-FFFF00000000}"/>
  </bookViews>
  <sheets>
    <sheet name="foxz" sheetId="188" state="veryHidden" r:id="rId1"/>
    <sheet name="Thu 2024" sheetId="183" state="hidden" r:id="rId2"/>
    <sheet name="Chi 2024" sheetId="182" state="hidden" r:id="rId3"/>
    <sheet name="Chi 2025" sheetId="181" state="hidden" r:id="rId4"/>
    <sheet name="Chi xã,TT 2025" sheetId="180" state="hidden" r:id="rId5"/>
    <sheet name="Sử dụng DP" sheetId="189" state="hidden" r:id="rId6"/>
    <sheet name="SNGD" sheetId="184" state="hidden" r:id="rId7"/>
    <sheet name="Trả nợ" sheetId="187" state="hidden" r:id="rId8"/>
    <sheet name="SNKT" sheetId="186" state="hidden" r:id="rId9"/>
    <sheet name="Đất lúa" sheetId="185" state="hidden" r:id="rId10"/>
    <sheet name="PL15" sheetId="132" r:id="rId11"/>
    <sheet name="PL16" sheetId="17" r:id="rId12"/>
    <sheet name="PL17" sheetId="133" r:id="rId13"/>
    <sheet name="PL30-H+X" sheetId="38" r:id="rId14"/>
    <sheet name="PL31-NSX" sheetId="176" state="hidden" r:id="rId15"/>
    <sheet name="PL32-NSX" sheetId="172" r:id="rId16"/>
    <sheet name="PL33" sheetId="171" r:id="rId17"/>
    <sheet name="PL34" sheetId="170" r:id="rId18"/>
    <sheet name="PL35" sheetId="173" r:id="rId19"/>
    <sheet name="PL36-ĐT" sheetId="174" r:id="rId20"/>
    <sheet name="PL37" sheetId="168" r:id="rId21"/>
    <sheet name="PL38-H+X" sheetId="106" r:id="rId22"/>
    <sheet name="PL39-NSX" sheetId="42" r:id="rId23"/>
    <sheet name="PL41-NSX" sheetId="169" r:id="rId24"/>
    <sheet name="PL42-NSX" sheetId="175" r:id="rId25"/>
    <sheet name="PL44-NSX" sheetId="177" state="hidden" r:id="rId26"/>
    <sheet name="PL45-Quỹ" sheetId="178" state="hidden" r:id="rId27"/>
    <sheet name="PL47-Thu SN" sheetId="179" state="hidden" r:id="rId28"/>
  </sheets>
  <externalReferences>
    <externalReference r:id="rId29"/>
    <externalReference r:id="rId30"/>
    <externalReference r:id="rId31"/>
    <externalReference r:id="rId32"/>
  </externalReferences>
  <definedNames>
    <definedName name="ADP">#REF!</definedName>
    <definedName name="AKHAC">#REF!</definedName>
    <definedName name="ALTINH">#REF!</definedName>
    <definedName name="Anguon" localSheetId="10">'[1]Dt 2001'!#REF!</definedName>
    <definedName name="Anguon" localSheetId="12">'[1]Dt 2001'!#REF!</definedName>
    <definedName name="Anguon" localSheetId="20">'[1]Dt 2001'!#REF!</definedName>
    <definedName name="Anguon">'[1]Dt 2001'!#REF!</definedName>
    <definedName name="ANN">#REF!</definedName>
    <definedName name="ANQD">#REF!</definedName>
    <definedName name="ANQQH" localSheetId="10">'[1]Dt 2001'!#REF!</definedName>
    <definedName name="ANQQH" localSheetId="12">'[1]Dt 2001'!#REF!</definedName>
    <definedName name="ANQQH" localSheetId="20">'[1]Dt 2001'!#REF!</definedName>
    <definedName name="ANQQH">'[1]Dt 2001'!#REF!</definedName>
    <definedName name="ANSNN" localSheetId="10">'[1]Dt 2001'!#REF!</definedName>
    <definedName name="ANSNN" localSheetId="12">'[1]Dt 2001'!#REF!</definedName>
    <definedName name="ANSNN" localSheetId="20">'[1]Dt 2001'!#REF!</definedName>
    <definedName name="ANSNN">'[1]Dt 2001'!#REF!</definedName>
    <definedName name="ANSNNxnk" localSheetId="10">'[1]Dt 2001'!#REF!</definedName>
    <definedName name="ANSNNxnk" localSheetId="12">'[1]Dt 2001'!#REF!</definedName>
    <definedName name="ANSNNxnk" localSheetId="20">'[1]Dt 2001'!#REF!</definedName>
    <definedName name="ANSNNxnk">'[1]Dt 2001'!#REF!</definedName>
    <definedName name="APC" localSheetId="10">'[1]Dt 2001'!#REF!</definedName>
    <definedName name="APC" localSheetId="12">'[1]Dt 2001'!#REF!</definedName>
    <definedName name="APC" localSheetId="20">'[1]Dt 2001'!#REF!</definedName>
    <definedName name="APC">'[1]Dt 2001'!#REF!</definedName>
    <definedName name="ATW">#REF!</definedName>
    <definedName name="Can_doi">#REF!</definedName>
    <definedName name="chuong_phuluc_31" localSheetId="14">'PL31-NSX'!$N$1</definedName>
    <definedName name="chuong_phuluc_31_name" localSheetId="14">'PL31-NSX'!$A$2</definedName>
    <definedName name="chuong_phuluc_43" localSheetId="25">'PL44-NSX'!$A$1</definedName>
    <definedName name="chuong_phuluc_43_name" localSheetId="25">'PL44-NSX'!$A$3</definedName>
    <definedName name="chuong_phuluc_44" localSheetId="25">'PL44-NSX'!$A$1</definedName>
    <definedName name="chuong_phuluc_44_name" localSheetId="25">'PL44-NSX'!$A$2</definedName>
    <definedName name="chuong_phuluc_44_name_name" localSheetId="25">'PL44-NSX'!$A$3</definedName>
    <definedName name="DNNN">#REF!</definedName>
    <definedName name="Khac">#REF!</definedName>
    <definedName name="Khong_can_doi">#REF!</definedName>
    <definedName name="NQD">#REF!</definedName>
    <definedName name="NQQH" localSheetId="10">'[1]Dt 2001'!#REF!</definedName>
    <definedName name="NQQH" localSheetId="12">'[1]Dt 2001'!#REF!</definedName>
    <definedName name="NQQH" localSheetId="20">'[1]Dt 2001'!#REF!</definedName>
    <definedName name="NQQH">'[1]Dt 2001'!#REF!</definedName>
    <definedName name="NSNN" localSheetId="10">'[1]Dt 2001'!#REF!</definedName>
    <definedName name="NSNN" localSheetId="12">'[1]Dt 2001'!#REF!</definedName>
    <definedName name="NSNN" localSheetId="20">'[1]Dt 2001'!#REF!</definedName>
    <definedName name="NSNN">'[1]Dt 2001'!#REF!</definedName>
    <definedName name="PC" localSheetId="10">'[1]Dt 2001'!#REF!</definedName>
    <definedName name="PC" localSheetId="12">'[1]Dt 2001'!#REF!</definedName>
    <definedName name="PC" localSheetId="20">'[1]Dt 2001'!#REF!</definedName>
    <definedName name="PC">'[1]Dt 2001'!#REF!</definedName>
    <definedName name="Phan_cap">#REF!</definedName>
    <definedName name="Phi_le_phi">#REF!</definedName>
    <definedName name="_xlnm.Print_Area" localSheetId="2">'Chi 2024'!$A$1:$O$160</definedName>
    <definedName name="_xlnm.Print_Area" localSheetId="3">'Chi 2025'!$A$1:$AB$142</definedName>
    <definedName name="_xlnm.Print_Area" localSheetId="10">'PL15'!$A$1:$G$30</definedName>
    <definedName name="_xlnm.Print_Area" localSheetId="11">'PL16'!$A$1:$H$38</definedName>
    <definedName name="_xlnm.Print_Area" localSheetId="12">'PL17'!$A$1:$F$53</definedName>
    <definedName name="_xlnm.Print_Area" localSheetId="13">'PL30-H+X'!$A$1:$G$38</definedName>
    <definedName name="_xlnm.Print_Area" localSheetId="14">'PL31-NSX'!$A$1:$N$34</definedName>
    <definedName name="_xlnm.Print_Area" localSheetId="15">'PL32-NSX'!$A$1:$J$28</definedName>
    <definedName name="_xlnm.Print_Area" localSheetId="16">'PL33'!$A$1:$E$54</definedName>
    <definedName name="_xlnm.Print_Area" localSheetId="17">'PL34'!$A$1:$C$58</definedName>
    <definedName name="_xlnm.Print_Area" localSheetId="18">'PL35'!$A$1:$M$36</definedName>
    <definedName name="_xlnm.Print_Area" localSheetId="19">'PL36-ĐT'!$A$1:$S$20</definedName>
    <definedName name="_xlnm.Print_Area" localSheetId="20">'PL37'!$A$1:$S$41</definedName>
    <definedName name="_xlnm.Print_Area" localSheetId="21">'PL38-H+X'!$A$1:$Z$45</definedName>
    <definedName name="_xlnm.Print_Area" localSheetId="22">'PL39-NSX'!$A$1:$I$31</definedName>
    <definedName name="_xlnm.Print_Area" localSheetId="23">'PL41-NSX'!$A$1:$T$36</definedName>
    <definedName name="_xlnm.Print_Area" localSheetId="24">'PL42-NSX'!$A$1:$F$29</definedName>
    <definedName name="_xlnm.Print_Area" localSheetId="25">'PL44-NSX'!$A$1:$Q$27</definedName>
    <definedName name="_xlnm.Print_Area" localSheetId="26">'PL45-Quỹ'!$A$1:$M$17</definedName>
    <definedName name="_xlnm.Print_Area" localSheetId="27">'PL47-Thu SN'!$A$1:$E$15</definedName>
    <definedName name="_xlnm.Print_Area" localSheetId="1">'Thu 2024'!$A$1:$I$45</definedName>
    <definedName name="_xlnm.Print_Area">#REF!</definedName>
    <definedName name="PRINT_AREA_MI" localSheetId="10">#REF!</definedName>
    <definedName name="PRINT_AREA_MI" localSheetId="12">#REF!</definedName>
    <definedName name="PRINT_AREA_MI" localSheetId="20">#REF!</definedName>
    <definedName name="PRINT_AREA_MI">#REF!</definedName>
    <definedName name="_xlnm.Print_Titles" localSheetId="2">'Chi 2024'!$5:$7</definedName>
    <definedName name="_xlnm.Print_Titles" localSheetId="10">'PL15'!$5:$7</definedName>
    <definedName name="_xlnm.Print_Titles" localSheetId="12">'PL17'!$5:$7</definedName>
    <definedName name="_xlnm.Print_Titles" localSheetId="13">'PL30-H+X'!$7:$9</definedName>
    <definedName name="_xlnm.Print_Titles" localSheetId="16">'PL33'!$6:$10</definedName>
    <definedName name="_xlnm.Print_Titles" localSheetId="17">'PL34'!$5:$7</definedName>
    <definedName name="_xlnm.Print_Titles" localSheetId="18">'PL35'!$5:$8</definedName>
    <definedName name="_xlnm.Print_Titles" localSheetId="20">'PL37'!$6:$9</definedName>
    <definedName name="_xlnm.Print_Titles" localSheetId="21">'PL38-H+X'!$8:$12</definedName>
    <definedName name="TW">#REF!</definedName>
  </definedNames>
  <calcPr calcId="191029"/>
</workbook>
</file>

<file path=xl/calcChain.xml><?xml version="1.0" encoding="utf-8"?>
<calcChain xmlns="http://schemas.openxmlformats.org/spreadsheetml/2006/main">
  <c r="D14" i="179" l="1"/>
  <c r="C14" i="179"/>
  <c r="D12" i="179"/>
  <c r="C12" i="179"/>
  <c r="D10" i="179"/>
  <c r="C10" i="179"/>
  <c r="D8" i="179"/>
  <c r="D7" i="179" s="1"/>
  <c r="C8" i="179"/>
  <c r="C7" i="179" s="1"/>
  <c r="N20" i="174" l="1"/>
  <c r="P16" i="174"/>
  <c r="D16" i="133"/>
  <c r="D15" i="171"/>
  <c r="AC80" i="181"/>
  <c r="AC7" i="181"/>
  <c r="Q69" i="181"/>
  <c r="P69" i="181" s="1"/>
  <c r="S17" i="181"/>
  <c r="AA53" i="181" l="1"/>
  <c r="AC78" i="181"/>
  <c r="AC9" i="181"/>
  <c r="AC13" i="181"/>
  <c r="J48" i="181"/>
  <c r="F30" i="183"/>
  <c r="Z11" i="181" s="1"/>
  <c r="I11" i="180"/>
  <c r="C18" i="170"/>
  <c r="V25" i="106" l="1"/>
  <c r="O25" i="106"/>
  <c r="G18" i="106"/>
  <c r="G19" i="106"/>
  <c r="G20" i="106"/>
  <c r="G21" i="106"/>
  <c r="G22" i="106"/>
  <c r="G23" i="106"/>
  <c r="G24" i="106"/>
  <c r="U18" i="106"/>
  <c r="U19" i="106"/>
  <c r="U20" i="106"/>
  <c r="U21" i="106"/>
  <c r="U22" i="106"/>
  <c r="U23" i="106"/>
  <c r="U24" i="106"/>
  <c r="U25" i="106"/>
  <c r="G31" i="106"/>
  <c r="G32" i="106"/>
  <c r="G33" i="106"/>
  <c r="G34" i="106"/>
  <c r="G35" i="106"/>
  <c r="G36" i="106"/>
  <c r="G37" i="106"/>
  <c r="G38" i="106"/>
  <c r="G39" i="106"/>
  <c r="G41" i="106"/>
  <c r="G42" i="106"/>
  <c r="G43" i="106"/>
  <c r="G44" i="106"/>
  <c r="G45" i="106"/>
  <c r="G28" i="106"/>
  <c r="G29" i="106"/>
  <c r="U29" i="106"/>
  <c r="U30" i="106"/>
  <c r="U31" i="106"/>
  <c r="U32" i="106"/>
  <c r="U33" i="106"/>
  <c r="U34" i="106"/>
  <c r="U35" i="106"/>
  <c r="U36" i="106"/>
  <c r="U37" i="106"/>
  <c r="U38" i="106"/>
  <c r="U39" i="106"/>
  <c r="U40" i="106"/>
  <c r="U41" i="106"/>
  <c r="U42" i="106"/>
  <c r="U43" i="106"/>
  <c r="U44" i="106"/>
  <c r="U45" i="106"/>
  <c r="U27" i="106"/>
  <c r="U28" i="106"/>
  <c r="H27" i="106"/>
  <c r="G27" i="106" s="1"/>
  <c r="O20" i="174"/>
  <c r="D20" i="174"/>
  <c r="P20" i="174"/>
  <c r="C15" i="171"/>
  <c r="D14" i="171"/>
  <c r="C14" i="171" s="1"/>
  <c r="F14" i="133"/>
  <c r="F15" i="133"/>
  <c r="C41" i="180"/>
  <c r="E41" i="180"/>
  <c r="F41" i="180"/>
  <c r="G41" i="180"/>
  <c r="H41" i="180"/>
  <c r="I41" i="180"/>
  <c r="J41" i="180"/>
  <c r="K41" i="180"/>
  <c r="L41" i="180"/>
  <c r="M41" i="180"/>
  <c r="N41" i="180"/>
  <c r="O41" i="180"/>
  <c r="P41" i="180"/>
  <c r="Q41" i="180"/>
  <c r="H40" i="106" s="1"/>
  <c r="G40" i="106" s="1"/>
  <c r="R41" i="180"/>
  <c r="S41" i="180"/>
  <c r="T41" i="180"/>
  <c r="U41" i="180"/>
  <c r="V41" i="180"/>
  <c r="D41" i="180"/>
  <c r="C43" i="180"/>
  <c r="Y43" i="180" s="1"/>
  <c r="C17" i="170" l="1"/>
  <c r="M40" i="168"/>
  <c r="M41" i="168"/>
  <c r="N35" i="168"/>
  <c r="Q35" i="168"/>
  <c r="R25" i="168"/>
  <c r="Q39" i="168"/>
  <c r="H13" i="168"/>
  <c r="O20" i="169"/>
  <c r="O21" i="169"/>
  <c r="O22" i="169"/>
  <c r="O23" i="169"/>
  <c r="O24" i="169"/>
  <c r="O25" i="169"/>
  <c r="O26" i="169"/>
  <c r="O27" i="169"/>
  <c r="O28" i="169"/>
  <c r="O29" i="169"/>
  <c r="O30" i="169"/>
  <c r="O31" i="169"/>
  <c r="O32" i="169"/>
  <c r="O33" i="169"/>
  <c r="O34" i="169"/>
  <c r="O35" i="169"/>
  <c r="O36" i="169"/>
  <c r="O19" i="169"/>
  <c r="O18" i="169"/>
  <c r="E23" i="177"/>
  <c r="E24" i="177"/>
  <c r="F18" i="42"/>
  <c r="M18" i="174" l="1"/>
  <c r="C18" i="174" s="1"/>
  <c r="C17" i="174" s="1"/>
  <c r="S17" i="174"/>
  <c r="R17" i="174"/>
  <c r="Q17" i="174"/>
  <c r="O17" i="174"/>
  <c r="N17" i="174"/>
  <c r="L17" i="174"/>
  <c r="K17" i="174"/>
  <c r="J17" i="174"/>
  <c r="I17" i="174"/>
  <c r="H17" i="174"/>
  <c r="G17" i="174"/>
  <c r="F17" i="174"/>
  <c r="E17" i="174"/>
  <c r="D17" i="174"/>
  <c r="F11" i="173"/>
  <c r="G11" i="173"/>
  <c r="G10" i="173" s="1"/>
  <c r="L11" i="173"/>
  <c r="L10" i="173" s="1"/>
  <c r="D15" i="176"/>
  <c r="D28" i="38"/>
  <c r="F32" i="183"/>
  <c r="E53" i="171"/>
  <c r="E52" i="171"/>
  <c r="E49" i="171"/>
  <c r="E46" i="171"/>
  <c r="E28" i="171"/>
  <c r="E31" i="171"/>
  <c r="E32" i="171"/>
  <c r="AA36" i="181"/>
  <c r="AB36" i="181"/>
  <c r="AB35" i="181" s="1"/>
  <c r="E33" i="171" s="1"/>
  <c r="D38" i="181"/>
  <c r="C38" i="181" s="1"/>
  <c r="Y36" i="181"/>
  <c r="Z36" i="181"/>
  <c r="D11" i="182"/>
  <c r="E11" i="182"/>
  <c r="F11" i="182"/>
  <c r="G11" i="182"/>
  <c r="H11" i="182"/>
  <c r="I11" i="182"/>
  <c r="T136" i="182"/>
  <c r="T91" i="182"/>
  <c r="J18" i="38"/>
  <c r="D18" i="38"/>
  <c r="D17" i="38"/>
  <c r="J17" i="38" s="1"/>
  <c r="D31" i="38"/>
  <c r="D23" i="38"/>
  <c r="D30" i="38"/>
  <c r="D22" i="38" s="1"/>
  <c r="C15" i="38"/>
  <c r="I15" i="38" s="1"/>
  <c r="C14" i="38"/>
  <c r="D14" i="38" s="1"/>
  <c r="I12" i="38"/>
  <c r="C22" i="38"/>
  <c r="I14" i="38" s="1"/>
  <c r="C23" i="38"/>
  <c r="J14" i="38" l="1"/>
  <c r="P17" i="174"/>
  <c r="M17" i="174"/>
  <c r="E51" i="171"/>
  <c r="I15" i="172"/>
  <c r="I27" i="172"/>
  <c r="I28" i="172"/>
  <c r="J27" i="172"/>
  <c r="J28" i="172"/>
  <c r="I11" i="172"/>
  <c r="I12" i="172"/>
  <c r="I13" i="172"/>
  <c r="I14" i="172"/>
  <c r="I16" i="172"/>
  <c r="I17" i="172"/>
  <c r="I18" i="172"/>
  <c r="I19" i="172"/>
  <c r="I20" i="172"/>
  <c r="I21" i="172"/>
  <c r="I22" i="172"/>
  <c r="I23" i="172"/>
  <c r="I24" i="172"/>
  <c r="I25" i="172"/>
  <c r="I26" i="172"/>
  <c r="J11" i="172"/>
  <c r="J12" i="172"/>
  <c r="J13" i="172"/>
  <c r="J14" i="172"/>
  <c r="J15" i="172"/>
  <c r="J16" i="172"/>
  <c r="J17" i="172"/>
  <c r="J18" i="172"/>
  <c r="J19" i="172"/>
  <c r="J20" i="172"/>
  <c r="J21" i="172"/>
  <c r="J22" i="172"/>
  <c r="J23" i="172"/>
  <c r="J24" i="172"/>
  <c r="J25" i="172"/>
  <c r="J26" i="172"/>
  <c r="J10" i="172"/>
  <c r="J9" i="172" s="1"/>
  <c r="I10" i="172"/>
  <c r="G11" i="172"/>
  <c r="G12" i="172"/>
  <c r="G13" i="172"/>
  <c r="G14" i="172"/>
  <c r="G15" i="172"/>
  <c r="G16" i="172"/>
  <c r="G17" i="172"/>
  <c r="D17" i="172" s="1"/>
  <c r="G18" i="172"/>
  <c r="G19" i="172"/>
  <c r="G20" i="172"/>
  <c r="D20" i="172" s="1"/>
  <c r="G21" i="172"/>
  <c r="D21" i="172" s="1"/>
  <c r="G22" i="172"/>
  <c r="G23" i="172"/>
  <c r="G24" i="172"/>
  <c r="D24" i="172" s="1"/>
  <c r="G25" i="172"/>
  <c r="D25" i="172" s="1"/>
  <c r="G26" i="172"/>
  <c r="G27" i="172"/>
  <c r="G28" i="172"/>
  <c r="G10" i="172"/>
  <c r="F15" i="172"/>
  <c r="F9" i="172" s="1"/>
  <c r="E27" i="172"/>
  <c r="E18" i="172"/>
  <c r="E16" i="172"/>
  <c r="D16" i="172" s="1"/>
  <c r="E15" i="172"/>
  <c r="E14" i="172"/>
  <c r="E13" i="172"/>
  <c r="E12" i="172"/>
  <c r="D12" i="172" s="1"/>
  <c r="E10" i="172"/>
  <c r="C36" i="133"/>
  <c r="C35" i="133"/>
  <c r="C34" i="133"/>
  <c r="C33" i="133"/>
  <c r="C32" i="133"/>
  <c r="C25" i="133"/>
  <c r="C26" i="133"/>
  <c r="C27" i="133"/>
  <c r="C28" i="133"/>
  <c r="C29" i="133"/>
  <c r="C30" i="133"/>
  <c r="C31" i="133"/>
  <c r="C24" i="133"/>
  <c r="C20" i="133"/>
  <c r="C19" i="133"/>
  <c r="C18" i="133" s="1"/>
  <c r="C47" i="133"/>
  <c r="C44" i="133"/>
  <c r="C41" i="133"/>
  <c r="C53" i="133"/>
  <c r="C52" i="133"/>
  <c r="E38" i="17"/>
  <c r="E37" i="17"/>
  <c r="C38" i="17"/>
  <c r="C37" i="17"/>
  <c r="G32" i="17"/>
  <c r="F32" i="17"/>
  <c r="H32" i="17" s="1"/>
  <c r="F35" i="17"/>
  <c r="D32" i="17"/>
  <c r="D35" i="17"/>
  <c r="D31" i="17"/>
  <c r="E31" i="17"/>
  <c r="F31" i="17" s="1"/>
  <c r="E32" i="17"/>
  <c r="E33" i="17"/>
  <c r="F33" i="17" s="1"/>
  <c r="E34" i="17"/>
  <c r="F34" i="17" s="1"/>
  <c r="E35" i="17"/>
  <c r="C32" i="17"/>
  <c r="C33" i="17"/>
  <c r="D33" i="17" s="1"/>
  <c r="C34" i="17"/>
  <c r="D34" i="17" s="1"/>
  <c r="C35" i="17"/>
  <c r="C31" i="17"/>
  <c r="C26" i="17"/>
  <c r="D26" i="17" s="1"/>
  <c r="C27" i="17"/>
  <c r="C28" i="17"/>
  <c r="C29" i="17"/>
  <c r="C30" i="17"/>
  <c r="D30" i="17" s="1"/>
  <c r="C25" i="17"/>
  <c r="D25" i="17" s="1"/>
  <c r="C24" i="17"/>
  <c r="D24" i="17" s="1"/>
  <c r="C23" i="17"/>
  <c r="D23" i="17" s="1"/>
  <c r="C22" i="17"/>
  <c r="E26" i="17"/>
  <c r="F26" i="17" s="1"/>
  <c r="E27" i="17"/>
  <c r="F27" i="17" s="1"/>
  <c r="H28" i="17"/>
  <c r="E25" i="17"/>
  <c r="F25" i="17" s="1"/>
  <c r="E28" i="17"/>
  <c r="G28" i="17" s="1"/>
  <c r="E29" i="17"/>
  <c r="F29" i="17" s="1"/>
  <c r="E30" i="17"/>
  <c r="F30" i="17" s="1"/>
  <c r="H30" i="17" s="1"/>
  <c r="E24" i="17"/>
  <c r="F24" i="17" s="1"/>
  <c r="E23" i="17"/>
  <c r="F23" i="17" s="1"/>
  <c r="E22" i="17"/>
  <c r="G22" i="17" s="1"/>
  <c r="E17" i="17"/>
  <c r="F17" i="17" s="1"/>
  <c r="E18" i="17"/>
  <c r="G18" i="17" s="1"/>
  <c r="E19" i="17"/>
  <c r="F19" i="17" s="1"/>
  <c r="E16" i="17"/>
  <c r="F16" i="17" s="1"/>
  <c r="C18" i="17"/>
  <c r="D18" i="17" s="1"/>
  <c r="C16" i="17"/>
  <c r="D16" i="17" s="1"/>
  <c r="F14" i="17"/>
  <c r="E13" i="17"/>
  <c r="F13" i="17" s="1"/>
  <c r="E14" i="17"/>
  <c r="E12" i="17"/>
  <c r="F12" i="17" s="1"/>
  <c r="C14" i="17"/>
  <c r="D14" i="17" s="1"/>
  <c r="C13" i="17"/>
  <c r="D13" i="17" s="1"/>
  <c r="C12" i="17"/>
  <c r="D12" i="17" s="1"/>
  <c r="D24" i="132"/>
  <c r="C24" i="132"/>
  <c r="D19" i="132"/>
  <c r="D18" i="132"/>
  <c r="D14" i="132"/>
  <c r="C16" i="132"/>
  <c r="C14" i="132"/>
  <c r="C13" i="132" s="1"/>
  <c r="C10" i="132"/>
  <c r="E9" i="184"/>
  <c r="E8" i="184" s="1"/>
  <c r="F9" i="184"/>
  <c r="G9" i="184"/>
  <c r="D9" i="184"/>
  <c r="D8" i="184" s="1"/>
  <c r="E20" i="184"/>
  <c r="F20" i="184"/>
  <c r="G20" i="184"/>
  <c r="G8" i="184" s="1"/>
  <c r="D20" i="184"/>
  <c r="H33" i="17" l="1"/>
  <c r="G23" i="17"/>
  <c r="G29" i="17"/>
  <c r="G33" i="17"/>
  <c r="D27" i="172"/>
  <c r="D23" i="172"/>
  <c r="D19" i="172"/>
  <c r="D11" i="172"/>
  <c r="F8" i="184"/>
  <c r="D27" i="17"/>
  <c r="D26" i="172"/>
  <c r="D22" i="172"/>
  <c r="D10" i="172"/>
  <c r="C10" i="172" s="1"/>
  <c r="E9" i="172"/>
  <c r="D14" i="172"/>
  <c r="G9" i="172"/>
  <c r="I9" i="172"/>
  <c r="D13" i="172"/>
  <c r="D18" i="172"/>
  <c r="D28" i="172"/>
  <c r="C51" i="133"/>
  <c r="H23" i="17"/>
  <c r="D21" i="17"/>
  <c r="F18" i="17"/>
  <c r="H18" i="17" s="1"/>
  <c r="G30" i="17"/>
  <c r="D29" i="17"/>
  <c r="H29" i="17" s="1"/>
  <c r="C9" i="132"/>
  <c r="AK28" i="181" l="1"/>
  <c r="V36" i="181"/>
  <c r="O30" i="168" s="1"/>
  <c r="AJ10" i="181"/>
  <c r="AJ12" i="181"/>
  <c r="AJ15" i="181"/>
  <c r="AJ16" i="181"/>
  <c r="AJ17" i="181"/>
  <c r="AJ18" i="181"/>
  <c r="AJ19" i="181"/>
  <c r="AJ20" i="181"/>
  <c r="AJ21" i="181"/>
  <c r="AJ22" i="181"/>
  <c r="AJ23" i="181"/>
  <c r="AJ25" i="181"/>
  <c r="AJ26" i="181"/>
  <c r="AJ27" i="181"/>
  <c r="AJ30" i="181"/>
  <c r="AJ33" i="181"/>
  <c r="AJ34" i="181"/>
  <c r="AJ37" i="181"/>
  <c r="AJ38" i="181"/>
  <c r="AJ39" i="181"/>
  <c r="AJ40" i="181"/>
  <c r="AJ41" i="181"/>
  <c r="AJ42" i="181"/>
  <c r="AJ43" i="181"/>
  <c r="AJ44" i="181"/>
  <c r="AJ45" i="181"/>
  <c r="AJ46" i="181"/>
  <c r="AJ47" i="181"/>
  <c r="AJ48" i="181"/>
  <c r="AJ49" i="181"/>
  <c r="AJ50" i="181"/>
  <c r="AJ51" i="181"/>
  <c r="AJ52" i="181"/>
  <c r="AJ54" i="181"/>
  <c r="AJ55" i="181"/>
  <c r="AJ56" i="181"/>
  <c r="AJ57" i="181"/>
  <c r="AJ58" i="181"/>
  <c r="AJ59" i="181"/>
  <c r="AJ60" i="181"/>
  <c r="AJ61" i="181"/>
  <c r="AJ62" i="181"/>
  <c r="AJ63" i="181"/>
  <c r="AJ64" i="181"/>
  <c r="AJ65" i="181"/>
  <c r="AJ66" i="181"/>
  <c r="AJ67" i="181"/>
  <c r="AJ68" i="181"/>
  <c r="AJ70" i="181"/>
  <c r="AJ71" i="181"/>
  <c r="AJ72" i="181"/>
  <c r="AJ73" i="181"/>
  <c r="AJ74" i="181"/>
  <c r="AJ75" i="181"/>
  <c r="AJ76" i="181"/>
  <c r="AJ77" i="181"/>
  <c r="H133" i="181" l="1"/>
  <c r="C60" i="180"/>
  <c r="AB136" i="181" s="1"/>
  <c r="V59" i="180"/>
  <c r="U59" i="180"/>
  <c r="T59" i="180"/>
  <c r="S59" i="180"/>
  <c r="R59" i="180"/>
  <c r="Q59" i="180"/>
  <c r="P59" i="180"/>
  <c r="O59" i="180"/>
  <c r="N59" i="180"/>
  <c r="M59" i="180"/>
  <c r="L59" i="180"/>
  <c r="K59" i="180"/>
  <c r="J59" i="180"/>
  <c r="I59" i="180"/>
  <c r="H59" i="180"/>
  <c r="G59" i="180"/>
  <c r="F59" i="180"/>
  <c r="E59" i="180"/>
  <c r="D59" i="180"/>
  <c r="E57" i="180"/>
  <c r="F57" i="180"/>
  <c r="F56" i="180" s="1"/>
  <c r="G57" i="180"/>
  <c r="H57" i="180"/>
  <c r="H56" i="180" s="1"/>
  <c r="I57" i="180"/>
  <c r="J57" i="180"/>
  <c r="J56" i="180" s="1"/>
  <c r="K57" i="180"/>
  <c r="L57" i="180"/>
  <c r="L56" i="180" s="1"/>
  <c r="M57" i="180"/>
  <c r="N57" i="180"/>
  <c r="N56" i="180" s="1"/>
  <c r="O57" i="180"/>
  <c r="P57" i="180"/>
  <c r="P56" i="180" s="1"/>
  <c r="Q57" i="180"/>
  <c r="R57" i="180"/>
  <c r="R56" i="180" s="1"/>
  <c r="S57" i="180"/>
  <c r="T57" i="180"/>
  <c r="T56" i="180" s="1"/>
  <c r="U57" i="180"/>
  <c r="V57" i="180"/>
  <c r="V56" i="180" s="1"/>
  <c r="D57" i="180"/>
  <c r="E61" i="180"/>
  <c r="F61" i="180"/>
  <c r="G61" i="180"/>
  <c r="H61" i="180"/>
  <c r="I61" i="180"/>
  <c r="I56" i="180" s="1"/>
  <c r="J61" i="180"/>
  <c r="K61" i="180"/>
  <c r="L61" i="180"/>
  <c r="M61" i="180"/>
  <c r="N61" i="180"/>
  <c r="O61" i="180"/>
  <c r="P61" i="180"/>
  <c r="Q61" i="180"/>
  <c r="R61" i="180"/>
  <c r="S61" i="180"/>
  <c r="T61" i="180"/>
  <c r="U61" i="180"/>
  <c r="U56" i="180" s="1"/>
  <c r="V61" i="180"/>
  <c r="D61" i="180"/>
  <c r="C62" i="180"/>
  <c r="AB138" i="181" s="1"/>
  <c r="C58" i="180"/>
  <c r="AB131" i="181" s="1"/>
  <c r="V55" i="180" l="1"/>
  <c r="V40" i="180" s="1"/>
  <c r="Y45" i="106"/>
  <c r="M27" i="177"/>
  <c r="F55" i="180"/>
  <c r="F40" i="180" s="1"/>
  <c r="Y29" i="106"/>
  <c r="M11" i="177"/>
  <c r="N55" i="180"/>
  <c r="N40" i="180" s="1"/>
  <c r="Y37" i="106"/>
  <c r="M19" i="177"/>
  <c r="I55" i="180"/>
  <c r="I40" i="180" s="1"/>
  <c r="Y32" i="106"/>
  <c r="M14" i="177"/>
  <c r="Y43" i="106"/>
  <c r="M25" i="177"/>
  <c r="Y39" i="106"/>
  <c r="M21" i="177"/>
  <c r="Y35" i="106"/>
  <c r="M17" i="177"/>
  <c r="Y31" i="106"/>
  <c r="M13" i="177"/>
  <c r="R55" i="180"/>
  <c r="R40" i="180" s="1"/>
  <c r="Y41" i="106"/>
  <c r="M23" i="177"/>
  <c r="J55" i="180"/>
  <c r="J40" i="180" s="1"/>
  <c r="Y33" i="106"/>
  <c r="M15" i="177"/>
  <c r="U55" i="180"/>
  <c r="U40" i="180" s="1"/>
  <c r="Y44" i="106"/>
  <c r="M26" i="177"/>
  <c r="D56" i="180"/>
  <c r="Q56" i="180"/>
  <c r="M56" i="180"/>
  <c r="E56" i="180"/>
  <c r="C61" i="180"/>
  <c r="O56" i="180"/>
  <c r="G56" i="180"/>
  <c r="S56" i="180"/>
  <c r="K56" i="180"/>
  <c r="T55" i="180"/>
  <c r="T40" i="180" s="1"/>
  <c r="P55" i="180"/>
  <c r="P40" i="180" s="1"/>
  <c r="L55" i="180"/>
  <c r="L40" i="180" s="1"/>
  <c r="H55" i="180"/>
  <c r="H40" i="180" s="1"/>
  <c r="C59" i="180"/>
  <c r="Y30" i="106" l="1"/>
  <c r="M12" i="177"/>
  <c r="D13" i="177"/>
  <c r="L13" i="177"/>
  <c r="D14" i="177"/>
  <c r="L14" i="177"/>
  <c r="F27" i="175"/>
  <c r="T34" i="169"/>
  <c r="Q55" i="180"/>
  <c r="Q40" i="180" s="1"/>
  <c r="Y40" i="106"/>
  <c r="M22" i="177"/>
  <c r="T35" i="169"/>
  <c r="F28" i="175"/>
  <c r="D23" i="177"/>
  <c r="C23" i="177" s="1"/>
  <c r="L23" i="177"/>
  <c r="T28" i="169"/>
  <c r="F21" i="175"/>
  <c r="D27" i="177"/>
  <c r="L27" i="177"/>
  <c r="M55" i="180"/>
  <c r="M40" i="180" s="1"/>
  <c r="Y36" i="106"/>
  <c r="M18" i="177"/>
  <c r="D21" i="177"/>
  <c r="L21" i="177"/>
  <c r="T20" i="169"/>
  <c r="F13" i="175"/>
  <c r="O55" i="180"/>
  <c r="O40" i="180" s="1"/>
  <c r="Y38" i="106"/>
  <c r="M20" i="177"/>
  <c r="K55" i="180"/>
  <c r="K40" i="180" s="1"/>
  <c r="Y34" i="106"/>
  <c r="M16" i="177"/>
  <c r="Y27" i="106"/>
  <c r="D55" i="180"/>
  <c r="D40" i="180" s="1"/>
  <c r="M9" i="177"/>
  <c r="L9" i="177" s="1"/>
  <c r="D15" i="177"/>
  <c r="L15" i="177"/>
  <c r="L17" i="177"/>
  <c r="D17" i="177"/>
  <c r="L25" i="177"/>
  <c r="D25" i="177"/>
  <c r="T23" i="169"/>
  <c r="F16" i="175"/>
  <c r="D11" i="177"/>
  <c r="L11" i="177"/>
  <c r="F23" i="175"/>
  <c r="T30" i="169"/>
  <c r="T24" i="169"/>
  <c r="F17" i="175"/>
  <c r="F15" i="175"/>
  <c r="T22" i="169"/>
  <c r="F19" i="175"/>
  <c r="T26" i="169"/>
  <c r="S55" i="180"/>
  <c r="S40" i="180" s="1"/>
  <c r="Y42" i="106"/>
  <c r="M24" i="177"/>
  <c r="E55" i="180"/>
  <c r="E40" i="180" s="1"/>
  <c r="Y28" i="106"/>
  <c r="M10" i="177"/>
  <c r="D26" i="177"/>
  <c r="L26" i="177"/>
  <c r="T32" i="169"/>
  <c r="F25" i="175"/>
  <c r="L19" i="177"/>
  <c r="D19" i="177"/>
  <c r="T36" i="169"/>
  <c r="F29" i="175"/>
  <c r="C56" i="180"/>
  <c r="G55" i="180"/>
  <c r="G40" i="180" s="1"/>
  <c r="V50" i="181"/>
  <c r="V44" i="181" s="1"/>
  <c r="P30" i="168" s="1"/>
  <c r="D50" i="181"/>
  <c r="F11" i="175" l="1"/>
  <c r="T18" i="169"/>
  <c r="L16" i="177"/>
  <c r="D16" i="177"/>
  <c r="L22" i="177"/>
  <c r="D22" i="177"/>
  <c r="F14" i="175"/>
  <c r="T21" i="169"/>
  <c r="T19" i="169"/>
  <c r="F12" i="175"/>
  <c r="F18" i="175"/>
  <c r="T25" i="169"/>
  <c r="D18" i="177"/>
  <c r="L18" i="177"/>
  <c r="D12" i="177"/>
  <c r="L12" i="177"/>
  <c r="D10" i="177"/>
  <c r="L10" i="177"/>
  <c r="T27" i="169"/>
  <c r="F20" i="175"/>
  <c r="F26" i="175"/>
  <c r="T33" i="169"/>
  <c r="F22" i="175"/>
  <c r="T29" i="169"/>
  <c r="L24" i="177"/>
  <c r="D24" i="177"/>
  <c r="C24" i="177" s="1"/>
  <c r="D20" i="177"/>
  <c r="L20" i="177"/>
  <c r="T31" i="169"/>
  <c r="F24" i="175"/>
  <c r="C50" i="181"/>
  <c r="AG50" i="181"/>
  <c r="C30" i="180"/>
  <c r="C65" i="180"/>
  <c r="Y65" i="180" s="1"/>
  <c r="V64" i="180"/>
  <c r="V63" i="180" s="1"/>
  <c r="V39" i="180" s="1"/>
  <c r="U64" i="180"/>
  <c r="U63" i="180" s="1"/>
  <c r="U39" i="180" s="1"/>
  <c r="U16" i="180" s="1"/>
  <c r="T64" i="180"/>
  <c r="T63" i="180" s="1"/>
  <c r="T39" i="180" s="1"/>
  <c r="S64" i="180"/>
  <c r="S63" i="180" s="1"/>
  <c r="S39" i="180" s="1"/>
  <c r="S16" i="180" s="1"/>
  <c r="R64" i="180"/>
  <c r="R63" i="180" s="1"/>
  <c r="R39" i="180" s="1"/>
  <c r="Q64" i="180"/>
  <c r="Q63" i="180" s="1"/>
  <c r="Q39" i="180" s="1"/>
  <c r="P64" i="180"/>
  <c r="P63" i="180" s="1"/>
  <c r="P39" i="180" s="1"/>
  <c r="O64" i="180"/>
  <c r="O63" i="180" s="1"/>
  <c r="O39" i="180" s="1"/>
  <c r="O16" i="180" s="1"/>
  <c r="N64" i="180"/>
  <c r="N63" i="180" s="1"/>
  <c r="N39" i="180" s="1"/>
  <c r="M64" i="180"/>
  <c r="M63" i="180" s="1"/>
  <c r="M39" i="180" s="1"/>
  <c r="L64" i="180"/>
  <c r="L63" i="180" s="1"/>
  <c r="L39" i="180" s="1"/>
  <c r="K64" i="180"/>
  <c r="K63" i="180" s="1"/>
  <c r="K39" i="180" s="1"/>
  <c r="K16" i="180" s="1"/>
  <c r="J64" i="180"/>
  <c r="J63" i="180" s="1"/>
  <c r="J39" i="180" s="1"/>
  <c r="I64" i="180"/>
  <c r="I63" i="180" s="1"/>
  <c r="I39" i="180" s="1"/>
  <c r="I16" i="180" s="1"/>
  <c r="H64" i="180"/>
  <c r="H63" i="180" s="1"/>
  <c r="H39" i="180" s="1"/>
  <c r="G64" i="180"/>
  <c r="G63" i="180" s="1"/>
  <c r="G39" i="180" s="1"/>
  <c r="G16" i="180" s="1"/>
  <c r="F64" i="180"/>
  <c r="F63" i="180" s="1"/>
  <c r="F39" i="180" s="1"/>
  <c r="E64" i="180"/>
  <c r="E63" i="180" s="1"/>
  <c r="E39" i="180" s="1"/>
  <c r="E16" i="180" s="1"/>
  <c r="D64" i="180"/>
  <c r="D63" i="180" s="1"/>
  <c r="D39" i="180" s="1"/>
  <c r="Y62" i="180"/>
  <c r="C57" i="180"/>
  <c r="Y57" i="180" s="1"/>
  <c r="Y56" i="180"/>
  <c r="C55" i="180"/>
  <c r="Y55" i="180" s="1"/>
  <c r="C54" i="180"/>
  <c r="C53" i="180" s="1"/>
  <c r="Y53" i="180" s="1"/>
  <c r="C52" i="180"/>
  <c r="Y52" i="180" s="1"/>
  <c r="C51" i="180"/>
  <c r="Y51" i="180" s="1"/>
  <c r="C50" i="180"/>
  <c r="Y50" i="180" s="1"/>
  <c r="C49" i="180"/>
  <c r="Y49" i="180" s="1"/>
  <c r="C48" i="180"/>
  <c r="Y48" i="180" s="1"/>
  <c r="C47" i="180"/>
  <c r="Y47" i="180" s="1"/>
  <c r="C46" i="180"/>
  <c r="Y46" i="180" s="1"/>
  <c r="C45" i="180"/>
  <c r="Y45" i="180" s="1"/>
  <c r="C44" i="180"/>
  <c r="Y44" i="180" s="1"/>
  <c r="C42" i="180"/>
  <c r="Y41" i="180"/>
  <c r="C40" i="180"/>
  <c r="Y40" i="180" s="1"/>
  <c r="C36" i="180"/>
  <c r="C35" i="180"/>
  <c r="Y35" i="180" s="1"/>
  <c r="C34" i="180"/>
  <c r="Y34" i="180" s="1"/>
  <c r="C33" i="180"/>
  <c r="Y33" i="180" s="1"/>
  <c r="C32" i="180"/>
  <c r="Y32" i="180" s="1"/>
  <c r="C31" i="180"/>
  <c r="Y31" i="180" s="1"/>
  <c r="Y30" i="180"/>
  <c r="C29" i="180"/>
  <c r="Y29" i="180" s="1"/>
  <c r="C28" i="180"/>
  <c r="Y28" i="180" s="1"/>
  <c r="V27" i="180"/>
  <c r="U27" i="180"/>
  <c r="T27" i="180"/>
  <c r="S27" i="180"/>
  <c r="R27" i="180"/>
  <c r="Q27" i="180"/>
  <c r="P27" i="180"/>
  <c r="O27" i="180"/>
  <c r="N27" i="180"/>
  <c r="M27" i="180"/>
  <c r="L27" i="180"/>
  <c r="K27" i="180"/>
  <c r="J27" i="180"/>
  <c r="I27" i="180"/>
  <c r="H27" i="180"/>
  <c r="G27" i="180"/>
  <c r="F27" i="180"/>
  <c r="E27" i="180"/>
  <c r="D27" i="180"/>
  <c r="C26" i="180"/>
  <c r="Y26" i="180" s="1"/>
  <c r="C25" i="180"/>
  <c r="Y25" i="180" s="1"/>
  <c r="C24" i="180"/>
  <c r="Y24" i="180" s="1"/>
  <c r="C23" i="180"/>
  <c r="Y23" i="180" s="1"/>
  <c r="C22" i="180"/>
  <c r="Y22" i="180" s="1"/>
  <c r="C21" i="180"/>
  <c r="Y21" i="180" s="1"/>
  <c r="V20" i="180"/>
  <c r="U20" i="180"/>
  <c r="T20" i="180"/>
  <c r="S20" i="180"/>
  <c r="R20" i="180"/>
  <c r="Q20" i="180"/>
  <c r="P20" i="180"/>
  <c r="O20" i="180"/>
  <c r="N20" i="180"/>
  <c r="M20" i="180"/>
  <c r="L20" i="180"/>
  <c r="K20" i="180"/>
  <c r="J20" i="180"/>
  <c r="I20" i="180"/>
  <c r="H20" i="180"/>
  <c r="G20" i="180"/>
  <c r="F20" i="180"/>
  <c r="E20" i="180"/>
  <c r="D20" i="180"/>
  <c r="V18" i="180"/>
  <c r="U18" i="180"/>
  <c r="T18" i="180"/>
  <c r="S18" i="180"/>
  <c r="R18" i="180"/>
  <c r="Q18" i="180"/>
  <c r="P18" i="180"/>
  <c r="O18" i="180"/>
  <c r="N18" i="180"/>
  <c r="M18" i="180"/>
  <c r="L18" i="180"/>
  <c r="K18" i="180"/>
  <c r="J18" i="180"/>
  <c r="H18" i="180"/>
  <c r="G18" i="180"/>
  <c r="F18" i="180"/>
  <c r="E18" i="180"/>
  <c r="D18" i="180"/>
  <c r="W16" i="180"/>
  <c r="C13" i="180"/>
  <c r="Y13" i="180" s="1"/>
  <c r="C12" i="180"/>
  <c r="Y12" i="180" s="1"/>
  <c r="I7" i="180"/>
  <c r="H15" i="176" s="1"/>
  <c r="C10" i="180"/>
  <c r="Y10" i="180" s="1"/>
  <c r="C9" i="180"/>
  <c r="Y9" i="180" s="1"/>
  <c r="C8" i="180"/>
  <c r="Y8" i="180" s="1"/>
  <c r="V7" i="180"/>
  <c r="H28" i="176" s="1"/>
  <c r="E31" i="42" s="1"/>
  <c r="D31" i="42" s="1"/>
  <c r="C31" i="42" s="1"/>
  <c r="U7" i="180"/>
  <c r="H27" i="176" s="1"/>
  <c r="E30" i="42" s="1"/>
  <c r="D30" i="42" s="1"/>
  <c r="C30" i="42" s="1"/>
  <c r="T7" i="180"/>
  <c r="H26" i="176" s="1"/>
  <c r="E29" i="42" s="1"/>
  <c r="D29" i="42" s="1"/>
  <c r="C29" i="42" s="1"/>
  <c r="S7" i="180"/>
  <c r="H25" i="176" s="1"/>
  <c r="E28" i="42" s="1"/>
  <c r="D28" i="42" s="1"/>
  <c r="C28" i="42" s="1"/>
  <c r="R7" i="180"/>
  <c r="H24" i="176" s="1"/>
  <c r="E27" i="42" s="1"/>
  <c r="D27" i="42" s="1"/>
  <c r="C27" i="42" s="1"/>
  <c r="Q7" i="180"/>
  <c r="H23" i="176" s="1"/>
  <c r="E26" i="42" s="1"/>
  <c r="D26" i="42" s="1"/>
  <c r="C26" i="42" s="1"/>
  <c r="P7" i="180"/>
  <c r="H22" i="176" s="1"/>
  <c r="E25" i="42" s="1"/>
  <c r="D25" i="42" s="1"/>
  <c r="C25" i="42" s="1"/>
  <c r="O7" i="180"/>
  <c r="H21" i="176" s="1"/>
  <c r="E24" i="42" s="1"/>
  <c r="D24" i="42" s="1"/>
  <c r="C24" i="42" s="1"/>
  <c r="N7" i="180"/>
  <c r="H20" i="176" s="1"/>
  <c r="E23" i="42" s="1"/>
  <c r="D23" i="42" s="1"/>
  <c r="C23" i="42" s="1"/>
  <c r="M7" i="180"/>
  <c r="H19" i="176" s="1"/>
  <c r="E22" i="42" s="1"/>
  <c r="D22" i="42" s="1"/>
  <c r="C22" i="42" s="1"/>
  <c r="L7" i="180"/>
  <c r="H18" i="176" s="1"/>
  <c r="E21" i="42" s="1"/>
  <c r="D21" i="42" s="1"/>
  <c r="C21" i="42" s="1"/>
  <c r="K7" i="180"/>
  <c r="H17" i="176" s="1"/>
  <c r="E20" i="42" s="1"/>
  <c r="D20" i="42" s="1"/>
  <c r="C20" i="42" s="1"/>
  <c r="J7" i="180"/>
  <c r="H16" i="176" s="1"/>
  <c r="E19" i="42" s="1"/>
  <c r="D19" i="42" s="1"/>
  <c r="C19" i="42" s="1"/>
  <c r="H7" i="180"/>
  <c r="H14" i="176" s="1"/>
  <c r="E17" i="42" s="1"/>
  <c r="D17" i="42" s="1"/>
  <c r="C17" i="42" s="1"/>
  <c r="G7" i="180"/>
  <c r="H13" i="176" s="1"/>
  <c r="E16" i="42" s="1"/>
  <c r="D16" i="42" s="1"/>
  <c r="C16" i="42" s="1"/>
  <c r="F7" i="180"/>
  <c r="H12" i="176" s="1"/>
  <c r="E15" i="42" s="1"/>
  <c r="D15" i="42" s="1"/>
  <c r="C15" i="42" s="1"/>
  <c r="E7" i="180"/>
  <c r="H11" i="176" s="1"/>
  <c r="E14" i="42" s="1"/>
  <c r="D14" i="42" s="1"/>
  <c r="C14" i="42" s="1"/>
  <c r="D7" i="180"/>
  <c r="H10" i="176" s="1"/>
  <c r="E13" i="42" s="1"/>
  <c r="D13" i="42" s="1"/>
  <c r="D5" i="180"/>
  <c r="H37" i="180" l="1"/>
  <c r="H38" i="180" s="1"/>
  <c r="K22" i="169"/>
  <c r="D37" i="180"/>
  <c r="D38" i="180" s="1"/>
  <c r="K18" i="169"/>
  <c r="P37" i="180"/>
  <c r="P38" i="180" s="1"/>
  <c r="K30" i="169"/>
  <c r="F37" i="180"/>
  <c r="F38" i="180" s="1"/>
  <c r="K20" i="169"/>
  <c r="J37" i="180"/>
  <c r="J38" i="180" s="1"/>
  <c r="K24" i="169"/>
  <c r="N37" i="180"/>
  <c r="N38" i="180" s="1"/>
  <c r="K28" i="169"/>
  <c r="R37" i="180"/>
  <c r="R38" i="180" s="1"/>
  <c r="K32" i="169"/>
  <c r="V37" i="180"/>
  <c r="V38" i="180" s="1"/>
  <c r="K36" i="169"/>
  <c r="L37" i="180"/>
  <c r="L38" i="180" s="1"/>
  <c r="K26" i="169"/>
  <c r="T37" i="180"/>
  <c r="T38" i="180" s="1"/>
  <c r="K34" i="169"/>
  <c r="E37" i="180"/>
  <c r="E38" i="180" s="1"/>
  <c r="K19" i="169"/>
  <c r="K23" i="169"/>
  <c r="M37" i="180"/>
  <c r="M38" i="180" s="1"/>
  <c r="K27" i="169"/>
  <c r="Q37" i="180"/>
  <c r="Q38" i="180" s="1"/>
  <c r="K31" i="169"/>
  <c r="U37" i="180"/>
  <c r="U38" i="180" s="1"/>
  <c r="K35" i="169"/>
  <c r="G37" i="180"/>
  <c r="G38" i="180" s="1"/>
  <c r="K21" i="169"/>
  <c r="K37" i="180"/>
  <c r="K38" i="180" s="1"/>
  <c r="K25" i="169"/>
  <c r="O37" i="180"/>
  <c r="O38" i="180" s="1"/>
  <c r="K29" i="169"/>
  <c r="S37" i="180"/>
  <c r="S38" i="180" s="1"/>
  <c r="K33" i="169"/>
  <c r="Y42" i="180"/>
  <c r="AB84" i="181"/>
  <c r="C13" i="42"/>
  <c r="Y36" i="180"/>
  <c r="F36" i="173"/>
  <c r="C11" i="180"/>
  <c r="Y11" i="180" s="1"/>
  <c r="H15" i="172"/>
  <c r="E17" i="180"/>
  <c r="E15" i="180" s="1"/>
  <c r="H14" i="42" s="1"/>
  <c r="I14" i="42" s="1"/>
  <c r="U17" i="180"/>
  <c r="U15" i="180" s="1"/>
  <c r="C20" i="180"/>
  <c r="Y20" i="180" s="1"/>
  <c r="K17" i="180"/>
  <c r="AB24" i="181"/>
  <c r="C27" i="180"/>
  <c r="Y27" i="180" s="1"/>
  <c r="Y58" i="180"/>
  <c r="AB69" i="181"/>
  <c r="AB78" i="181"/>
  <c r="AA78" i="181" s="1"/>
  <c r="M17" i="180"/>
  <c r="M15" i="180" s="1"/>
  <c r="H22" i="42" s="1"/>
  <c r="I22" i="42" s="1"/>
  <c r="M16" i="180"/>
  <c r="K15" i="180"/>
  <c r="O17" i="180"/>
  <c r="O15" i="180" s="1"/>
  <c r="S68" i="180"/>
  <c r="O68" i="180"/>
  <c r="K68" i="180"/>
  <c r="G68" i="180"/>
  <c r="V68" i="180"/>
  <c r="R68" i="180"/>
  <c r="N68" i="180"/>
  <c r="J68" i="180"/>
  <c r="F68" i="180"/>
  <c r="E68" i="180"/>
  <c r="U68" i="180"/>
  <c r="Q68" i="180"/>
  <c r="M68" i="180"/>
  <c r="H68" i="180"/>
  <c r="L68" i="180"/>
  <c r="P68" i="180"/>
  <c r="T68" i="180"/>
  <c r="Q17" i="180"/>
  <c r="Q16" i="180"/>
  <c r="L16" i="180"/>
  <c r="L17" i="180"/>
  <c r="L15" i="180" s="1"/>
  <c r="H21" i="42" s="1"/>
  <c r="I21" i="42" s="1"/>
  <c r="D16" i="180"/>
  <c r="D17" i="180"/>
  <c r="D15" i="180" s="1"/>
  <c r="H13" i="42" s="1"/>
  <c r="I13" i="42" s="1"/>
  <c r="H17" i="180"/>
  <c r="H15" i="180" s="1"/>
  <c r="H17" i="42" s="1"/>
  <c r="I17" i="42" s="1"/>
  <c r="H16" i="180"/>
  <c r="P17" i="180"/>
  <c r="P15" i="180" s="1"/>
  <c r="H25" i="42" s="1"/>
  <c r="I25" i="42" s="1"/>
  <c r="P16" i="180"/>
  <c r="T16" i="180"/>
  <c r="T17" i="180"/>
  <c r="T15" i="180" s="1"/>
  <c r="H29" i="42" s="1"/>
  <c r="I29" i="42" s="1"/>
  <c r="Q15" i="180"/>
  <c r="H26" i="42" s="1"/>
  <c r="I26" i="42" s="1"/>
  <c r="S17" i="180"/>
  <c r="S15" i="180" s="1"/>
  <c r="G17" i="180"/>
  <c r="G15" i="180" s="1"/>
  <c r="D68" i="180"/>
  <c r="F17" i="180"/>
  <c r="F15" i="180" s="1"/>
  <c r="H15" i="42" s="1"/>
  <c r="I15" i="42" s="1"/>
  <c r="F16" i="180"/>
  <c r="J17" i="180"/>
  <c r="J15" i="180" s="1"/>
  <c r="H19" i="42" s="1"/>
  <c r="I19" i="42" s="1"/>
  <c r="J16" i="180"/>
  <c r="N17" i="180"/>
  <c r="N15" i="180" s="1"/>
  <c r="H23" i="42" s="1"/>
  <c r="I23" i="42" s="1"/>
  <c r="N16" i="180"/>
  <c r="R17" i="180"/>
  <c r="R15" i="180" s="1"/>
  <c r="H27" i="42" s="1"/>
  <c r="I27" i="42" s="1"/>
  <c r="R16" i="180"/>
  <c r="V17" i="180"/>
  <c r="V15" i="180" s="1"/>
  <c r="H31" i="42" s="1"/>
  <c r="I31" i="42" s="1"/>
  <c r="V16" i="180"/>
  <c r="Y54" i="180"/>
  <c r="C64" i="180"/>
  <c r="I19" i="180"/>
  <c r="J23" i="169" l="1"/>
  <c r="E23" i="169" s="1"/>
  <c r="D23" i="169" s="1"/>
  <c r="E16" i="171"/>
  <c r="D16" i="171" s="1"/>
  <c r="Z84" i="181"/>
  <c r="E43" i="171"/>
  <c r="AB81" i="181"/>
  <c r="C7" i="180"/>
  <c r="D15" i="172"/>
  <c r="D9" i="172" s="1"/>
  <c r="H9" i="172"/>
  <c r="S14" i="180"/>
  <c r="S6" i="180" s="1"/>
  <c r="H28" i="42"/>
  <c r="I28" i="42" s="1"/>
  <c r="O14" i="180"/>
  <c r="O6" i="180" s="1"/>
  <c r="H24" i="42"/>
  <c r="I24" i="42" s="1"/>
  <c r="G14" i="180"/>
  <c r="G6" i="180" s="1"/>
  <c r="H16" i="42"/>
  <c r="I16" i="42" s="1"/>
  <c r="K14" i="180"/>
  <c r="K6" i="180" s="1"/>
  <c r="H20" i="42"/>
  <c r="I20" i="42" s="1"/>
  <c r="U14" i="180"/>
  <c r="U6" i="180" s="1"/>
  <c r="H30" i="42"/>
  <c r="I30" i="42" s="1"/>
  <c r="E14" i="180"/>
  <c r="E6" i="180" s="1"/>
  <c r="E28" i="38"/>
  <c r="AJ78" i="181"/>
  <c r="E38" i="171"/>
  <c r="F35" i="173"/>
  <c r="F10" i="173" s="1"/>
  <c r="AJ69" i="181"/>
  <c r="E35" i="171"/>
  <c r="AB14" i="181"/>
  <c r="AJ24" i="181"/>
  <c r="M14" i="180"/>
  <c r="P14" i="180"/>
  <c r="Q14" i="180"/>
  <c r="D14" i="180"/>
  <c r="H14" i="180"/>
  <c r="T14" i="180"/>
  <c r="L14" i="180"/>
  <c r="R14" i="180"/>
  <c r="J14" i="180"/>
  <c r="I18" i="180"/>
  <c r="I37" i="180" s="1"/>
  <c r="I38" i="180" s="1"/>
  <c r="C19" i="180"/>
  <c r="Y19" i="180" s="1"/>
  <c r="N14" i="180"/>
  <c r="F14" i="180"/>
  <c r="Y7" i="180"/>
  <c r="V14" i="180"/>
  <c r="C63" i="180"/>
  <c r="Y64" i="180"/>
  <c r="R24" i="168"/>
  <c r="U24" i="181"/>
  <c r="H25" i="106" l="1"/>
  <c r="G25" i="106" s="1"/>
  <c r="Z81" i="181"/>
  <c r="C19" i="170"/>
  <c r="C16" i="171"/>
  <c r="D13" i="171"/>
  <c r="P6" i="180"/>
  <c r="F6" i="180"/>
  <c r="J6" i="180"/>
  <c r="H6" i="180"/>
  <c r="M6" i="180"/>
  <c r="R6" i="180"/>
  <c r="D6" i="180"/>
  <c r="T6" i="180"/>
  <c r="N6" i="180"/>
  <c r="V6" i="180"/>
  <c r="L6" i="180"/>
  <c r="Q6" i="180"/>
  <c r="AJ14" i="181"/>
  <c r="E24" i="171"/>
  <c r="Y63" i="180"/>
  <c r="C39" i="180"/>
  <c r="M36" i="173" s="1"/>
  <c r="I17" i="180"/>
  <c r="I15" i="180" s="1"/>
  <c r="H18" i="42" s="1"/>
  <c r="C18" i="180"/>
  <c r="G27" i="183"/>
  <c r="H27" i="183"/>
  <c r="I27" i="183"/>
  <c r="F35" i="183"/>
  <c r="F20" i="183"/>
  <c r="C17" i="180" l="1"/>
  <c r="Y17" i="180" s="1"/>
  <c r="Y18" i="180"/>
  <c r="Y39" i="180"/>
  <c r="C16" i="180"/>
  <c r="I14" i="180"/>
  <c r="C15" i="180"/>
  <c r="E36" i="173" s="1"/>
  <c r="I68" i="180"/>
  <c r="C37" i="180"/>
  <c r="C38" i="180" s="1"/>
  <c r="C11" i="170" l="1"/>
  <c r="E30" i="38"/>
  <c r="I6" i="180"/>
  <c r="Y16" i="180"/>
  <c r="E31" i="38"/>
  <c r="E23" i="38" s="1"/>
  <c r="C12" i="170"/>
  <c r="C14" i="180"/>
  <c r="N36" i="173" s="1"/>
  <c r="Y15" i="180"/>
  <c r="C68" i="180"/>
  <c r="Y37" i="180"/>
  <c r="H29" i="189"/>
  <c r="H30" i="189"/>
  <c r="H23" i="189"/>
  <c r="H24" i="189"/>
  <c r="H25" i="189"/>
  <c r="H26" i="189"/>
  <c r="H27" i="189"/>
  <c r="H28" i="189"/>
  <c r="H22" i="189"/>
  <c r="H21" i="189"/>
  <c r="H20" i="189"/>
  <c r="J19" i="189"/>
  <c r="I19" i="189"/>
  <c r="I10" i="189"/>
  <c r="H34" i="189"/>
  <c r="H35" i="189"/>
  <c r="H36" i="189"/>
  <c r="H37" i="189"/>
  <c r="H38" i="189"/>
  <c r="H39" i="189"/>
  <c r="H40" i="189"/>
  <c r="H31" i="189"/>
  <c r="H12" i="189"/>
  <c r="H13" i="189"/>
  <c r="H14" i="189"/>
  <c r="H15" i="189"/>
  <c r="H16" i="189"/>
  <c r="H17" i="189"/>
  <c r="H18" i="189"/>
  <c r="H11" i="189"/>
  <c r="J10" i="189"/>
  <c r="H19" i="189" l="1"/>
  <c r="E22" i="38"/>
  <c r="E21" i="38" s="1"/>
  <c r="Y14" i="180"/>
  <c r="C6" i="180"/>
  <c r="Y6" i="180" s="1"/>
  <c r="I9" i="189"/>
  <c r="H10" i="189"/>
  <c r="I33" i="189" l="1"/>
  <c r="H33" i="189" s="1"/>
  <c r="H32" i="189" s="1"/>
  <c r="J32" i="189"/>
  <c r="I32" i="189"/>
  <c r="G32" i="189"/>
  <c r="F32" i="189"/>
  <c r="E32" i="189"/>
  <c r="D32" i="189"/>
  <c r="C32" i="189"/>
  <c r="J9" i="189"/>
  <c r="G19" i="189"/>
  <c r="F19" i="189"/>
  <c r="E19" i="189"/>
  <c r="D19" i="189"/>
  <c r="C19" i="189"/>
  <c r="E18" i="189"/>
  <c r="E17" i="189"/>
  <c r="E16" i="189"/>
  <c r="E15" i="189"/>
  <c r="E14" i="189"/>
  <c r="E13" i="189"/>
  <c r="E12" i="189"/>
  <c r="E11" i="189"/>
  <c r="G10" i="189"/>
  <c r="F10" i="189"/>
  <c r="D10" i="189"/>
  <c r="C10" i="189"/>
  <c r="H7" i="189"/>
  <c r="J8" i="189" l="1"/>
  <c r="J41" i="189" s="1"/>
  <c r="G9" i="189"/>
  <c r="G8" i="189" s="1"/>
  <c r="I8" i="189"/>
  <c r="H8" i="189" s="1"/>
  <c r="F9" i="189"/>
  <c r="F8" i="189" s="1"/>
  <c r="C9" i="189"/>
  <c r="C8" i="189" s="1"/>
  <c r="D9" i="189"/>
  <c r="D8" i="189" s="1"/>
  <c r="E10" i="189"/>
  <c r="E9" i="189" s="1"/>
  <c r="E8" i="189" s="1"/>
  <c r="H9" i="189"/>
  <c r="T113" i="182"/>
  <c r="I41" i="189" l="1"/>
  <c r="H41" i="189" s="1"/>
  <c r="O142" i="182"/>
  <c r="M143" i="182"/>
  <c r="N143" i="182"/>
  <c r="O143" i="182"/>
  <c r="K142" i="182"/>
  <c r="M142" i="182" s="1"/>
  <c r="K131" i="182"/>
  <c r="K127" i="182"/>
  <c r="K98" i="182"/>
  <c r="N142" i="182" l="1"/>
  <c r="K135" i="182"/>
  <c r="K112" i="182"/>
  <c r="K14" i="182"/>
  <c r="K13" i="182"/>
  <c r="K12" i="182"/>
  <c r="K11" i="182" l="1"/>
  <c r="J44" i="181"/>
  <c r="AB53" i="181"/>
  <c r="AJ36" i="181"/>
  <c r="AB32" i="181"/>
  <c r="AB31" i="181"/>
  <c r="AB29" i="181"/>
  <c r="AB28" i="181"/>
  <c r="AB11" i="181"/>
  <c r="AJ28" i="181" l="1"/>
  <c r="E26" i="171"/>
  <c r="AB13" i="181"/>
  <c r="AJ29" i="181"/>
  <c r="E27" i="171"/>
  <c r="AJ53" i="181"/>
  <c r="E34" i="171"/>
  <c r="AJ11" i="181"/>
  <c r="E20" i="171"/>
  <c r="AJ32" i="181"/>
  <c r="E30" i="171"/>
  <c r="AJ31" i="181"/>
  <c r="E29" i="171"/>
  <c r="C150" i="182"/>
  <c r="E18" i="171" l="1"/>
  <c r="E12" i="171" s="1"/>
  <c r="E23" i="171"/>
  <c r="J31" i="182"/>
  <c r="J15" i="182" l="1"/>
  <c r="J14" i="182"/>
  <c r="J13" i="182"/>
  <c r="J12" i="182"/>
  <c r="J16" i="182"/>
  <c r="H31" i="183"/>
  <c r="J11" i="182" l="1"/>
  <c r="S63" i="181"/>
  <c r="Q41" i="168" s="1"/>
  <c r="R63" i="181"/>
  <c r="Q40" i="168" s="1"/>
  <c r="M44" i="181"/>
  <c r="P21" i="168" s="1"/>
  <c r="F44" i="181"/>
  <c r="E14" i="181"/>
  <c r="D10" i="181"/>
  <c r="D11" i="181"/>
  <c r="D12" i="181"/>
  <c r="D16" i="181"/>
  <c r="AG16" i="181" s="1"/>
  <c r="D17" i="181"/>
  <c r="AG17" i="181" s="1"/>
  <c r="D18" i="181"/>
  <c r="AG18" i="181" s="1"/>
  <c r="D19" i="181"/>
  <c r="AG19" i="181" s="1"/>
  <c r="D20" i="181"/>
  <c r="AG20" i="181" s="1"/>
  <c r="D21" i="181"/>
  <c r="AG21" i="181" s="1"/>
  <c r="D22" i="181"/>
  <c r="AG22" i="181" s="1"/>
  <c r="D23" i="181"/>
  <c r="AG23" i="181" s="1"/>
  <c r="D25" i="181"/>
  <c r="AG25" i="181" s="1"/>
  <c r="D26" i="181"/>
  <c r="AG26" i="181" s="1"/>
  <c r="D27" i="181"/>
  <c r="D28" i="181"/>
  <c r="D29" i="181"/>
  <c r="D30" i="181"/>
  <c r="D39" i="181"/>
  <c r="AG39" i="181" s="1"/>
  <c r="D40" i="181"/>
  <c r="AG40" i="181" s="1"/>
  <c r="D42" i="181"/>
  <c r="AG42" i="181" s="1"/>
  <c r="D43" i="181"/>
  <c r="AG43" i="181" s="1"/>
  <c r="D45" i="181"/>
  <c r="AG45" i="181" s="1"/>
  <c r="D46" i="181"/>
  <c r="AG46" i="181" s="1"/>
  <c r="D47" i="181"/>
  <c r="AG47" i="181" s="1"/>
  <c r="D48" i="181"/>
  <c r="AG48" i="181" s="1"/>
  <c r="D49" i="181"/>
  <c r="AG49" i="181" s="1"/>
  <c r="D51" i="181"/>
  <c r="AG51" i="181" s="1"/>
  <c r="D52" i="181"/>
  <c r="AG52" i="181" s="1"/>
  <c r="D84" i="181"/>
  <c r="D43" i="171" s="1"/>
  <c r="C45" i="170" s="1"/>
  <c r="D87" i="181"/>
  <c r="D88" i="181"/>
  <c r="D90" i="181"/>
  <c r="D92" i="181"/>
  <c r="D94" i="181"/>
  <c r="D95" i="181"/>
  <c r="D96" i="181"/>
  <c r="D97" i="181"/>
  <c r="D99" i="181"/>
  <c r="D101" i="181"/>
  <c r="D102" i="181"/>
  <c r="D103" i="181"/>
  <c r="D105" i="181"/>
  <c r="D46" i="171" s="1"/>
  <c r="C48" i="170" s="1"/>
  <c r="D108" i="181"/>
  <c r="D109" i="181"/>
  <c r="D110" i="181"/>
  <c r="D112" i="181"/>
  <c r="D113" i="181"/>
  <c r="D116" i="181"/>
  <c r="D117" i="181"/>
  <c r="D118" i="181"/>
  <c r="D119" i="181"/>
  <c r="D120" i="181"/>
  <c r="D122" i="181"/>
  <c r="D123" i="181"/>
  <c r="D125" i="181"/>
  <c r="D126" i="181"/>
  <c r="D128" i="181"/>
  <c r="D49" i="171" s="1"/>
  <c r="C51" i="170" s="1"/>
  <c r="D131" i="181"/>
  <c r="D133" i="181"/>
  <c r="D134" i="181"/>
  <c r="D136" i="181"/>
  <c r="D138" i="181"/>
  <c r="D141" i="181"/>
  <c r="D142" i="181"/>
  <c r="D53" i="171" s="1"/>
  <c r="C58" i="170" s="1"/>
  <c r="D68" i="181"/>
  <c r="AG68" i="181" s="1"/>
  <c r="D76" i="181"/>
  <c r="AG76" i="181" s="1"/>
  <c r="D77" i="181"/>
  <c r="AG77" i="181" s="1"/>
  <c r="D69" i="181"/>
  <c r="AG12" i="181" l="1"/>
  <c r="D34" i="173"/>
  <c r="D21" i="171"/>
  <c r="C21" i="171" s="1"/>
  <c r="AG28" i="181"/>
  <c r="F33" i="168"/>
  <c r="D26" i="171"/>
  <c r="AG30" i="181"/>
  <c r="D28" i="171"/>
  <c r="AG10" i="181"/>
  <c r="D19" i="171"/>
  <c r="C19" i="171" s="1"/>
  <c r="AG69" i="181"/>
  <c r="D35" i="171"/>
  <c r="AG29" i="181"/>
  <c r="G32" i="168"/>
  <c r="D27" i="171"/>
  <c r="AG27" i="181"/>
  <c r="D25" i="171"/>
  <c r="AG11" i="181"/>
  <c r="D20" i="171"/>
  <c r="D18" i="171" s="1"/>
  <c r="D12" i="171" s="1"/>
  <c r="AG38" i="181"/>
  <c r="AJ35" i="181"/>
  <c r="W33" i="181"/>
  <c r="W32" i="181"/>
  <c r="W31" i="181"/>
  <c r="T24" i="181"/>
  <c r="S54" i="181"/>
  <c r="Q27" i="168" s="1"/>
  <c r="R54" i="181"/>
  <c r="Q26" i="168" s="1"/>
  <c r="Q54" i="181"/>
  <c r="Q25" i="168" s="1"/>
  <c r="P54" i="181"/>
  <c r="Q24" i="168" s="1"/>
  <c r="O54" i="181"/>
  <c r="Q23" i="168" s="1"/>
  <c r="N54" i="181"/>
  <c r="Q22" i="168" s="1"/>
  <c r="M54" i="181"/>
  <c r="Q21" i="168" s="1"/>
  <c r="L54" i="181"/>
  <c r="Q20" i="168" s="1"/>
  <c r="K54" i="181"/>
  <c r="Q19" i="168" s="1"/>
  <c r="J54" i="181"/>
  <c r="Q18" i="168" s="1"/>
  <c r="I54" i="181"/>
  <c r="Q17" i="168" s="1"/>
  <c r="H54" i="181"/>
  <c r="Q16" i="168" s="1"/>
  <c r="G54" i="181"/>
  <c r="Q15" i="168" s="1"/>
  <c r="F62" i="181"/>
  <c r="F61" i="181"/>
  <c r="F60" i="181"/>
  <c r="F59" i="181"/>
  <c r="F58" i="181"/>
  <c r="E56" i="181"/>
  <c r="Q13" i="168" s="1"/>
  <c r="D32" i="181" l="1"/>
  <c r="J31" i="168"/>
  <c r="D33" i="181"/>
  <c r="K31" i="168"/>
  <c r="D31" i="181"/>
  <c r="D29" i="171" s="1"/>
  <c r="I31" i="168"/>
  <c r="C34" i="170"/>
  <c r="C35" i="171"/>
  <c r="AG32" i="181"/>
  <c r="D30" i="171"/>
  <c r="C26" i="170"/>
  <c r="C27" i="171"/>
  <c r="C27" i="170"/>
  <c r="C28" i="171"/>
  <c r="AG33" i="181"/>
  <c r="D31" i="171"/>
  <c r="C25" i="170"/>
  <c r="C26" i="171"/>
  <c r="C28" i="170"/>
  <c r="C29" i="171"/>
  <c r="C25" i="171"/>
  <c r="C24" i="170"/>
  <c r="C31" i="181"/>
  <c r="AG31" i="181"/>
  <c r="D54" i="181"/>
  <c r="AG54" i="181" s="1"/>
  <c r="AJ13" i="181"/>
  <c r="C29" i="170" l="1"/>
  <c r="C30" i="171"/>
  <c r="C31" i="171"/>
  <c r="C30" i="170"/>
  <c r="F65" i="182"/>
  <c r="G65" i="182"/>
  <c r="H65" i="182"/>
  <c r="I65" i="182"/>
  <c r="F79" i="182"/>
  <c r="G79" i="182"/>
  <c r="H79" i="182"/>
  <c r="I79" i="182"/>
  <c r="F87" i="182"/>
  <c r="G87" i="182"/>
  <c r="H87" i="182"/>
  <c r="I87" i="182"/>
  <c r="F92" i="182"/>
  <c r="G92" i="182"/>
  <c r="H92" i="182"/>
  <c r="I92" i="182"/>
  <c r="F95" i="182"/>
  <c r="G95" i="182"/>
  <c r="H95" i="182"/>
  <c r="I95" i="182"/>
  <c r="F97" i="182"/>
  <c r="G97" i="182"/>
  <c r="H97" i="182"/>
  <c r="I97" i="182"/>
  <c r="F99" i="182"/>
  <c r="G99" i="182"/>
  <c r="H99" i="182"/>
  <c r="I99" i="182"/>
  <c r="F104" i="182"/>
  <c r="G104" i="182"/>
  <c r="H104" i="182"/>
  <c r="I104" i="182"/>
  <c r="F107" i="182"/>
  <c r="G107" i="182"/>
  <c r="H107" i="182"/>
  <c r="I107" i="182"/>
  <c r="F114" i="182"/>
  <c r="G114" i="182"/>
  <c r="H114" i="182"/>
  <c r="I114" i="182"/>
  <c r="I111" i="182" s="1"/>
  <c r="F118" i="182"/>
  <c r="G118" i="182"/>
  <c r="H118" i="182"/>
  <c r="I118" i="182"/>
  <c r="F121" i="182"/>
  <c r="G121" i="182"/>
  <c r="H121" i="182"/>
  <c r="I121" i="182"/>
  <c r="F128" i="182"/>
  <c r="G128" i="182"/>
  <c r="H128" i="182"/>
  <c r="I128" i="182"/>
  <c r="F131" i="182"/>
  <c r="G131" i="182"/>
  <c r="H131" i="182"/>
  <c r="I131" i="182"/>
  <c r="F137" i="182"/>
  <c r="G137" i="182"/>
  <c r="H137" i="182"/>
  <c r="I137" i="182"/>
  <c r="F139" i="182"/>
  <c r="G139" i="182"/>
  <c r="H139" i="182"/>
  <c r="I139" i="182"/>
  <c r="F144" i="182"/>
  <c r="G144" i="182"/>
  <c r="H144" i="182"/>
  <c r="I144" i="182"/>
  <c r="F146" i="182"/>
  <c r="G146" i="182"/>
  <c r="H146" i="182"/>
  <c r="I146" i="182"/>
  <c r="F150" i="182"/>
  <c r="F148" i="182" s="1"/>
  <c r="G150" i="182"/>
  <c r="G148" i="182" s="1"/>
  <c r="H150" i="182"/>
  <c r="H148" i="182" s="1"/>
  <c r="I150" i="182"/>
  <c r="I148" i="182" s="1"/>
  <c r="E87" i="182"/>
  <c r="E88" i="182"/>
  <c r="E18" i="182"/>
  <c r="E17" i="182" s="1"/>
  <c r="E10" i="182" s="1"/>
  <c r="F18" i="182"/>
  <c r="F17" i="182" s="1"/>
  <c r="F10" i="182" s="1"/>
  <c r="G18" i="182"/>
  <c r="G17" i="182" s="1"/>
  <c r="G10" i="182" s="1"/>
  <c r="H18" i="182"/>
  <c r="H17" i="182" s="1"/>
  <c r="H10" i="182" s="1"/>
  <c r="I18" i="182"/>
  <c r="I17" i="182" s="1"/>
  <c r="I10" i="182" s="1"/>
  <c r="J19" i="182"/>
  <c r="J20" i="182"/>
  <c r="J21" i="182"/>
  <c r="J22" i="182"/>
  <c r="J23" i="182"/>
  <c r="J24" i="182"/>
  <c r="J25" i="182"/>
  <c r="J26" i="182"/>
  <c r="J27" i="182"/>
  <c r="J28" i="182"/>
  <c r="J29" i="182"/>
  <c r="J30" i="182"/>
  <c r="J32" i="182"/>
  <c r="J33" i="182"/>
  <c r="J34" i="182"/>
  <c r="J35" i="182"/>
  <c r="J36" i="182"/>
  <c r="J37" i="182"/>
  <c r="J38" i="182"/>
  <c r="J39" i="182"/>
  <c r="J40" i="182"/>
  <c r="J41" i="182"/>
  <c r="J42" i="182"/>
  <c r="J43" i="182"/>
  <c r="J44" i="182"/>
  <c r="J45" i="182"/>
  <c r="J46" i="182"/>
  <c r="J47" i="182"/>
  <c r="J48" i="182"/>
  <c r="J49" i="182"/>
  <c r="J50" i="182"/>
  <c r="J51" i="182"/>
  <c r="J52" i="182"/>
  <c r="J53" i="182"/>
  <c r="J54" i="182"/>
  <c r="J55" i="182"/>
  <c r="J56" i="182"/>
  <c r="J57" i="182"/>
  <c r="J59" i="182"/>
  <c r="J60" i="182"/>
  <c r="J61" i="182"/>
  <c r="J66" i="182"/>
  <c r="J67" i="182"/>
  <c r="J68" i="182"/>
  <c r="J69" i="182"/>
  <c r="J70" i="182"/>
  <c r="J71" i="182"/>
  <c r="J72" i="182"/>
  <c r="J73" i="182"/>
  <c r="J74" i="182"/>
  <c r="J75" i="182"/>
  <c r="J76" i="182"/>
  <c r="J77" i="182"/>
  <c r="J78" i="182"/>
  <c r="J80" i="182"/>
  <c r="J81" i="182"/>
  <c r="J82" i="182"/>
  <c r="J83" i="182"/>
  <c r="J84" i="182"/>
  <c r="J85" i="182"/>
  <c r="J90" i="182"/>
  <c r="J93" i="182"/>
  <c r="J94" i="182"/>
  <c r="J96" i="182"/>
  <c r="J98" i="182"/>
  <c r="J100" i="182"/>
  <c r="J101" i="182"/>
  <c r="J102" i="182"/>
  <c r="J103" i="182"/>
  <c r="J105" i="182"/>
  <c r="J106" i="182"/>
  <c r="J108" i="182"/>
  <c r="J109" i="182"/>
  <c r="J110" i="182"/>
  <c r="J112" i="182"/>
  <c r="J115" i="182"/>
  <c r="J116" i="182"/>
  <c r="J117" i="182"/>
  <c r="J119" i="182"/>
  <c r="J120" i="182"/>
  <c r="J122" i="182"/>
  <c r="J123" i="182"/>
  <c r="J124" i="182"/>
  <c r="J125" i="182"/>
  <c r="J126" i="182"/>
  <c r="J127" i="182"/>
  <c r="J129" i="182"/>
  <c r="J130" i="182"/>
  <c r="J132" i="182"/>
  <c r="J133" i="182"/>
  <c r="J135" i="182"/>
  <c r="J138" i="182"/>
  <c r="J140" i="182"/>
  <c r="J141" i="182"/>
  <c r="J145" i="182"/>
  <c r="J147" i="182"/>
  <c r="J149" i="182"/>
  <c r="J152" i="182"/>
  <c r="J151" i="182"/>
  <c r="J153" i="182"/>
  <c r="J154" i="182"/>
  <c r="J155" i="182"/>
  <c r="G136" i="182" l="1"/>
  <c r="F136" i="182"/>
  <c r="I136" i="182"/>
  <c r="I134" i="182" s="1"/>
  <c r="H136" i="182"/>
  <c r="G64" i="182"/>
  <c r="G134" i="182"/>
  <c r="G113" i="182"/>
  <c r="G111" i="182" s="1"/>
  <c r="F113" i="182"/>
  <c r="F111" i="182" s="1"/>
  <c r="F91" i="182"/>
  <c r="F64" i="182"/>
  <c r="G91" i="182"/>
  <c r="G89" i="182" s="1"/>
  <c r="H134" i="182"/>
  <c r="H113" i="182"/>
  <c r="H111" i="182" s="1"/>
  <c r="H91" i="182"/>
  <c r="H89" i="182" s="1"/>
  <c r="H64" i="182"/>
  <c r="I89" i="182"/>
  <c r="F134" i="182"/>
  <c r="I64" i="182"/>
  <c r="F88" i="182" l="1"/>
  <c r="G88" i="182"/>
  <c r="F89" i="182"/>
  <c r="G86" i="182"/>
  <c r="G63" i="182" s="1"/>
  <c r="G9" i="182" s="1"/>
  <c r="H86" i="182"/>
  <c r="H63" i="182" s="1"/>
  <c r="H9" i="182" s="1"/>
  <c r="H88" i="182"/>
  <c r="F86" i="182"/>
  <c r="I86" i="182"/>
  <c r="I63" i="182" s="1"/>
  <c r="I9" i="182" s="1"/>
  <c r="I88" i="182"/>
  <c r="C11" i="182"/>
  <c r="C22" i="132"/>
  <c r="D22" i="132"/>
  <c r="S8" i="182" l="1"/>
  <c r="F63" i="182"/>
  <c r="F9" i="182" s="1"/>
  <c r="AA75" i="181" l="1"/>
  <c r="AA44" i="181"/>
  <c r="C46" i="181"/>
  <c r="C47" i="181"/>
  <c r="J34" i="181"/>
  <c r="G65" i="181"/>
  <c r="G32" i="183"/>
  <c r="H32" i="183"/>
  <c r="I32" i="183"/>
  <c r="F64" i="181"/>
  <c r="F63" i="181" s="1"/>
  <c r="Q37" i="168" s="1"/>
  <c r="G63" i="181" l="1"/>
  <c r="Q38" i="168"/>
  <c r="D34" i="181"/>
  <c r="L18" i="168"/>
  <c r="D44" i="181"/>
  <c r="AG44" i="181" s="1"/>
  <c r="P35" i="168"/>
  <c r="AG34" i="181"/>
  <c r="D32" i="171"/>
  <c r="D75" i="181"/>
  <c r="D36" i="171" s="1"/>
  <c r="S35" i="168"/>
  <c r="C75" i="181"/>
  <c r="AG75" i="181"/>
  <c r="C44" i="181"/>
  <c r="D78" i="181"/>
  <c r="H37" i="181"/>
  <c r="C12" i="181"/>
  <c r="L15" i="182" s="1"/>
  <c r="Q9" i="181"/>
  <c r="R9" i="181"/>
  <c r="S9" i="181"/>
  <c r="T9" i="181"/>
  <c r="U9" i="181"/>
  <c r="V9" i="181"/>
  <c r="W9" i="181"/>
  <c r="X9" i="181"/>
  <c r="Y9" i="181"/>
  <c r="Z9" i="181"/>
  <c r="AA9" i="181"/>
  <c r="AB9" i="181"/>
  <c r="AJ9" i="181" s="1"/>
  <c r="E42" i="183"/>
  <c r="K53" i="182"/>
  <c r="N53" i="182" s="1"/>
  <c r="K52" i="182"/>
  <c r="N52" i="182" s="1"/>
  <c r="AB100" i="181"/>
  <c r="AB98" i="181"/>
  <c r="A3" i="182"/>
  <c r="M11" i="182"/>
  <c r="N11" i="182"/>
  <c r="M12" i="182"/>
  <c r="N12" i="182"/>
  <c r="M13" i="182"/>
  <c r="N13" i="182"/>
  <c r="M14" i="182"/>
  <c r="N14" i="182"/>
  <c r="O14" i="182"/>
  <c r="M15" i="182"/>
  <c r="N15" i="182"/>
  <c r="M16" i="182"/>
  <c r="N16" i="182"/>
  <c r="O16" i="182"/>
  <c r="M20" i="182"/>
  <c r="N20" i="182"/>
  <c r="O20" i="182"/>
  <c r="M27" i="182"/>
  <c r="N27" i="182"/>
  <c r="O27" i="182"/>
  <c r="M29" i="182"/>
  <c r="N29" i="182"/>
  <c r="M30" i="182"/>
  <c r="N30" i="182"/>
  <c r="O30" i="182"/>
  <c r="M31" i="182"/>
  <c r="N31" i="182"/>
  <c r="M32" i="182"/>
  <c r="N32" i="182"/>
  <c r="M33" i="182"/>
  <c r="N33" i="182"/>
  <c r="M34" i="182"/>
  <c r="N34" i="182"/>
  <c r="M35" i="182"/>
  <c r="N35" i="182"/>
  <c r="M36" i="182"/>
  <c r="N36" i="182"/>
  <c r="M37" i="182"/>
  <c r="N37" i="182"/>
  <c r="M38" i="182"/>
  <c r="N38" i="182"/>
  <c r="M39" i="182"/>
  <c r="N39" i="182"/>
  <c r="M42" i="182"/>
  <c r="N42" i="182"/>
  <c r="M44" i="182"/>
  <c r="N44" i="182"/>
  <c r="M45" i="182"/>
  <c r="N45" i="182"/>
  <c r="O45" i="182"/>
  <c r="M46" i="182"/>
  <c r="N46" i="182"/>
  <c r="O46" i="182"/>
  <c r="M47" i="182"/>
  <c r="N47" i="182"/>
  <c r="O47" i="182"/>
  <c r="M48" i="182"/>
  <c r="N48" i="182"/>
  <c r="O48" i="182"/>
  <c r="M49" i="182"/>
  <c r="N49" i="182"/>
  <c r="M50" i="182"/>
  <c r="N50" i="182"/>
  <c r="O50" i="182"/>
  <c r="M51" i="182"/>
  <c r="N51" i="182"/>
  <c r="O51" i="182"/>
  <c r="M53" i="182"/>
  <c r="M57" i="182"/>
  <c r="N57" i="182"/>
  <c r="M58" i="182"/>
  <c r="N58" i="182"/>
  <c r="M59" i="182"/>
  <c r="N59" i="182"/>
  <c r="O59" i="182"/>
  <c r="M60" i="182"/>
  <c r="N60" i="182"/>
  <c r="O60" i="182"/>
  <c r="M61" i="182"/>
  <c r="N61" i="182"/>
  <c r="O61" i="182"/>
  <c r="M62" i="182"/>
  <c r="N62" i="182"/>
  <c r="M66" i="182"/>
  <c r="N66" i="182"/>
  <c r="O66" i="182"/>
  <c r="M67" i="182"/>
  <c r="N67" i="182"/>
  <c r="O67" i="182"/>
  <c r="M68" i="182"/>
  <c r="N68" i="182"/>
  <c r="O68" i="182"/>
  <c r="M69" i="182"/>
  <c r="N69" i="182"/>
  <c r="O69" i="182"/>
  <c r="M70" i="182"/>
  <c r="N70" i="182"/>
  <c r="O70" i="182"/>
  <c r="M71" i="182"/>
  <c r="N71" i="182"/>
  <c r="O71" i="182"/>
  <c r="M72" i="182"/>
  <c r="N72" i="182"/>
  <c r="O72" i="182"/>
  <c r="M73" i="182"/>
  <c r="N73" i="182"/>
  <c r="O73" i="182"/>
  <c r="M74" i="182"/>
  <c r="N74" i="182"/>
  <c r="O74" i="182"/>
  <c r="M75" i="182"/>
  <c r="N75" i="182"/>
  <c r="O75" i="182"/>
  <c r="M76" i="182"/>
  <c r="N76" i="182"/>
  <c r="O76" i="182"/>
  <c r="M77" i="182"/>
  <c r="N77" i="182"/>
  <c r="O77" i="182"/>
  <c r="M78" i="182"/>
  <c r="N78" i="182"/>
  <c r="O78" i="182"/>
  <c r="M80" i="182"/>
  <c r="N80" i="182"/>
  <c r="O80" i="182"/>
  <c r="M81" i="182"/>
  <c r="N81" i="182"/>
  <c r="O81" i="182"/>
  <c r="M82" i="182"/>
  <c r="N82" i="182"/>
  <c r="O82" i="182"/>
  <c r="M83" i="182"/>
  <c r="N83" i="182"/>
  <c r="O83" i="182"/>
  <c r="M84" i="182"/>
  <c r="N84" i="182"/>
  <c r="O84" i="182"/>
  <c r="M85" i="182"/>
  <c r="N85" i="182"/>
  <c r="O85" i="182"/>
  <c r="M90" i="182"/>
  <c r="N90" i="182"/>
  <c r="M93" i="182"/>
  <c r="N93" i="182"/>
  <c r="O93" i="182"/>
  <c r="M94" i="182"/>
  <c r="N94" i="182"/>
  <c r="M96" i="182"/>
  <c r="N96" i="182"/>
  <c r="M100" i="182"/>
  <c r="N100" i="182"/>
  <c r="M101" i="182"/>
  <c r="N101" i="182"/>
  <c r="M102" i="182"/>
  <c r="N102" i="182"/>
  <c r="M103" i="182"/>
  <c r="N103" i="182"/>
  <c r="M105" i="182"/>
  <c r="N105" i="182"/>
  <c r="O105" i="182"/>
  <c r="M106" i="182"/>
  <c r="N106" i="182"/>
  <c r="M108" i="182"/>
  <c r="N108" i="182"/>
  <c r="M109" i="182"/>
  <c r="N109" i="182"/>
  <c r="O109" i="182"/>
  <c r="M110" i="182"/>
  <c r="N110" i="182"/>
  <c r="M112" i="182"/>
  <c r="N112" i="182"/>
  <c r="M115" i="182"/>
  <c r="N115" i="182"/>
  <c r="M116" i="182"/>
  <c r="N116" i="182"/>
  <c r="M117" i="182"/>
  <c r="N117" i="182"/>
  <c r="M119" i="182"/>
  <c r="N119" i="182"/>
  <c r="M120" i="182"/>
  <c r="N120" i="182"/>
  <c r="M122" i="182"/>
  <c r="N122" i="182"/>
  <c r="M123" i="182"/>
  <c r="N123" i="182"/>
  <c r="O123" i="182"/>
  <c r="M124" i="182"/>
  <c r="N124" i="182"/>
  <c r="O124" i="182"/>
  <c r="M125" i="182"/>
  <c r="N125" i="182"/>
  <c r="M126" i="182"/>
  <c r="N126" i="182"/>
  <c r="M127" i="182"/>
  <c r="N127" i="182"/>
  <c r="M129" i="182"/>
  <c r="N129" i="182"/>
  <c r="M130" i="182"/>
  <c r="N130" i="182"/>
  <c r="M132" i="182"/>
  <c r="N132" i="182"/>
  <c r="M133" i="182"/>
  <c r="N133" i="182"/>
  <c r="M135" i="182"/>
  <c r="N135" i="182"/>
  <c r="M138" i="182"/>
  <c r="N138" i="182"/>
  <c r="M140" i="182"/>
  <c r="N140" i="182"/>
  <c r="M141" i="182"/>
  <c r="N141" i="182"/>
  <c r="M145" i="182"/>
  <c r="N145" i="182"/>
  <c r="M147" i="182"/>
  <c r="N147" i="182"/>
  <c r="M149" i="182"/>
  <c r="N149" i="182"/>
  <c r="O149" i="182"/>
  <c r="M152" i="182"/>
  <c r="N152" i="182"/>
  <c r="M151" i="182"/>
  <c r="N151" i="182"/>
  <c r="M153" i="182"/>
  <c r="N153" i="182"/>
  <c r="O153" i="182"/>
  <c r="M154" i="182"/>
  <c r="N154" i="182"/>
  <c r="O154" i="182"/>
  <c r="M155" i="182"/>
  <c r="N155" i="182"/>
  <c r="O155" i="182"/>
  <c r="G11" i="183"/>
  <c r="H11" i="183"/>
  <c r="I11" i="183"/>
  <c r="G12" i="183"/>
  <c r="H12" i="183"/>
  <c r="I12" i="183"/>
  <c r="G13" i="183"/>
  <c r="H13" i="183"/>
  <c r="I13" i="183"/>
  <c r="G15" i="183"/>
  <c r="H15" i="183"/>
  <c r="I15" i="183"/>
  <c r="I16" i="183"/>
  <c r="G17" i="183"/>
  <c r="H17" i="183"/>
  <c r="I17" i="183"/>
  <c r="I18" i="183"/>
  <c r="G21" i="183"/>
  <c r="H21" i="183"/>
  <c r="I21" i="183"/>
  <c r="G22" i="183"/>
  <c r="H22" i="183"/>
  <c r="I22" i="183"/>
  <c r="G23" i="183"/>
  <c r="H23" i="183"/>
  <c r="I23" i="183"/>
  <c r="G24" i="183"/>
  <c r="H24" i="183"/>
  <c r="I24" i="183"/>
  <c r="G25" i="183"/>
  <c r="H25" i="183"/>
  <c r="I25" i="183"/>
  <c r="G26" i="183"/>
  <c r="H26" i="183"/>
  <c r="I26" i="183"/>
  <c r="G28" i="183"/>
  <c r="H28" i="183"/>
  <c r="I28" i="183"/>
  <c r="G29" i="183"/>
  <c r="H29" i="183"/>
  <c r="I29" i="183"/>
  <c r="G30" i="183"/>
  <c r="H30" i="183"/>
  <c r="I30" i="183"/>
  <c r="G31" i="183"/>
  <c r="I31" i="183"/>
  <c r="G33" i="183"/>
  <c r="H33" i="183"/>
  <c r="I33" i="183"/>
  <c r="G34" i="183"/>
  <c r="H34" i="183"/>
  <c r="I34" i="183"/>
  <c r="G36" i="183"/>
  <c r="H36" i="183"/>
  <c r="I36" i="183"/>
  <c r="G37" i="183"/>
  <c r="H37" i="183"/>
  <c r="I37" i="183"/>
  <c r="G41" i="183"/>
  <c r="H41" i="183"/>
  <c r="G42" i="183"/>
  <c r="H42" i="183"/>
  <c r="G43" i="183"/>
  <c r="H43" i="183"/>
  <c r="I43" i="183"/>
  <c r="G44" i="183"/>
  <c r="H44" i="183"/>
  <c r="I44" i="183"/>
  <c r="G45" i="183"/>
  <c r="H45" i="183"/>
  <c r="I45" i="183"/>
  <c r="D15" i="38" l="1"/>
  <c r="J15" i="38" s="1"/>
  <c r="D16" i="132"/>
  <c r="C31" i="170"/>
  <c r="C32" i="171"/>
  <c r="C36" i="171"/>
  <c r="C35" i="170"/>
  <c r="AG78" i="181"/>
  <c r="D38" i="171"/>
  <c r="C37" i="170" s="1"/>
  <c r="O15" i="182"/>
  <c r="D21" i="133"/>
  <c r="H36" i="181"/>
  <c r="O16" i="168" s="1"/>
  <c r="D37" i="181"/>
  <c r="AG37" i="181" s="1"/>
  <c r="AA24" i="181"/>
  <c r="AA14" i="181" s="1"/>
  <c r="D35" i="168" s="1"/>
  <c r="P9" i="181"/>
  <c r="M52" i="182"/>
  <c r="D87" i="182"/>
  <c r="J87" i="182" s="1"/>
  <c r="K87" i="182"/>
  <c r="C87" i="182"/>
  <c r="K43" i="182"/>
  <c r="K41" i="182"/>
  <c r="K56" i="182"/>
  <c r="K55" i="182"/>
  <c r="K25" i="182"/>
  <c r="K24" i="182"/>
  <c r="K23" i="182"/>
  <c r="K28" i="182"/>
  <c r="K22" i="182"/>
  <c r="K21" i="182"/>
  <c r="C118" i="182"/>
  <c r="F41" i="183"/>
  <c r="D40" i="183"/>
  <c r="D38" i="183" s="1"/>
  <c r="E40" i="183"/>
  <c r="C40" i="183"/>
  <c r="C38" i="183" s="1"/>
  <c r="E18" i="183"/>
  <c r="C19" i="17" s="1"/>
  <c r="D19" i="17" s="1"/>
  <c r="E16" i="183"/>
  <c r="C17" i="17" s="1"/>
  <c r="D17" i="17" s="1"/>
  <c r="E10" i="183"/>
  <c r="C18" i="183"/>
  <c r="C14" i="183"/>
  <c r="C35" i="183"/>
  <c r="C20" i="183"/>
  <c r="E14" i="38" l="1"/>
  <c r="K14" i="38" s="1"/>
  <c r="E14" i="132"/>
  <c r="S87" i="182"/>
  <c r="G16" i="183"/>
  <c r="H16" i="183"/>
  <c r="G18" i="183"/>
  <c r="H18" i="183"/>
  <c r="I41" i="183"/>
  <c r="G40" i="183"/>
  <c r="H40" i="183"/>
  <c r="D24" i="181"/>
  <c r="AG24" i="181" s="1"/>
  <c r="M22" i="182"/>
  <c r="N22" i="182"/>
  <c r="N43" i="182"/>
  <c r="M43" i="182"/>
  <c r="M28" i="182"/>
  <c r="N28" i="182"/>
  <c r="N55" i="182"/>
  <c r="M55" i="182"/>
  <c r="N98" i="182"/>
  <c r="M98" i="182"/>
  <c r="K26" i="182"/>
  <c r="N23" i="182"/>
  <c r="M23" i="182"/>
  <c r="M56" i="182"/>
  <c r="N56" i="182"/>
  <c r="N25" i="182"/>
  <c r="M25" i="182"/>
  <c r="N21" i="182"/>
  <c r="M21" i="182"/>
  <c r="M24" i="182"/>
  <c r="N24" i="182"/>
  <c r="N41" i="182"/>
  <c r="M41" i="182"/>
  <c r="M87" i="182"/>
  <c r="N87" i="182"/>
  <c r="O9" i="181"/>
  <c r="K19" i="182" l="1"/>
  <c r="K18" i="182" s="1"/>
  <c r="K17" i="182" s="1"/>
  <c r="K10" i="182" s="1"/>
  <c r="M26" i="182"/>
  <c r="N26" i="182"/>
  <c r="N9" i="181"/>
  <c r="F29" i="187"/>
  <c r="F28" i="187" s="1"/>
  <c r="F27" i="187" s="1"/>
  <c r="E29" i="187"/>
  <c r="E28" i="187" s="1"/>
  <c r="E27" i="187" s="1"/>
  <c r="D28" i="187"/>
  <c r="C28" i="187"/>
  <c r="C27" i="187" s="1"/>
  <c r="D27" i="187"/>
  <c r="F24" i="187"/>
  <c r="E24" i="187"/>
  <c r="D24" i="187"/>
  <c r="C24" i="187"/>
  <c r="F22" i="187"/>
  <c r="F21" i="187" s="1"/>
  <c r="E22" i="187"/>
  <c r="E21" i="187" s="1"/>
  <c r="D22" i="187"/>
  <c r="C22" i="187"/>
  <c r="E20" i="187"/>
  <c r="E16" i="187"/>
  <c r="F14" i="187"/>
  <c r="F9" i="187" s="1"/>
  <c r="F8" i="187" s="1"/>
  <c r="D9" i="187"/>
  <c r="D8" i="187" s="1"/>
  <c r="C9" i="187"/>
  <c r="C8" i="187" s="1"/>
  <c r="A3" i="187"/>
  <c r="A3" i="186" s="1"/>
  <c r="A3" i="185" s="1"/>
  <c r="C142" i="181"/>
  <c r="L152" i="182" s="1"/>
  <c r="C141" i="181"/>
  <c r="AB140" i="181"/>
  <c r="AB139" i="181" s="1"/>
  <c r="AA140" i="181"/>
  <c r="AA139" i="181" s="1"/>
  <c r="M34" i="173" s="1"/>
  <c r="Z140" i="181"/>
  <c r="Z139" i="181" s="1"/>
  <c r="Y140" i="181"/>
  <c r="Y139" i="181" s="1"/>
  <c r="X140" i="181"/>
  <c r="X139" i="181" s="1"/>
  <c r="W140" i="181"/>
  <c r="W139" i="181" s="1"/>
  <c r="V140" i="181"/>
  <c r="V139" i="181" s="1"/>
  <c r="U140" i="181"/>
  <c r="U139" i="181" s="1"/>
  <c r="T140" i="181"/>
  <c r="T139" i="181" s="1"/>
  <c r="S140" i="181"/>
  <c r="S139" i="181"/>
  <c r="R140" i="181"/>
  <c r="R139" i="181" s="1"/>
  <c r="Q140" i="181"/>
  <c r="Q139" i="181" s="1"/>
  <c r="P140" i="181"/>
  <c r="O140" i="181"/>
  <c r="O139" i="181" s="1"/>
  <c r="N140" i="181"/>
  <c r="N139" i="181" s="1"/>
  <c r="M140" i="181"/>
  <c r="M139" i="181" s="1"/>
  <c r="L140" i="181"/>
  <c r="L139" i="181" s="1"/>
  <c r="K140" i="181"/>
  <c r="K139" i="181" s="1"/>
  <c r="J140" i="181"/>
  <c r="J139" i="181" s="1"/>
  <c r="I140" i="181"/>
  <c r="I139" i="181" s="1"/>
  <c r="H140" i="181"/>
  <c r="H139" i="181" s="1"/>
  <c r="G140" i="181"/>
  <c r="G139" i="181" s="1"/>
  <c r="F140" i="181"/>
  <c r="F139" i="181" s="1"/>
  <c r="E140" i="181"/>
  <c r="P139" i="181"/>
  <c r="C138" i="181"/>
  <c r="L147" i="182" s="1"/>
  <c r="O147" i="182" s="1"/>
  <c r="AB137" i="181"/>
  <c r="AA137" i="181"/>
  <c r="Z137" i="181"/>
  <c r="Y137" i="181"/>
  <c r="X137" i="181"/>
  <c r="W137" i="181"/>
  <c r="V137" i="181"/>
  <c r="U137" i="181"/>
  <c r="T137" i="181"/>
  <c r="S137" i="181"/>
  <c r="R137" i="181"/>
  <c r="Q137" i="181"/>
  <c r="P137" i="181"/>
  <c r="O137" i="181"/>
  <c r="N137" i="181"/>
  <c r="M137" i="181"/>
  <c r="L137" i="181"/>
  <c r="K137" i="181"/>
  <c r="J137" i="181"/>
  <c r="I137" i="181"/>
  <c r="H137" i="181"/>
  <c r="G137" i="181"/>
  <c r="F137" i="181"/>
  <c r="E137" i="181"/>
  <c r="C136" i="181"/>
  <c r="L145" i="182" s="1"/>
  <c r="O145" i="182" s="1"/>
  <c r="AB135" i="181"/>
  <c r="AA135" i="181"/>
  <c r="Z135" i="181"/>
  <c r="Y135" i="181"/>
  <c r="X135" i="181"/>
  <c r="W135" i="181"/>
  <c r="V135" i="181"/>
  <c r="U135" i="181"/>
  <c r="T135" i="181"/>
  <c r="S135" i="181"/>
  <c r="R135" i="181"/>
  <c r="Q135" i="181"/>
  <c r="P135" i="181"/>
  <c r="O135" i="181"/>
  <c r="N135" i="181"/>
  <c r="M135" i="181"/>
  <c r="L135" i="181"/>
  <c r="K135" i="181"/>
  <c r="J135" i="181"/>
  <c r="I135" i="181"/>
  <c r="H135" i="181"/>
  <c r="G135" i="181"/>
  <c r="F135" i="181"/>
  <c r="E135" i="181"/>
  <c r="C134" i="181"/>
  <c r="L141" i="182" s="1"/>
  <c r="O141" i="182" s="1"/>
  <c r="C133" i="181"/>
  <c r="L140" i="182" s="1"/>
  <c r="O140" i="182" s="1"/>
  <c r="AB132" i="181"/>
  <c r="AA132" i="181"/>
  <c r="Z132" i="181"/>
  <c r="Y132" i="181"/>
  <c r="X132" i="181"/>
  <c r="W132" i="181"/>
  <c r="V132" i="181"/>
  <c r="U132" i="181"/>
  <c r="T132" i="181"/>
  <c r="S132" i="181"/>
  <c r="R132" i="181"/>
  <c r="Q132" i="181"/>
  <c r="P132" i="181"/>
  <c r="O132" i="181"/>
  <c r="N132" i="181"/>
  <c r="M132" i="181"/>
  <c r="L132" i="181"/>
  <c r="K132" i="181"/>
  <c r="J132" i="181"/>
  <c r="I132" i="181"/>
  <c r="H132" i="181"/>
  <c r="G132" i="181"/>
  <c r="F132" i="181"/>
  <c r="E132" i="181"/>
  <c r="C131" i="181"/>
  <c r="L138" i="182" s="1"/>
  <c r="O138" i="182" s="1"/>
  <c r="AB130" i="181"/>
  <c r="AA130" i="181"/>
  <c r="Z130" i="181"/>
  <c r="Y130" i="181"/>
  <c r="X130" i="181"/>
  <c r="W130" i="181"/>
  <c r="V130" i="181"/>
  <c r="U130" i="181"/>
  <c r="T130" i="181"/>
  <c r="S130" i="181"/>
  <c r="R130" i="181"/>
  <c r="Q130" i="181"/>
  <c r="P130" i="181"/>
  <c r="O130" i="181"/>
  <c r="N130" i="181"/>
  <c r="M130" i="181"/>
  <c r="L130" i="181"/>
  <c r="K130" i="181"/>
  <c r="J130" i="181"/>
  <c r="I130" i="181"/>
  <c r="H130" i="181"/>
  <c r="G130" i="181"/>
  <c r="F130" i="181"/>
  <c r="E130" i="181"/>
  <c r="C126" i="181"/>
  <c r="L133" i="182" s="1"/>
  <c r="O133" i="182" s="1"/>
  <c r="C125" i="181"/>
  <c r="L132" i="182" s="1"/>
  <c r="O132" i="182" s="1"/>
  <c r="AB124" i="181"/>
  <c r="AA124" i="181"/>
  <c r="Z124" i="181"/>
  <c r="Y124" i="181"/>
  <c r="X124" i="181"/>
  <c r="W124" i="181"/>
  <c r="V124" i="181"/>
  <c r="U124" i="181"/>
  <c r="T124" i="181"/>
  <c r="S124" i="181"/>
  <c r="R124" i="181"/>
  <c r="Q124" i="181"/>
  <c r="P124" i="181"/>
  <c r="O124" i="181"/>
  <c r="N124" i="181"/>
  <c r="M124" i="181"/>
  <c r="L124" i="181"/>
  <c r="K124" i="181"/>
  <c r="J124" i="181"/>
  <c r="I124" i="181"/>
  <c r="H124" i="181"/>
  <c r="G124" i="181"/>
  <c r="F124" i="181"/>
  <c r="E124" i="181"/>
  <c r="C123" i="181"/>
  <c r="L130" i="182" s="1"/>
  <c r="O130" i="182" s="1"/>
  <c r="C122" i="181"/>
  <c r="L129" i="182" s="1"/>
  <c r="O129" i="182" s="1"/>
  <c r="AB121" i="181"/>
  <c r="AA121" i="181"/>
  <c r="Z121" i="181"/>
  <c r="Y121" i="181"/>
  <c r="X121" i="181"/>
  <c r="W121" i="181"/>
  <c r="V121" i="181"/>
  <c r="U121" i="181"/>
  <c r="T121" i="181"/>
  <c r="S121" i="181"/>
  <c r="R121" i="181"/>
  <c r="Q121" i="181"/>
  <c r="P121" i="181"/>
  <c r="O121" i="181"/>
  <c r="N121" i="181"/>
  <c r="M121" i="181"/>
  <c r="L121" i="181"/>
  <c r="K121" i="181"/>
  <c r="J121" i="181"/>
  <c r="I121" i="181"/>
  <c r="H121" i="181"/>
  <c r="G121" i="181"/>
  <c r="F121" i="181"/>
  <c r="E121" i="181"/>
  <c r="C120" i="181"/>
  <c r="L127" i="182" s="1"/>
  <c r="O127" i="182" s="1"/>
  <c r="C119" i="181"/>
  <c r="L126" i="182" s="1"/>
  <c r="O126" i="182" s="1"/>
  <c r="C118" i="181"/>
  <c r="L125" i="182" s="1"/>
  <c r="O125" i="182" s="1"/>
  <c r="C117" i="181"/>
  <c r="C116" i="181"/>
  <c r="AB115" i="181"/>
  <c r="AB114" i="181" s="1"/>
  <c r="AA115" i="181"/>
  <c r="AA114" i="181" s="1"/>
  <c r="Z115" i="181"/>
  <c r="Z114" i="181" s="1"/>
  <c r="Y115" i="181"/>
  <c r="Y114" i="181" s="1"/>
  <c r="X115" i="181"/>
  <c r="X114" i="181" s="1"/>
  <c r="W115" i="181"/>
  <c r="W114" i="181" s="1"/>
  <c r="V115" i="181"/>
  <c r="V114" i="181" s="1"/>
  <c r="T115" i="181"/>
  <c r="T114" i="181" s="1"/>
  <c r="S115" i="181"/>
  <c r="S114" i="181" s="1"/>
  <c r="R115" i="181"/>
  <c r="R114" i="181" s="1"/>
  <c r="Q115" i="181"/>
  <c r="Q114" i="181" s="1"/>
  <c r="P115" i="181"/>
  <c r="P114" i="181" s="1"/>
  <c r="O115" i="181"/>
  <c r="O114" i="181" s="1"/>
  <c r="N115" i="181"/>
  <c r="N114" i="181" s="1"/>
  <c r="M115" i="181"/>
  <c r="M114" i="181" s="1"/>
  <c r="L115" i="181"/>
  <c r="L114" i="181" s="1"/>
  <c r="K115" i="181"/>
  <c r="K114" i="181" s="1"/>
  <c r="J115" i="181"/>
  <c r="J114" i="181" s="1"/>
  <c r="I115" i="181"/>
  <c r="I114" i="181" s="1"/>
  <c r="H115" i="181"/>
  <c r="H114" i="181" s="1"/>
  <c r="G115" i="181"/>
  <c r="G114" i="181" s="1"/>
  <c r="F115" i="181"/>
  <c r="E115" i="181"/>
  <c r="U114" i="181"/>
  <c r="C113" i="181"/>
  <c r="L120" i="182" s="1"/>
  <c r="O120" i="182" s="1"/>
  <c r="C112" i="181"/>
  <c r="L119" i="182" s="1"/>
  <c r="O119" i="182" s="1"/>
  <c r="AB111" i="181"/>
  <c r="AA111" i="181"/>
  <c r="Z111" i="181"/>
  <c r="Y111" i="181"/>
  <c r="X111" i="181"/>
  <c r="W111" i="181"/>
  <c r="V111" i="181"/>
  <c r="U111" i="181"/>
  <c r="T111" i="181"/>
  <c r="S111" i="181"/>
  <c r="R111" i="181"/>
  <c r="Q111" i="181"/>
  <c r="P111" i="181"/>
  <c r="O111" i="181"/>
  <c r="N111" i="181"/>
  <c r="M111" i="181"/>
  <c r="L111" i="181"/>
  <c r="K111" i="181"/>
  <c r="J111" i="181"/>
  <c r="I111" i="181"/>
  <c r="H111" i="181"/>
  <c r="G111" i="181"/>
  <c r="F111" i="181"/>
  <c r="E111" i="181"/>
  <c r="C110" i="181"/>
  <c r="L117" i="182" s="1"/>
  <c r="O117" i="182" s="1"/>
  <c r="C109" i="181"/>
  <c r="L116" i="182" s="1"/>
  <c r="C108" i="181"/>
  <c r="L115" i="182" s="1"/>
  <c r="O115" i="182" s="1"/>
  <c r="AB107" i="181"/>
  <c r="AA107" i="181"/>
  <c r="Z107" i="181"/>
  <c r="Y107" i="181"/>
  <c r="X107" i="181"/>
  <c r="W107" i="181"/>
  <c r="V107" i="181"/>
  <c r="U107" i="181"/>
  <c r="T107" i="181"/>
  <c r="S107" i="181"/>
  <c r="R107" i="181"/>
  <c r="Q107" i="181"/>
  <c r="P107" i="181"/>
  <c r="O107" i="181"/>
  <c r="N107" i="181"/>
  <c r="M107" i="181"/>
  <c r="L107" i="181"/>
  <c r="K107" i="181"/>
  <c r="J107" i="181"/>
  <c r="I107" i="181"/>
  <c r="H107" i="181"/>
  <c r="G107" i="181"/>
  <c r="F107" i="181"/>
  <c r="E107" i="181"/>
  <c r="C105" i="181"/>
  <c r="L112" i="182" s="1"/>
  <c r="C103" i="181"/>
  <c r="L110" i="182" s="1"/>
  <c r="O110" i="182" s="1"/>
  <c r="C102" i="181"/>
  <c r="C101" i="181"/>
  <c r="L108" i="182" s="1"/>
  <c r="O108" i="182" s="1"/>
  <c r="AA100" i="181"/>
  <c r="Z100" i="181"/>
  <c r="Y100" i="181"/>
  <c r="X100" i="181"/>
  <c r="W100" i="181"/>
  <c r="V100" i="181"/>
  <c r="U100" i="181"/>
  <c r="T100" i="181"/>
  <c r="S100" i="181"/>
  <c r="R100" i="181"/>
  <c r="Q100" i="181"/>
  <c r="P100" i="181"/>
  <c r="O100" i="181"/>
  <c r="N100" i="181"/>
  <c r="M100" i="181"/>
  <c r="L100" i="181"/>
  <c r="K100" i="181"/>
  <c r="J100" i="181"/>
  <c r="I100" i="181"/>
  <c r="H100" i="181"/>
  <c r="G100" i="181"/>
  <c r="F100" i="181"/>
  <c r="E100" i="181"/>
  <c r="C99" i="181"/>
  <c r="L106" i="182" s="1"/>
  <c r="O106" i="182" s="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C97" i="181"/>
  <c r="L103" i="182" s="1"/>
  <c r="O103" i="182" s="1"/>
  <c r="C96" i="181"/>
  <c r="L102" i="182" s="1"/>
  <c r="O102" i="182" s="1"/>
  <c r="C95" i="181"/>
  <c r="L101" i="182" s="1"/>
  <c r="O101" i="182" s="1"/>
  <c r="C94" i="181"/>
  <c r="L100" i="182" s="1"/>
  <c r="O100" i="182" s="1"/>
  <c r="AB93" i="181"/>
  <c r="AA93" i="181"/>
  <c r="Z93" i="181"/>
  <c r="Y93" i="181"/>
  <c r="X93" i="181"/>
  <c r="W93" i="181"/>
  <c r="V93" i="181"/>
  <c r="U93" i="181"/>
  <c r="T93" i="181"/>
  <c r="S93" i="181"/>
  <c r="R93" i="181"/>
  <c r="Q93" i="181"/>
  <c r="P93" i="181"/>
  <c r="O93" i="181"/>
  <c r="N93" i="181"/>
  <c r="M93" i="181"/>
  <c r="L93" i="181"/>
  <c r="K93" i="181"/>
  <c r="J93" i="181"/>
  <c r="I93" i="181"/>
  <c r="H93" i="181"/>
  <c r="G93" i="181"/>
  <c r="F93" i="181"/>
  <c r="E93" i="181"/>
  <c r="C92" i="181"/>
  <c r="L98" i="182" s="1"/>
  <c r="O98" i="182" s="1"/>
  <c r="AB91" i="181"/>
  <c r="AA91" i="181"/>
  <c r="Z91" i="181"/>
  <c r="Y91" i="181"/>
  <c r="X91" i="181"/>
  <c r="W91" i="181"/>
  <c r="V91" i="181"/>
  <c r="U91" i="181"/>
  <c r="T91" i="181"/>
  <c r="S91" i="181"/>
  <c r="R91" i="181"/>
  <c r="Q91" i="181"/>
  <c r="P91" i="181"/>
  <c r="O91" i="181"/>
  <c r="N91" i="181"/>
  <c r="M91" i="181"/>
  <c r="L91" i="181"/>
  <c r="K91" i="181"/>
  <c r="J91" i="181"/>
  <c r="I91" i="181"/>
  <c r="H91" i="181"/>
  <c r="G91" i="181"/>
  <c r="F91" i="181"/>
  <c r="E91" i="181"/>
  <c r="C90" i="181"/>
  <c r="L96" i="182" s="1"/>
  <c r="O96" i="182" s="1"/>
  <c r="AB89" i="181"/>
  <c r="AA89" i="181"/>
  <c r="Z89" i="181"/>
  <c r="Y89" i="181"/>
  <c r="X89" i="181"/>
  <c r="W89" i="181"/>
  <c r="U89" i="181"/>
  <c r="T89" i="181"/>
  <c r="S89" i="181"/>
  <c r="R89" i="181"/>
  <c r="Q89" i="181"/>
  <c r="P89" i="181"/>
  <c r="O89" i="181"/>
  <c r="N89" i="181"/>
  <c r="M89" i="181"/>
  <c r="L89" i="181"/>
  <c r="K89" i="181"/>
  <c r="J89" i="181"/>
  <c r="I89" i="181"/>
  <c r="H89" i="181"/>
  <c r="G89" i="181"/>
  <c r="F89" i="181"/>
  <c r="E89" i="181"/>
  <c r="C88" i="181"/>
  <c r="L94" i="182" s="1"/>
  <c r="C87" i="181"/>
  <c r="AB86" i="181"/>
  <c r="AA86" i="181"/>
  <c r="Z86" i="181"/>
  <c r="Y86" i="181"/>
  <c r="X86" i="181"/>
  <c r="W86" i="181"/>
  <c r="V86" i="181"/>
  <c r="U86" i="181"/>
  <c r="T86" i="181"/>
  <c r="S86" i="181"/>
  <c r="R86" i="181"/>
  <c r="P86" i="181"/>
  <c r="O86" i="181"/>
  <c r="N86" i="181"/>
  <c r="M86" i="181"/>
  <c r="L86" i="181"/>
  <c r="K86" i="181"/>
  <c r="J86" i="181"/>
  <c r="I86" i="181"/>
  <c r="H86" i="181"/>
  <c r="G86" i="181"/>
  <c r="F86" i="181"/>
  <c r="E86" i="181"/>
  <c r="AA81" i="181"/>
  <c r="Y81" i="181"/>
  <c r="X81" i="181"/>
  <c r="W81" i="181"/>
  <c r="V81" i="181"/>
  <c r="U81" i="181"/>
  <c r="T81" i="181"/>
  <c r="S81" i="181"/>
  <c r="R81" i="181"/>
  <c r="Q81" i="181"/>
  <c r="P81" i="181"/>
  <c r="O81" i="181"/>
  <c r="N81" i="181"/>
  <c r="M81" i="181"/>
  <c r="L81" i="181"/>
  <c r="K81" i="181"/>
  <c r="J81" i="181"/>
  <c r="I81" i="181"/>
  <c r="H81" i="181"/>
  <c r="G81" i="181"/>
  <c r="F81" i="181"/>
  <c r="E81" i="181"/>
  <c r="C78" i="181"/>
  <c r="AD78" i="181" s="1"/>
  <c r="C77" i="181"/>
  <c r="C76" i="181"/>
  <c r="D74" i="181"/>
  <c r="D73" i="181"/>
  <c r="D72" i="181"/>
  <c r="D71" i="181"/>
  <c r="AG71" i="181" s="1"/>
  <c r="D70" i="181"/>
  <c r="AG70" i="181" s="1"/>
  <c r="C68" i="181"/>
  <c r="D67" i="181"/>
  <c r="D66" i="181"/>
  <c r="D65" i="181"/>
  <c r="S53" i="181"/>
  <c r="D62" i="181"/>
  <c r="D61" i="181"/>
  <c r="D60" i="181"/>
  <c r="D59" i="181"/>
  <c r="D58" i="181"/>
  <c r="E53" i="181"/>
  <c r="D55" i="181"/>
  <c r="Q53" i="181"/>
  <c r="O53" i="181"/>
  <c r="N53" i="181"/>
  <c r="L53" i="181"/>
  <c r="K53" i="181"/>
  <c r="J53" i="181"/>
  <c r="H53" i="181"/>
  <c r="P53" i="181"/>
  <c r="M53" i="181"/>
  <c r="C52" i="181"/>
  <c r="L49" i="182" s="1"/>
  <c r="O49" i="182" s="1"/>
  <c r="C51" i="181"/>
  <c r="C49" i="181"/>
  <c r="C45" i="181"/>
  <c r="C43" i="181"/>
  <c r="C42" i="181"/>
  <c r="L43" i="182" s="1"/>
  <c r="O43" i="182" s="1"/>
  <c r="AA41" i="181"/>
  <c r="C40" i="181"/>
  <c r="C37" i="181"/>
  <c r="L41" i="182" s="1"/>
  <c r="O41" i="182" s="1"/>
  <c r="Z35" i="181"/>
  <c r="Y35" i="181"/>
  <c r="X36" i="181"/>
  <c r="X35" i="181" s="1"/>
  <c r="W36" i="181"/>
  <c r="W35" i="181" s="1"/>
  <c r="U36" i="181"/>
  <c r="U35" i="181" s="1"/>
  <c r="T36" i="181"/>
  <c r="T35" i="181" s="1"/>
  <c r="S36" i="181"/>
  <c r="S35" i="181" s="1"/>
  <c r="R36" i="181"/>
  <c r="R35" i="181" s="1"/>
  <c r="Q36" i="181"/>
  <c r="Q35" i="181" s="1"/>
  <c r="P36" i="181"/>
  <c r="P35" i="181" s="1"/>
  <c r="O36" i="181"/>
  <c r="O35" i="181" s="1"/>
  <c r="N36" i="181"/>
  <c r="N35" i="181" s="1"/>
  <c r="M36" i="181"/>
  <c r="M35" i="181" s="1"/>
  <c r="L36" i="181"/>
  <c r="L35" i="181" s="1"/>
  <c r="K36" i="181"/>
  <c r="K35" i="181" s="1"/>
  <c r="J36" i="181"/>
  <c r="J35" i="181" s="1"/>
  <c r="P18" i="168" s="1"/>
  <c r="I36" i="181"/>
  <c r="I35" i="181" s="1"/>
  <c r="H35" i="181"/>
  <c r="G36" i="181"/>
  <c r="G35" i="181" s="1"/>
  <c r="F36" i="181"/>
  <c r="F35" i="181" s="1"/>
  <c r="P14" i="168" s="1"/>
  <c r="E36" i="181"/>
  <c r="C34" i="181"/>
  <c r="L38" i="182" s="1"/>
  <c r="C33" i="181"/>
  <c r="L37" i="182" s="1"/>
  <c r="C32" i="181"/>
  <c r="L36" i="182" s="1"/>
  <c r="C30" i="181"/>
  <c r="L34" i="182" s="1"/>
  <c r="C27" i="181"/>
  <c r="L31" i="182" s="1"/>
  <c r="C26" i="181"/>
  <c r="L29" i="182" s="1"/>
  <c r="O29" i="182" s="1"/>
  <c r="C25" i="181"/>
  <c r="L28" i="182" s="1"/>
  <c r="O28" i="182" s="1"/>
  <c r="U14" i="181"/>
  <c r="D29" i="168" s="1"/>
  <c r="T14" i="181"/>
  <c r="D28" i="168" s="1"/>
  <c r="K14" i="181"/>
  <c r="G14" i="181"/>
  <c r="C23" i="181"/>
  <c r="C22" i="181"/>
  <c r="L25" i="182" s="1"/>
  <c r="O25" i="182" s="1"/>
  <c r="C21" i="181"/>
  <c r="L24" i="182" s="1"/>
  <c r="O24" i="182" s="1"/>
  <c r="C20" i="181"/>
  <c r="L23" i="182" s="1"/>
  <c r="O23" i="182" s="1"/>
  <c r="C19" i="181"/>
  <c r="C18" i="181"/>
  <c r="C17" i="181"/>
  <c r="L22" i="182" s="1"/>
  <c r="O22" i="182" s="1"/>
  <c r="C16" i="181"/>
  <c r="L21" i="182" s="1"/>
  <c r="O21" i="182" s="1"/>
  <c r="O15" i="181"/>
  <c r="Z14" i="181"/>
  <c r="Y14" i="181"/>
  <c r="X14" i="181"/>
  <c r="W14" i="181"/>
  <c r="V14" i="181"/>
  <c r="R14" i="181"/>
  <c r="Q14" i="181"/>
  <c r="P14" i="181"/>
  <c r="N14" i="181"/>
  <c r="M14" i="181"/>
  <c r="L14" i="181"/>
  <c r="J14" i="181"/>
  <c r="I14" i="181"/>
  <c r="H14" i="181"/>
  <c r="F14" i="181"/>
  <c r="C29" i="181"/>
  <c r="L33" i="182" s="1"/>
  <c r="C28" i="181"/>
  <c r="L32" i="182" s="1"/>
  <c r="C10" i="181"/>
  <c r="G53" i="181"/>
  <c r="Q31" i="169"/>
  <c r="C31" i="169" s="1"/>
  <c r="Q18" i="169"/>
  <c r="G18" i="42"/>
  <c r="E8" i="185"/>
  <c r="E7" i="185" s="1"/>
  <c r="E6" i="185" s="1"/>
  <c r="D8" i="185"/>
  <c r="D7" i="185" s="1"/>
  <c r="D6" i="185" s="1"/>
  <c r="G28" i="186"/>
  <c r="F28" i="186"/>
  <c r="G26" i="186"/>
  <c r="F26" i="186"/>
  <c r="G20" i="186"/>
  <c r="F20" i="186"/>
  <c r="G16" i="186"/>
  <c r="F16" i="186"/>
  <c r="G14" i="186"/>
  <c r="F14" i="186"/>
  <c r="G10" i="186"/>
  <c r="F10" i="186"/>
  <c r="G8" i="186"/>
  <c r="F8" i="186"/>
  <c r="M21" i="168"/>
  <c r="C21" i="168" s="1"/>
  <c r="C24" i="175"/>
  <c r="C11" i="175"/>
  <c r="S12" i="168"/>
  <c r="F14" i="38"/>
  <c r="D92" i="182"/>
  <c r="E92" i="182"/>
  <c r="K92" i="182"/>
  <c r="K128" i="182"/>
  <c r="A3" i="181"/>
  <c r="K150" i="182"/>
  <c r="E150" i="182"/>
  <c r="E148" i="182" s="1"/>
  <c r="D150" i="182"/>
  <c r="J150" i="182" s="1"/>
  <c r="C148" i="182"/>
  <c r="K146" i="182"/>
  <c r="E146" i="182"/>
  <c r="D146" i="182"/>
  <c r="C146" i="182"/>
  <c r="K144" i="182"/>
  <c r="E144" i="182"/>
  <c r="D144" i="182"/>
  <c r="J144" i="182" s="1"/>
  <c r="C144" i="182"/>
  <c r="K139" i="182"/>
  <c r="E139" i="182"/>
  <c r="D139" i="182"/>
  <c r="J139" i="182" s="1"/>
  <c r="C139" i="182"/>
  <c r="K137" i="182"/>
  <c r="E137" i="182"/>
  <c r="D137" i="182"/>
  <c r="C137" i="182"/>
  <c r="E131" i="182"/>
  <c r="D131" i="182"/>
  <c r="J131" i="182" s="1"/>
  <c r="C131" i="182"/>
  <c r="D128" i="182"/>
  <c r="C128" i="182"/>
  <c r="K121" i="182"/>
  <c r="D121" i="182"/>
  <c r="C121" i="182"/>
  <c r="K118" i="182"/>
  <c r="N118" i="182" s="1"/>
  <c r="E118" i="182"/>
  <c r="D118" i="182"/>
  <c r="K114" i="182"/>
  <c r="E114" i="182"/>
  <c r="D114" i="182"/>
  <c r="C114" i="182"/>
  <c r="K107" i="182"/>
  <c r="E107" i="182"/>
  <c r="D107" i="182"/>
  <c r="C107" i="182"/>
  <c r="K104" i="182"/>
  <c r="E104" i="182"/>
  <c r="D104" i="182"/>
  <c r="C104" i="182"/>
  <c r="K99" i="182"/>
  <c r="D99" i="182"/>
  <c r="C99" i="182"/>
  <c r="K97" i="182"/>
  <c r="E97" i="182"/>
  <c r="D97" i="182"/>
  <c r="C97" i="182"/>
  <c r="K95" i="182"/>
  <c r="D95" i="182"/>
  <c r="C95" i="182"/>
  <c r="C92" i="182"/>
  <c r="L79" i="182"/>
  <c r="K79" i="182"/>
  <c r="E79" i="182"/>
  <c r="D79" i="182"/>
  <c r="C79" i="182"/>
  <c r="L65" i="182"/>
  <c r="K65" i="182"/>
  <c r="E65" i="182"/>
  <c r="D65" i="182"/>
  <c r="C65" i="182"/>
  <c r="C18" i="182"/>
  <c r="C17" i="182" s="1"/>
  <c r="D35" i="183"/>
  <c r="F19" i="183"/>
  <c r="E20" i="183"/>
  <c r="D20" i="183"/>
  <c r="C19" i="183"/>
  <c r="F14" i="183"/>
  <c r="D14" i="183"/>
  <c r="F10" i="183"/>
  <c r="D10" i="183"/>
  <c r="G10" i="183" s="1"/>
  <c r="C10" i="183"/>
  <c r="H10" i="183" s="1"/>
  <c r="F30" i="132"/>
  <c r="F29" i="132"/>
  <c r="C36" i="17"/>
  <c r="D36" i="17" s="1"/>
  <c r="H17" i="17"/>
  <c r="H19" i="17"/>
  <c r="D21" i="38"/>
  <c r="F23" i="38"/>
  <c r="R12" i="168"/>
  <c r="E12" i="168"/>
  <c r="F12" i="168"/>
  <c r="G12" i="168"/>
  <c r="H12" i="168"/>
  <c r="I12" i="168"/>
  <c r="J12" i="168"/>
  <c r="K12" i="168"/>
  <c r="L12" i="168"/>
  <c r="N12" i="168"/>
  <c r="C41" i="168"/>
  <c r="Q36" i="168"/>
  <c r="C40" i="168"/>
  <c r="M39" i="168"/>
  <c r="C39" i="168" s="1"/>
  <c r="M38" i="168"/>
  <c r="C38" i="168" s="1"/>
  <c r="M37" i="168"/>
  <c r="C37" i="168" s="1"/>
  <c r="S36" i="168"/>
  <c r="R36" i="168"/>
  <c r="P36" i="168"/>
  <c r="O36" i="168"/>
  <c r="N36" i="168"/>
  <c r="L36" i="168"/>
  <c r="K36" i="168"/>
  <c r="J36" i="168"/>
  <c r="I36" i="168"/>
  <c r="H36" i="168"/>
  <c r="G36" i="168"/>
  <c r="F36" i="168"/>
  <c r="E36" i="168"/>
  <c r="D36" i="168"/>
  <c r="M34" i="168"/>
  <c r="C34" i="168" s="1"/>
  <c r="M33" i="168"/>
  <c r="C33" i="168" s="1"/>
  <c r="M32" i="168"/>
  <c r="C32" i="168" s="1"/>
  <c r="M31" i="168"/>
  <c r="C31" i="168" s="1"/>
  <c r="M30" i="168"/>
  <c r="C30" i="168" s="1"/>
  <c r="M29" i="168"/>
  <c r="M28" i="168"/>
  <c r="C28" i="168" s="1"/>
  <c r="M27" i="168"/>
  <c r="M26" i="168"/>
  <c r="C26" i="168" s="1"/>
  <c r="M25" i="168"/>
  <c r="C25" i="168" s="1"/>
  <c r="M24" i="168"/>
  <c r="C24" i="168" s="1"/>
  <c r="M23" i="168"/>
  <c r="M22" i="168"/>
  <c r="C22" i="168" s="1"/>
  <c r="M20" i="168"/>
  <c r="C20" i="168" s="1"/>
  <c r="M19" i="168"/>
  <c r="C19" i="168" s="1"/>
  <c r="M18" i="168"/>
  <c r="C18" i="168" s="1"/>
  <c r="M17" i="168"/>
  <c r="C17" i="168" s="1"/>
  <c r="M16" i="168"/>
  <c r="C16" i="168" s="1"/>
  <c r="M15" i="168"/>
  <c r="C15" i="168" s="1"/>
  <c r="M14" i="168"/>
  <c r="M13" i="168"/>
  <c r="D10" i="168"/>
  <c r="E10" i="168" s="1"/>
  <c r="F10" i="168" s="1"/>
  <c r="G10" i="168" s="1"/>
  <c r="H10" i="168" s="1"/>
  <c r="I10" i="168" s="1"/>
  <c r="J10" i="168" s="1"/>
  <c r="K10" i="168" s="1"/>
  <c r="L10" i="168" s="1"/>
  <c r="M10" i="168" s="1"/>
  <c r="N10" i="168" s="1"/>
  <c r="O10" i="168" s="1"/>
  <c r="P10" i="168" s="1"/>
  <c r="Q10" i="168" s="1"/>
  <c r="R10" i="168" s="1"/>
  <c r="S10" i="168" s="1"/>
  <c r="K36" i="173"/>
  <c r="H36" i="173"/>
  <c r="K35" i="173"/>
  <c r="H35" i="173"/>
  <c r="C35" i="173" s="1"/>
  <c r="K34" i="173"/>
  <c r="H34" i="173"/>
  <c r="K33" i="173"/>
  <c r="K32" i="173"/>
  <c r="H32" i="173"/>
  <c r="K31" i="173"/>
  <c r="H31" i="173"/>
  <c r="K30" i="173"/>
  <c r="H30" i="173"/>
  <c r="K29" i="173"/>
  <c r="H29" i="173"/>
  <c r="K28" i="173"/>
  <c r="H28" i="173"/>
  <c r="K27" i="173"/>
  <c r="H27" i="173"/>
  <c r="K25" i="173"/>
  <c r="H25" i="173"/>
  <c r="K26" i="173"/>
  <c r="H26" i="173"/>
  <c r="K24" i="173"/>
  <c r="H24" i="173"/>
  <c r="K23" i="173"/>
  <c r="H23" i="173"/>
  <c r="K22" i="173"/>
  <c r="H22" i="173"/>
  <c r="K21" i="173"/>
  <c r="H21" i="173"/>
  <c r="H20" i="173"/>
  <c r="K19" i="173"/>
  <c r="H19" i="173"/>
  <c r="K18" i="173"/>
  <c r="H18" i="173"/>
  <c r="K17" i="173"/>
  <c r="H17" i="173"/>
  <c r="K16" i="173"/>
  <c r="H16" i="173"/>
  <c r="K15" i="173"/>
  <c r="K13" i="173"/>
  <c r="H13" i="173"/>
  <c r="K12" i="173"/>
  <c r="H12" i="173"/>
  <c r="K14" i="173"/>
  <c r="H14" i="173"/>
  <c r="I9" i="173"/>
  <c r="J9" i="173" s="1"/>
  <c r="K9" i="173" s="1"/>
  <c r="L9" i="173" s="1"/>
  <c r="M9" i="173" s="1"/>
  <c r="D9" i="173"/>
  <c r="E9" i="173" s="1"/>
  <c r="C16" i="170"/>
  <c r="C15" i="170" s="1"/>
  <c r="X24" i="106"/>
  <c r="Q24" i="106"/>
  <c r="N24" i="106"/>
  <c r="J24" i="106"/>
  <c r="G16" i="106"/>
  <c r="F30" i="42"/>
  <c r="H12" i="42"/>
  <c r="F12" i="42"/>
  <c r="F11" i="42"/>
  <c r="G11" i="42" s="1"/>
  <c r="H11" i="42" s="1"/>
  <c r="Q36" i="169"/>
  <c r="E36" i="169"/>
  <c r="D36" i="169" s="1"/>
  <c r="Q35" i="169"/>
  <c r="E35" i="169"/>
  <c r="D35" i="169" s="1"/>
  <c r="Q34" i="169"/>
  <c r="E34" i="169"/>
  <c r="D34" i="169" s="1"/>
  <c r="Q33" i="169"/>
  <c r="E33" i="169"/>
  <c r="D33" i="169" s="1"/>
  <c r="Q32" i="169"/>
  <c r="E32" i="169"/>
  <c r="D32" i="169" s="1"/>
  <c r="E31" i="169"/>
  <c r="D31" i="169" s="1"/>
  <c r="Q30" i="169"/>
  <c r="C30" i="169" s="1"/>
  <c r="E30" i="169"/>
  <c r="D30" i="169" s="1"/>
  <c r="Q29" i="169"/>
  <c r="E29" i="169"/>
  <c r="D29" i="169" s="1"/>
  <c r="Q28" i="169"/>
  <c r="C28" i="169" s="1"/>
  <c r="E28" i="169"/>
  <c r="D28" i="169" s="1"/>
  <c r="Q27" i="169"/>
  <c r="E27" i="169"/>
  <c r="D27" i="169" s="1"/>
  <c r="Q26" i="169"/>
  <c r="C26" i="169" s="1"/>
  <c r="E26" i="169"/>
  <c r="D26" i="169" s="1"/>
  <c r="Q25" i="169"/>
  <c r="E25" i="169"/>
  <c r="D25" i="169" s="1"/>
  <c r="Q24" i="169"/>
  <c r="C24" i="169" s="1"/>
  <c r="E24" i="169"/>
  <c r="D24" i="169" s="1"/>
  <c r="Q23" i="169"/>
  <c r="C23" i="169" s="1"/>
  <c r="Q22" i="169"/>
  <c r="E22" i="169"/>
  <c r="D22" i="169" s="1"/>
  <c r="Q21" i="169"/>
  <c r="E21" i="169"/>
  <c r="D21" i="169" s="1"/>
  <c r="Q20" i="169"/>
  <c r="E20" i="169"/>
  <c r="D20" i="169" s="1"/>
  <c r="Q19" i="169"/>
  <c r="E19" i="169"/>
  <c r="D19" i="169" s="1"/>
  <c r="E18" i="169"/>
  <c r="S17" i="169"/>
  <c r="R17" i="169"/>
  <c r="P17" i="169"/>
  <c r="O17" i="169"/>
  <c r="N17" i="169"/>
  <c r="M17" i="169"/>
  <c r="L17" i="169"/>
  <c r="K17" i="169"/>
  <c r="J17" i="169"/>
  <c r="I17" i="169"/>
  <c r="H17" i="169"/>
  <c r="G17" i="169"/>
  <c r="F17" i="169"/>
  <c r="S16" i="169"/>
  <c r="T16" i="169" s="1"/>
  <c r="G16" i="169"/>
  <c r="H16" i="169" s="1"/>
  <c r="I16" i="169" s="1"/>
  <c r="J16" i="169" s="1"/>
  <c r="K16" i="169" s="1"/>
  <c r="L16" i="169" s="1"/>
  <c r="M16" i="169" s="1"/>
  <c r="N16" i="169" s="1"/>
  <c r="O16" i="169" s="1"/>
  <c r="P16" i="169" s="1"/>
  <c r="O27" i="177"/>
  <c r="I27" i="177"/>
  <c r="F27" i="177"/>
  <c r="E27" i="177"/>
  <c r="C27" i="177" s="1"/>
  <c r="O26" i="177"/>
  <c r="I26" i="177"/>
  <c r="F26" i="177"/>
  <c r="E26" i="177"/>
  <c r="C26" i="177" s="1"/>
  <c r="O25" i="177"/>
  <c r="I25" i="177"/>
  <c r="F25" i="177"/>
  <c r="E25" i="177"/>
  <c r="C25" i="177" s="1"/>
  <c r="O24" i="177"/>
  <c r="I24" i="177"/>
  <c r="F24" i="177"/>
  <c r="O23" i="177"/>
  <c r="I23" i="177"/>
  <c r="F23" i="177"/>
  <c r="O22" i="177"/>
  <c r="I22" i="177"/>
  <c r="F22" i="177"/>
  <c r="E22" i="177"/>
  <c r="C22" i="177" s="1"/>
  <c r="O21" i="177"/>
  <c r="I21" i="177"/>
  <c r="F21" i="177"/>
  <c r="E21" i="177"/>
  <c r="C21" i="177" s="1"/>
  <c r="O20" i="177"/>
  <c r="I20" i="177"/>
  <c r="F20" i="177"/>
  <c r="E20" i="177"/>
  <c r="C20" i="177" s="1"/>
  <c r="O19" i="177"/>
  <c r="I19" i="177"/>
  <c r="F19" i="177"/>
  <c r="E19" i="177"/>
  <c r="C19" i="177" s="1"/>
  <c r="O18" i="177"/>
  <c r="I18" i="177"/>
  <c r="F18" i="177"/>
  <c r="E18" i="177"/>
  <c r="C18" i="177" s="1"/>
  <c r="O17" i="177"/>
  <c r="I17" i="177"/>
  <c r="F17" i="177"/>
  <c r="E17" i="177"/>
  <c r="C17" i="177" s="1"/>
  <c r="O16" i="177"/>
  <c r="I16" i="177"/>
  <c r="F16" i="177"/>
  <c r="E16" i="177"/>
  <c r="C16" i="177" s="1"/>
  <c r="O15" i="177"/>
  <c r="I15" i="177"/>
  <c r="F15" i="177"/>
  <c r="E15" i="177"/>
  <c r="C15" i="177" s="1"/>
  <c r="O14" i="177"/>
  <c r="I14" i="177"/>
  <c r="F14" i="177"/>
  <c r="E14" i="177"/>
  <c r="C14" i="177" s="1"/>
  <c r="O13" i="177"/>
  <c r="I13" i="177"/>
  <c r="F13" i="177"/>
  <c r="E13" i="177"/>
  <c r="C13" i="177" s="1"/>
  <c r="O12" i="177"/>
  <c r="I12" i="177"/>
  <c r="F12" i="177"/>
  <c r="E12" i="177"/>
  <c r="C12" i="177" s="1"/>
  <c r="O11" i="177"/>
  <c r="I11" i="177"/>
  <c r="F11" i="177"/>
  <c r="E11" i="177"/>
  <c r="C11" i="177" s="1"/>
  <c r="O10" i="177"/>
  <c r="I10" i="177"/>
  <c r="F10" i="177"/>
  <c r="E10" i="177"/>
  <c r="C10" i="177" s="1"/>
  <c r="O9" i="177"/>
  <c r="I9" i="177"/>
  <c r="F9" i="177"/>
  <c r="E9" i="177"/>
  <c r="D9" i="177"/>
  <c r="Q8" i="177"/>
  <c r="P8" i="177"/>
  <c r="N8" i="177"/>
  <c r="M8" i="177"/>
  <c r="K8" i="177"/>
  <c r="J8" i="177"/>
  <c r="H8" i="177"/>
  <c r="G8" i="177"/>
  <c r="C29" i="175"/>
  <c r="C28" i="175"/>
  <c r="C27" i="175"/>
  <c r="C26" i="175"/>
  <c r="C25" i="175"/>
  <c r="C23" i="175"/>
  <c r="C22" i="175"/>
  <c r="C21" i="175"/>
  <c r="C20" i="175"/>
  <c r="C19" i="175"/>
  <c r="C18" i="175"/>
  <c r="C17" i="175"/>
  <c r="C16" i="175"/>
  <c r="C15" i="175"/>
  <c r="C14" i="175"/>
  <c r="C13" i="175"/>
  <c r="C12" i="175"/>
  <c r="F10" i="175"/>
  <c r="E10" i="175"/>
  <c r="D10" i="175"/>
  <c r="E9" i="175"/>
  <c r="F9" i="175" s="1"/>
  <c r="C28" i="172"/>
  <c r="C27" i="172"/>
  <c r="C26" i="172"/>
  <c r="C25" i="172"/>
  <c r="C24" i="172"/>
  <c r="C23" i="172"/>
  <c r="C22" i="172"/>
  <c r="C21" i="172"/>
  <c r="C20" i="172"/>
  <c r="C19" i="172"/>
  <c r="C18" i="172"/>
  <c r="C17" i="172"/>
  <c r="C16" i="172"/>
  <c r="C15" i="172"/>
  <c r="C14" i="172"/>
  <c r="C13" i="172"/>
  <c r="C12" i="172"/>
  <c r="C11" i="172"/>
  <c r="F8" i="172"/>
  <c r="G8" i="172" s="1"/>
  <c r="H8" i="172" s="1"/>
  <c r="I8" i="172" s="1"/>
  <c r="J8" i="172" s="1"/>
  <c r="D8" i="172"/>
  <c r="L28" i="176"/>
  <c r="G28" i="176"/>
  <c r="C28" i="176"/>
  <c r="L27" i="176"/>
  <c r="G27" i="176"/>
  <c r="C27" i="176"/>
  <c r="L26" i="176"/>
  <c r="G26" i="176"/>
  <c r="C26" i="176"/>
  <c r="L25" i="176"/>
  <c r="G25" i="176"/>
  <c r="C25" i="176"/>
  <c r="L24" i="176"/>
  <c r="G24" i="176"/>
  <c r="C24" i="176"/>
  <c r="L23" i="176"/>
  <c r="G23" i="176"/>
  <c r="C23" i="176"/>
  <c r="L22" i="176"/>
  <c r="G22" i="176"/>
  <c r="C22" i="176"/>
  <c r="L21" i="176"/>
  <c r="G21" i="176"/>
  <c r="C21" i="176"/>
  <c r="L20" i="176"/>
  <c r="G20" i="176"/>
  <c r="C20" i="176"/>
  <c r="L19" i="176"/>
  <c r="G19" i="176"/>
  <c r="C19" i="176"/>
  <c r="L18" i="176"/>
  <c r="G18" i="176"/>
  <c r="C18" i="176"/>
  <c r="L17" i="176"/>
  <c r="G17" i="176"/>
  <c r="C17" i="176"/>
  <c r="L16" i="176"/>
  <c r="G16" i="176"/>
  <c r="C16" i="176"/>
  <c r="L15" i="176"/>
  <c r="G15" i="176"/>
  <c r="C15" i="176"/>
  <c r="L14" i="176"/>
  <c r="G14" i="176"/>
  <c r="C14" i="176"/>
  <c r="L13" i="176"/>
  <c r="G13" i="176"/>
  <c r="C13" i="176"/>
  <c r="L12" i="176"/>
  <c r="G12" i="176"/>
  <c r="C12" i="176"/>
  <c r="L11" i="176"/>
  <c r="G11" i="176"/>
  <c r="C11" i="176"/>
  <c r="L10" i="176"/>
  <c r="G10" i="176"/>
  <c r="C10" i="176"/>
  <c r="J9" i="176"/>
  <c r="I9" i="176"/>
  <c r="H9" i="176"/>
  <c r="F9" i="176"/>
  <c r="E9" i="176"/>
  <c r="D9" i="176"/>
  <c r="M16" i="174"/>
  <c r="M14" i="174"/>
  <c r="C14" i="174" s="1"/>
  <c r="C13" i="174" s="1"/>
  <c r="E15" i="133"/>
  <c r="C11" i="133"/>
  <c r="C13" i="133"/>
  <c r="C12" i="133" s="1"/>
  <c r="G12" i="17"/>
  <c r="H12" i="17"/>
  <c r="G13" i="17"/>
  <c r="H13" i="17"/>
  <c r="G14" i="17"/>
  <c r="H14" i="17"/>
  <c r="H31" i="17"/>
  <c r="F21" i="17"/>
  <c r="F20" i="17" s="1"/>
  <c r="F15" i="17"/>
  <c r="F11" i="17"/>
  <c r="D11" i="17"/>
  <c r="E36" i="17"/>
  <c r="F36" i="17" s="1"/>
  <c r="G31" i="17"/>
  <c r="E21" i="17"/>
  <c r="E20" i="17" s="1"/>
  <c r="E15" i="17"/>
  <c r="E11" i="17"/>
  <c r="C21" i="17"/>
  <c r="C20" i="17" s="1"/>
  <c r="C15" i="17"/>
  <c r="C11" i="17"/>
  <c r="G19" i="17"/>
  <c r="K9" i="178"/>
  <c r="L11" i="178"/>
  <c r="L12" i="178"/>
  <c r="L13" i="178"/>
  <c r="L14" i="178"/>
  <c r="L15" i="178"/>
  <c r="L16" i="178"/>
  <c r="L10" i="178"/>
  <c r="G11" i="178"/>
  <c r="G12" i="178"/>
  <c r="G13" i="178"/>
  <c r="G14" i="178"/>
  <c r="G15" i="178"/>
  <c r="G16" i="178"/>
  <c r="G17" i="178"/>
  <c r="G10" i="178"/>
  <c r="H10" i="178"/>
  <c r="M10" i="178" s="1"/>
  <c r="H11" i="178"/>
  <c r="M11" i="178" s="1"/>
  <c r="H12" i="178"/>
  <c r="H13" i="178"/>
  <c r="M13" i="178"/>
  <c r="H14" i="178"/>
  <c r="M14" i="178" s="1"/>
  <c r="H15" i="178"/>
  <c r="M15" i="178" s="1"/>
  <c r="H16" i="178"/>
  <c r="M16" i="178" s="1"/>
  <c r="H17" i="178"/>
  <c r="J9" i="178"/>
  <c r="C9" i="178"/>
  <c r="D19" i="174"/>
  <c r="E19" i="174"/>
  <c r="F19" i="174"/>
  <c r="G19" i="174"/>
  <c r="H19" i="174"/>
  <c r="I19" i="174"/>
  <c r="J19" i="174"/>
  <c r="K19" i="174"/>
  <c r="L19" i="174"/>
  <c r="N19" i="174"/>
  <c r="O19" i="174"/>
  <c r="Q19" i="174"/>
  <c r="R19" i="174"/>
  <c r="S19" i="174"/>
  <c r="H15" i="106"/>
  <c r="I15" i="106"/>
  <c r="K15" i="106"/>
  <c r="L15" i="106"/>
  <c r="O15" i="106"/>
  <c r="P15" i="106"/>
  <c r="R15" i="106"/>
  <c r="S15" i="106"/>
  <c r="V15" i="106"/>
  <c r="W15" i="106"/>
  <c r="Z15" i="106"/>
  <c r="X25" i="106"/>
  <c r="T25" i="106" s="1"/>
  <c r="Q25" i="106"/>
  <c r="N25" i="106"/>
  <c r="J25" i="106"/>
  <c r="X23" i="106"/>
  <c r="Q23" i="106"/>
  <c r="N23" i="106"/>
  <c r="M23" i="106" s="1"/>
  <c r="J23" i="106"/>
  <c r="F23" i="106" s="1"/>
  <c r="X22" i="106"/>
  <c r="Q22" i="106"/>
  <c r="N22" i="106"/>
  <c r="J22" i="106"/>
  <c r="X21" i="106"/>
  <c r="Q21" i="106"/>
  <c r="N21" i="106"/>
  <c r="J21" i="106"/>
  <c r="F21" i="106" s="1"/>
  <c r="X20" i="106"/>
  <c r="T20" i="106" s="1"/>
  <c r="Q20" i="106"/>
  <c r="N20" i="106"/>
  <c r="D20" i="106" s="1"/>
  <c r="J20" i="106"/>
  <c r="X19" i="106"/>
  <c r="Q19" i="106"/>
  <c r="N19" i="106"/>
  <c r="J19" i="106"/>
  <c r="X18" i="106"/>
  <c r="Q18" i="106"/>
  <c r="N18" i="106"/>
  <c r="D18" i="106" s="1"/>
  <c r="J18" i="106"/>
  <c r="U17" i="106"/>
  <c r="Q17" i="106"/>
  <c r="N17" i="106"/>
  <c r="J17" i="106"/>
  <c r="G17" i="106"/>
  <c r="X16" i="106"/>
  <c r="U16" i="106"/>
  <c r="Q16" i="106"/>
  <c r="N16" i="106"/>
  <c r="J16" i="106"/>
  <c r="F16" i="106" s="1"/>
  <c r="J45" i="106"/>
  <c r="F45" i="106" s="1"/>
  <c r="J44" i="106"/>
  <c r="F44" i="106" s="1"/>
  <c r="J43" i="106"/>
  <c r="F43" i="106" s="1"/>
  <c r="J42" i="106"/>
  <c r="F42" i="106" s="1"/>
  <c r="J41" i="106"/>
  <c r="F41" i="106" s="1"/>
  <c r="J40" i="106"/>
  <c r="F40" i="106" s="1"/>
  <c r="J39" i="106"/>
  <c r="F39" i="106" s="1"/>
  <c r="J38" i="106"/>
  <c r="F38" i="106" s="1"/>
  <c r="J37" i="106"/>
  <c r="F37" i="106" s="1"/>
  <c r="J36" i="106"/>
  <c r="F36" i="106" s="1"/>
  <c r="J35" i="106"/>
  <c r="F35" i="106" s="1"/>
  <c r="J34" i="106"/>
  <c r="F34" i="106" s="1"/>
  <c r="J33" i="106"/>
  <c r="F33" i="106" s="1"/>
  <c r="J32" i="106"/>
  <c r="F32" i="106" s="1"/>
  <c r="J31" i="106"/>
  <c r="F31" i="106" s="1"/>
  <c r="J30" i="106"/>
  <c r="G30" i="106"/>
  <c r="J29" i="106"/>
  <c r="F29" i="106" s="1"/>
  <c r="J28" i="106"/>
  <c r="F28" i="106" s="1"/>
  <c r="J27" i="106"/>
  <c r="F27" i="106" s="1"/>
  <c r="L26" i="106"/>
  <c r="K26" i="106"/>
  <c r="I26" i="106"/>
  <c r="H26" i="106"/>
  <c r="H14" i="106" s="1"/>
  <c r="L13" i="106"/>
  <c r="I13" i="106"/>
  <c r="S15" i="174"/>
  <c r="R15" i="174"/>
  <c r="Q15" i="174"/>
  <c r="P15" i="174"/>
  <c r="O15" i="174"/>
  <c r="N15" i="174"/>
  <c r="L15" i="174"/>
  <c r="K15" i="174"/>
  <c r="J15" i="174"/>
  <c r="I15" i="174"/>
  <c r="H15" i="174"/>
  <c r="G15" i="174"/>
  <c r="F15" i="174"/>
  <c r="E15" i="174"/>
  <c r="D15" i="174"/>
  <c r="P13" i="174"/>
  <c r="P12" i="174" s="1"/>
  <c r="S13" i="174"/>
  <c r="S12" i="174" s="1"/>
  <c r="R13" i="174"/>
  <c r="R12" i="174" s="1"/>
  <c r="Q13" i="174"/>
  <c r="Q12" i="174" s="1"/>
  <c r="O13" i="174"/>
  <c r="L13" i="174"/>
  <c r="L12" i="174" s="1"/>
  <c r="K13" i="174"/>
  <c r="J13" i="174"/>
  <c r="I13" i="174"/>
  <c r="H13" i="174"/>
  <c r="H12" i="174" s="1"/>
  <c r="G13" i="174"/>
  <c r="F13" i="174"/>
  <c r="E13" i="174"/>
  <c r="D13" i="174"/>
  <c r="D12" i="174" s="1"/>
  <c r="R10" i="174"/>
  <c r="S10" i="174" s="1"/>
  <c r="D10" i="174"/>
  <c r="E10" i="174" s="1"/>
  <c r="F10" i="174" s="1"/>
  <c r="G10" i="174" s="1"/>
  <c r="H10" i="174" s="1"/>
  <c r="J10" i="174"/>
  <c r="K10" i="174" s="1"/>
  <c r="L10" i="174" s="1"/>
  <c r="C46" i="171"/>
  <c r="C43" i="171"/>
  <c r="C49" i="171"/>
  <c r="C53" i="171"/>
  <c r="C39" i="171"/>
  <c r="C37" i="171"/>
  <c r="C20" i="171"/>
  <c r="C18" i="171" s="1"/>
  <c r="C17" i="171"/>
  <c r="C13" i="171" s="1"/>
  <c r="E8" i="171"/>
  <c r="E37" i="133"/>
  <c r="E17" i="133"/>
  <c r="F16" i="133"/>
  <c r="E16" i="133"/>
  <c r="E14" i="133"/>
  <c r="D13" i="133"/>
  <c r="H27" i="17"/>
  <c r="H35" i="17"/>
  <c r="G35" i="17"/>
  <c r="H38" i="17"/>
  <c r="G38" i="17"/>
  <c r="G37" i="17"/>
  <c r="G27" i="17"/>
  <c r="H24" i="17"/>
  <c r="G24" i="17"/>
  <c r="H26" i="17"/>
  <c r="G26" i="17"/>
  <c r="H34" i="17"/>
  <c r="G34" i="17"/>
  <c r="H25" i="17"/>
  <c r="G25" i="17"/>
  <c r="G17" i="17"/>
  <c r="G16" i="17"/>
  <c r="E9" i="179"/>
  <c r="E11" i="179"/>
  <c r="E13" i="179"/>
  <c r="E15" i="179"/>
  <c r="A12" i="179"/>
  <c r="D9" i="178"/>
  <c r="E9" i="178"/>
  <c r="F9" i="178"/>
  <c r="I9" i="178"/>
  <c r="G28" i="38"/>
  <c r="G31" i="38"/>
  <c r="O26" i="106"/>
  <c r="P26" i="106"/>
  <c r="R26" i="106"/>
  <c r="S26" i="106"/>
  <c r="V26" i="106"/>
  <c r="W26" i="106"/>
  <c r="Y26" i="106"/>
  <c r="Z26" i="106"/>
  <c r="X45" i="106"/>
  <c r="Q45" i="106"/>
  <c r="N45" i="106"/>
  <c r="X44" i="106"/>
  <c r="T44" i="106" s="1"/>
  <c r="Q44" i="106"/>
  <c r="N44" i="106"/>
  <c r="X43" i="106"/>
  <c r="Q43" i="106"/>
  <c r="N43" i="106"/>
  <c r="X42" i="106"/>
  <c r="T42" i="106" s="1"/>
  <c r="Q42" i="106"/>
  <c r="N42" i="106"/>
  <c r="X41" i="106"/>
  <c r="Q41" i="106"/>
  <c r="N41" i="106"/>
  <c r="X40" i="106"/>
  <c r="T40" i="106" s="1"/>
  <c r="Q40" i="106"/>
  <c r="N40" i="106"/>
  <c r="X39" i="106"/>
  <c r="Q39" i="106"/>
  <c r="N39" i="106"/>
  <c r="X38" i="106"/>
  <c r="Q38" i="106"/>
  <c r="N38" i="106"/>
  <c r="M38" i="106" s="1"/>
  <c r="X37" i="106"/>
  <c r="Q37" i="106"/>
  <c r="N37" i="106"/>
  <c r="X36" i="106"/>
  <c r="Q36" i="106"/>
  <c r="N36" i="106"/>
  <c r="X35" i="106"/>
  <c r="Q35" i="106"/>
  <c r="N35" i="106"/>
  <c r="X34" i="106"/>
  <c r="T34" i="106" s="1"/>
  <c r="Q34" i="106"/>
  <c r="N34" i="106"/>
  <c r="X33" i="106"/>
  <c r="Q33" i="106"/>
  <c r="N33" i="106"/>
  <c r="X32" i="106"/>
  <c r="Q32" i="106"/>
  <c r="N32" i="106"/>
  <c r="M32" i="106" s="1"/>
  <c r="X31" i="106"/>
  <c r="Q31" i="106"/>
  <c r="N31" i="106"/>
  <c r="X30" i="106"/>
  <c r="Q30" i="106"/>
  <c r="N30" i="106"/>
  <c r="M30" i="106" s="1"/>
  <c r="X29" i="106"/>
  <c r="Q29" i="106"/>
  <c r="N29" i="106"/>
  <c r="M29" i="106" s="1"/>
  <c r="X28" i="106"/>
  <c r="Q28" i="106"/>
  <c r="N28" i="106"/>
  <c r="X27" i="106"/>
  <c r="Q27" i="106"/>
  <c r="N27" i="106"/>
  <c r="F25" i="132"/>
  <c r="F14" i="132"/>
  <c r="F28" i="38"/>
  <c r="A29" i="38"/>
  <c r="A21" i="38"/>
  <c r="A24" i="38" s="1"/>
  <c r="A13" i="38"/>
  <c r="D8" i="17"/>
  <c r="E8" i="17" s="1"/>
  <c r="F8" i="17" s="1"/>
  <c r="A28" i="132"/>
  <c r="A23" i="132"/>
  <c r="G18" i="132"/>
  <c r="F18" i="132"/>
  <c r="F17" i="132"/>
  <c r="D13" i="132"/>
  <c r="D8" i="132"/>
  <c r="E8" i="132" s="1"/>
  <c r="F8" i="132" s="1"/>
  <c r="G8" i="132" s="1"/>
  <c r="Z13" i="106"/>
  <c r="W13" i="106"/>
  <c r="S13" i="106"/>
  <c r="P13" i="106"/>
  <c r="F31" i="38"/>
  <c r="G14" i="132"/>
  <c r="M12" i="178"/>
  <c r="N13" i="174"/>
  <c r="E13" i="171"/>
  <c r="E11" i="171" s="1"/>
  <c r="C21" i="38"/>
  <c r="D29" i="38"/>
  <c r="C29" i="38"/>
  <c r="C27" i="38" s="1"/>
  <c r="C36" i="38" s="1"/>
  <c r="C35" i="38" s="1"/>
  <c r="E35" i="183"/>
  <c r="E99" i="182"/>
  <c r="N12" i="174" l="1"/>
  <c r="C33" i="169"/>
  <c r="I14" i="183"/>
  <c r="E12" i="174"/>
  <c r="I12" i="174"/>
  <c r="I11" i="174" s="1"/>
  <c r="M20" i="106"/>
  <c r="C25" i="169"/>
  <c r="C27" i="169"/>
  <c r="C29" i="169"/>
  <c r="C29" i="168"/>
  <c r="C20" i="169"/>
  <c r="C22" i="169"/>
  <c r="C35" i="169"/>
  <c r="T16" i="106"/>
  <c r="C21" i="169"/>
  <c r="C32" i="169"/>
  <c r="C34" i="169"/>
  <c r="C36" i="169"/>
  <c r="J11" i="168"/>
  <c r="F11" i="168"/>
  <c r="G19" i="186"/>
  <c r="E9" i="187"/>
  <c r="E8" i="187" s="1"/>
  <c r="E14" i="179"/>
  <c r="C16" i="174"/>
  <c r="C15" i="174" s="1"/>
  <c r="C12" i="174" s="1"/>
  <c r="D12" i="133"/>
  <c r="F12" i="133" s="1"/>
  <c r="F11" i="133" s="1"/>
  <c r="D23" i="168"/>
  <c r="C23" i="168" s="1"/>
  <c r="S15" i="181"/>
  <c r="AA35" i="181"/>
  <c r="AA13" i="181" s="1"/>
  <c r="O35" i="168"/>
  <c r="M35" i="106"/>
  <c r="M39" i="106"/>
  <c r="M16" i="106"/>
  <c r="E24" i="106"/>
  <c r="R14" i="106"/>
  <c r="T45" i="106"/>
  <c r="I14" i="106"/>
  <c r="S14" i="106"/>
  <c r="G12" i="174"/>
  <c r="G11" i="174" s="1"/>
  <c r="K12" i="174"/>
  <c r="O12" i="174"/>
  <c r="O11" i="174" s="1"/>
  <c r="F12" i="174"/>
  <c r="J12" i="174"/>
  <c r="J11" i="174" s="1"/>
  <c r="D11" i="171"/>
  <c r="N11" i="168"/>
  <c r="I11" i="168"/>
  <c r="E11" i="168"/>
  <c r="L11" i="168"/>
  <c r="H11" i="168"/>
  <c r="R11" i="168"/>
  <c r="S11" i="168"/>
  <c r="K11" i="168"/>
  <c r="G11" i="168"/>
  <c r="T28" i="106"/>
  <c r="T30" i="106"/>
  <c r="T31" i="106"/>
  <c r="T33" i="106"/>
  <c r="T39" i="106"/>
  <c r="T41" i="106"/>
  <c r="T19" i="106"/>
  <c r="D21" i="106"/>
  <c r="M41" i="106"/>
  <c r="M42" i="106"/>
  <c r="E42" i="106"/>
  <c r="E33" i="106"/>
  <c r="E28" i="106"/>
  <c r="E30" i="106"/>
  <c r="M22" i="106"/>
  <c r="D18" i="169"/>
  <c r="C18" i="169" s="1"/>
  <c r="E17" i="169"/>
  <c r="C19" i="169"/>
  <c r="C9" i="177"/>
  <c r="G12" i="42"/>
  <c r="E18" i="42"/>
  <c r="C36" i="173"/>
  <c r="O36" i="173" s="1"/>
  <c r="M13" i="174"/>
  <c r="K17" i="176"/>
  <c r="K21" i="176"/>
  <c r="K13" i="176"/>
  <c r="O33" i="182"/>
  <c r="D26" i="133"/>
  <c r="O152" i="182"/>
  <c r="D53" i="133"/>
  <c r="K113" i="182"/>
  <c r="O36" i="182"/>
  <c r="D29" i="133"/>
  <c r="O37" i="182"/>
  <c r="D30" i="133"/>
  <c r="O34" i="182"/>
  <c r="D27" i="133"/>
  <c r="O112" i="182"/>
  <c r="D44" i="133"/>
  <c r="O32" i="182"/>
  <c r="D25" i="133"/>
  <c r="E25" i="133" s="1"/>
  <c r="O31" i="182"/>
  <c r="D24" i="133"/>
  <c r="O38" i="182"/>
  <c r="D31" i="133"/>
  <c r="D27" i="38"/>
  <c r="D36" i="38" s="1"/>
  <c r="D35" i="38"/>
  <c r="C9" i="176"/>
  <c r="K25" i="176"/>
  <c r="L9" i="176"/>
  <c r="D20" i="17"/>
  <c r="H20" i="17" s="1"/>
  <c r="H21" i="17"/>
  <c r="G36" i="17"/>
  <c r="C55" i="181"/>
  <c r="AG55" i="181"/>
  <c r="C60" i="181"/>
  <c r="AG60" i="181"/>
  <c r="C65" i="181"/>
  <c r="AG65" i="181"/>
  <c r="C74" i="181"/>
  <c r="AG74" i="181"/>
  <c r="C59" i="181"/>
  <c r="AG59" i="181"/>
  <c r="C61" i="181"/>
  <c r="AG61" i="181"/>
  <c r="C66" i="181"/>
  <c r="AG66" i="181"/>
  <c r="C73" i="181"/>
  <c r="AG73" i="181"/>
  <c r="C58" i="181"/>
  <c r="AG58" i="181"/>
  <c r="C62" i="181"/>
  <c r="AG62" i="181"/>
  <c r="C67" i="181"/>
  <c r="AG67" i="181"/>
  <c r="C72" i="181"/>
  <c r="L57" i="182" s="1"/>
  <c r="O57" i="182" s="1"/>
  <c r="AG72" i="181"/>
  <c r="E11" i="174"/>
  <c r="C136" i="182"/>
  <c r="C134" i="182" s="1"/>
  <c r="G23" i="38"/>
  <c r="G21" i="17"/>
  <c r="Q26" i="106"/>
  <c r="E32" i="106"/>
  <c r="E35" i="106"/>
  <c r="T43" i="106"/>
  <c r="Q11" i="174"/>
  <c r="H36" i="17"/>
  <c r="I10" i="183"/>
  <c r="E64" i="182"/>
  <c r="N97" i="182"/>
  <c r="C38" i="171"/>
  <c r="D15" i="17"/>
  <c r="H15" i="17" s="1"/>
  <c r="C21" i="187"/>
  <c r="H16" i="17"/>
  <c r="E37" i="106"/>
  <c r="Z14" i="106"/>
  <c r="T29" i="106"/>
  <c r="T32" i="106"/>
  <c r="M44" i="106"/>
  <c r="E44" i="106"/>
  <c r="M17" i="106"/>
  <c r="M19" i="106"/>
  <c r="M21" i="106"/>
  <c r="H11" i="17"/>
  <c r="T24" i="106"/>
  <c r="K64" i="182"/>
  <c r="F19" i="186"/>
  <c r="D98" i="181"/>
  <c r="C98" i="181" s="1"/>
  <c r="J92" i="182"/>
  <c r="M28" i="106"/>
  <c r="M31" i="106"/>
  <c r="M37" i="106"/>
  <c r="M45" i="106"/>
  <c r="F30" i="106"/>
  <c r="M25" i="106"/>
  <c r="D136" i="182"/>
  <c r="J146" i="182"/>
  <c r="D21" i="187"/>
  <c r="H35" i="183"/>
  <c r="G35" i="183"/>
  <c r="G11" i="17"/>
  <c r="T27" i="106"/>
  <c r="E19" i="183"/>
  <c r="H20" i="183"/>
  <c r="G20" i="183"/>
  <c r="K136" i="182"/>
  <c r="E139" i="181"/>
  <c r="D139" i="181" s="1"/>
  <c r="C139" i="181" s="1"/>
  <c r="AD139" i="181" s="1"/>
  <c r="D140" i="181"/>
  <c r="D52" i="171" s="1"/>
  <c r="U26" i="106"/>
  <c r="I8" i="177"/>
  <c r="Q17" i="169"/>
  <c r="E35" i="181"/>
  <c r="E13" i="181" s="1"/>
  <c r="D36" i="181"/>
  <c r="E7" i="187"/>
  <c r="E6" i="187" s="1"/>
  <c r="D100" i="181"/>
  <c r="C100" i="181" s="1"/>
  <c r="E39" i="106"/>
  <c r="D19" i="183"/>
  <c r="I19" i="183" s="1"/>
  <c r="I20" i="183"/>
  <c r="E31" i="106"/>
  <c r="K14" i="106"/>
  <c r="E10" i="179"/>
  <c r="K12" i="176"/>
  <c r="K16" i="176"/>
  <c r="K20" i="176"/>
  <c r="K24" i="176"/>
  <c r="K28" i="176"/>
  <c r="D41" i="181"/>
  <c r="D93" i="181"/>
  <c r="D135" i="181"/>
  <c r="C135" i="181" s="1"/>
  <c r="E114" i="181"/>
  <c r="E106" i="181" s="1"/>
  <c r="D115" i="181"/>
  <c r="C115" i="181" s="1"/>
  <c r="L122" i="182" s="1"/>
  <c r="D121" i="181"/>
  <c r="C121" i="181" s="1"/>
  <c r="D130" i="181"/>
  <c r="D137" i="181"/>
  <c r="C137" i="181" s="1"/>
  <c r="D111" i="181"/>
  <c r="C111" i="181" s="1"/>
  <c r="D132" i="181"/>
  <c r="C132" i="181" s="1"/>
  <c r="D91" i="181"/>
  <c r="C91" i="181" s="1"/>
  <c r="D107" i="181"/>
  <c r="C107" i="181" s="1"/>
  <c r="D124" i="181"/>
  <c r="C124" i="181" s="1"/>
  <c r="F9" i="183"/>
  <c r="F39" i="183" s="1"/>
  <c r="I35" i="183"/>
  <c r="N137" i="182"/>
  <c r="N114" i="182"/>
  <c r="N107" i="182"/>
  <c r="N128" i="182"/>
  <c r="N18" i="182"/>
  <c r="N65" i="182"/>
  <c r="N95" i="182"/>
  <c r="M97" i="182"/>
  <c r="J97" i="182"/>
  <c r="J99" i="182"/>
  <c r="O65" i="182"/>
  <c r="N79" i="182"/>
  <c r="M99" i="182"/>
  <c r="N99" i="182"/>
  <c r="N104" i="182"/>
  <c r="M128" i="182"/>
  <c r="N139" i="182"/>
  <c r="M139" i="182"/>
  <c r="M144" i="182"/>
  <c r="N144" i="182"/>
  <c r="M146" i="182"/>
  <c r="N146" i="182"/>
  <c r="J65" i="182"/>
  <c r="M118" i="182"/>
  <c r="J118" i="182"/>
  <c r="K148" i="182"/>
  <c r="D28" i="132" s="1"/>
  <c r="M150" i="182"/>
  <c r="N150" i="182"/>
  <c r="M79" i="182"/>
  <c r="J79" i="182"/>
  <c r="M107" i="182"/>
  <c r="J107" i="182"/>
  <c r="M114" i="182"/>
  <c r="J114" i="182"/>
  <c r="N121" i="182"/>
  <c r="M121" i="182"/>
  <c r="M137" i="182"/>
  <c r="J137" i="182"/>
  <c r="M19" i="182"/>
  <c r="N19" i="182"/>
  <c r="J104" i="182"/>
  <c r="M104" i="182"/>
  <c r="R53" i="181"/>
  <c r="D63" i="181"/>
  <c r="AG63" i="181" s="1"/>
  <c r="A3" i="180"/>
  <c r="A3" i="189" s="1"/>
  <c r="A4" i="184" s="1"/>
  <c r="D64" i="182"/>
  <c r="M65" i="182"/>
  <c r="M95" i="182"/>
  <c r="N92" i="182"/>
  <c r="M92" i="182"/>
  <c r="M131" i="182"/>
  <c r="N131" i="182"/>
  <c r="L64" i="182"/>
  <c r="O79" i="182"/>
  <c r="L12" i="182"/>
  <c r="L35" i="182"/>
  <c r="C69" i="181"/>
  <c r="L53" i="182" s="1"/>
  <c r="O116" i="182"/>
  <c r="L114" i="182"/>
  <c r="O114" i="182" s="1"/>
  <c r="L128" i="182"/>
  <c r="O128" i="182" s="1"/>
  <c r="G85" i="181"/>
  <c r="G83" i="181" s="1"/>
  <c r="U106" i="181"/>
  <c r="U104" i="181" s="1"/>
  <c r="C71" i="181"/>
  <c r="L56" i="182" s="1"/>
  <c r="O56" i="182" s="1"/>
  <c r="G129" i="181"/>
  <c r="G127" i="181" s="1"/>
  <c r="R129" i="181"/>
  <c r="R127" i="181" s="1"/>
  <c r="U13" i="181"/>
  <c r="U8" i="181" s="1"/>
  <c r="E28" i="173" s="1"/>
  <c r="C28" i="173" s="1"/>
  <c r="Y13" i="181"/>
  <c r="Y8" i="181" s="1"/>
  <c r="E32" i="173" s="1"/>
  <c r="C32" i="173" s="1"/>
  <c r="K85" i="181"/>
  <c r="K83" i="181" s="1"/>
  <c r="L137" i="182"/>
  <c r="O137" i="182" s="1"/>
  <c r="L106" i="181"/>
  <c r="L104" i="181" s="1"/>
  <c r="G106" i="181"/>
  <c r="G104" i="181" s="1"/>
  <c r="O129" i="181"/>
  <c r="O127" i="181" s="1"/>
  <c r="L139" i="182"/>
  <c r="O139" i="182" s="1"/>
  <c r="M9" i="181"/>
  <c r="L97" i="182"/>
  <c r="O97" i="182" s="1"/>
  <c r="L146" i="182"/>
  <c r="O146" i="182" s="1"/>
  <c r="L144" i="182"/>
  <c r="O144" i="182" s="1"/>
  <c r="L131" i="182"/>
  <c r="O131" i="182" s="1"/>
  <c r="L118" i="182"/>
  <c r="O118" i="182" s="1"/>
  <c r="L107" i="182"/>
  <c r="O107" i="182" s="1"/>
  <c r="L104" i="182"/>
  <c r="O104" i="182" s="1"/>
  <c r="L99" i="182"/>
  <c r="O99" i="182" s="1"/>
  <c r="L95" i="182"/>
  <c r="O95" i="182" s="1"/>
  <c r="L92" i="182"/>
  <c r="O92" i="182" s="1"/>
  <c r="O94" i="182"/>
  <c r="L62" i="182"/>
  <c r="L42" i="182"/>
  <c r="O42" i="182" s="1"/>
  <c r="Z13" i="181"/>
  <c r="Z8" i="181" s="1"/>
  <c r="C84" i="181"/>
  <c r="L90" i="182" s="1"/>
  <c r="D7" i="187"/>
  <c r="D6" i="187" s="1"/>
  <c r="D10" i="17"/>
  <c r="D9" i="17" s="1"/>
  <c r="C54" i="181"/>
  <c r="D56" i="181"/>
  <c r="W106" i="181"/>
  <c r="W104" i="181" s="1"/>
  <c r="N129" i="181"/>
  <c r="N127" i="181" s="1"/>
  <c r="V129" i="181"/>
  <c r="V127" i="181" s="1"/>
  <c r="D91" i="182"/>
  <c r="E18" i="106"/>
  <c r="C18" i="106" s="1"/>
  <c r="E20" i="106"/>
  <c r="C20" i="106" s="1"/>
  <c r="F22" i="106"/>
  <c r="F25" i="106"/>
  <c r="E12" i="179"/>
  <c r="C9" i="183"/>
  <c r="E14" i="183"/>
  <c r="E95" i="182"/>
  <c r="J95" i="182" s="1"/>
  <c r="C10" i="170"/>
  <c r="P85" i="181"/>
  <c r="P83" i="181" s="1"/>
  <c r="X106" i="181"/>
  <c r="X104" i="181" s="1"/>
  <c r="C36" i="168"/>
  <c r="T17" i="169"/>
  <c r="T37" i="106"/>
  <c r="K11" i="174"/>
  <c r="C10" i="175"/>
  <c r="P129" i="181"/>
  <c r="P127" i="181" s="1"/>
  <c r="Z129" i="181"/>
  <c r="Z127" i="181" s="1"/>
  <c r="M40" i="106"/>
  <c r="L11" i="174"/>
  <c r="D31" i="106"/>
  <c r="E41" i="106"/>
  <c r="E16" i="106"/>
  <c r="M18" i="106"/>
  <c r="K14" i="176"/>
  <c r="K18" i="176"/>
  <c r="K22" i="176"/>
  <c r="K26" i="176"/>
  <c r="C10" i="182"/>
  <c r="I85" i="181"/>
  <c r="I83" i="181" s="1"/>
  <c r="AA129" i="181"/>
  <c r="AA127" i="181" s="1"/>
  <c r="P12" i="168"/>
  <c r="P11" i="168" s="1"/>
  <c r="J85" i="181"/>
  <c r="J83" i="181" s="1"/>
  <c r="S85" i="181"/>
  <c r="S83" i="181" s="1"/>
  <c r="D23" i="106"/>
  <c r="T35" i="106"/>
  <c r="R11" i="174"/>
  <c r="F17" i="106"/>
  <c r="K11" i="176"/>
  <c r="K15" i="176"/>
  <c r="K19" i="176"/>
  <c r="K23" i="176"/>
  <c r="K27" i="176"/>
  <c r="F7" i="186"/>
  <c r="F6" i="186" s="1"/>
  <c r="F57" i="181"/>
  <c r="G13" i="181"/>
  <c r="H129" i="181"/>
  <c r="H127" i="181" s="1"/>
  <c r="T129" i="181"/>
  <c r="T127" i="181" s="1"/>
  <c r="C7" i="187"/>
  <c r="C6" i="187" s="1"/>
  <c r="D40" i="106"/>
  <c r="D16" i="106"/>
  <c r="C16" i="106" s="1"/>
  <c r="D30" i="106"/>
  <c r="C30" i="106" s="1"/>
  <c r="D11" i="174"/>
  <c r="S11" i="174"/>
  <c r="G15" i="17"/>
  <c r="F10" i="17"/>
  <c r="F9" i="17" s="1"/>
  <c r="G7" i="186"/>
  <c r="G6" i="186" s="1"/>
  <c r="M85" i="181"/>
  <c r="M83" i="181" s="1"/>
  <c r="X85" i="181"/>
  <c r="X83" i="181" s="1"/>
  <c r="L14" i="106"/>
  <c r="M33" i="106"/>
  <c r="M36" i="106"/>
  <c r="T38" i="106"/>
  <c r="D44" i="106"/>
  <c r="M17" i="178"/>
  <c r="L17" i="178"/>
  <c r="L9" i="178" s="1"/>
  <c r="AB8" i="181"/>
  <c r="AJ8" i="181" s="1"/>
  <c r="P13" i="181"/>
  <c r="P8" i="181" s="1"/>
  <c r="E23" i="173" s="1"/>
  <c r="C23" i="173" s="1"/>
  <c r="Y85" i="181"/>
  <c r="Y83" i="181" s="1"/>
  <c r="V89" i="181"/>
  <c r="V85" i="181" s="1"/>
  <c r="F85" i="181"/>
  <c r="F83" i="181" s="1"/>
  <c r="AA106" i="181"/>
  <c r="AA104" i="181" s="1"/>
  <c r="L129" i="181"/>
  <c r="L127" i="181" s="1"/>
  <c r="W14" i="106"/>
  <c r="X26" i="106"/>
  <c r="V14" i="106"/>
  <c r="F11" i="174"/>
  <c r="T21" i="106"/>
  <c r="T23" i="106"/>
  <c r="G20" i="17"/>
  <c r="R85" i="181"/>
  <c r="R83" i="181" s="1"/>
  <c r="AB85" i="181"/>
  <c r="Q129" i="181"/>
  <c r="Q127" i="181" s="1"/>
  <c r="C49" i="133"/>
  <c r="D148" i="182"/>
  <c r="E50" i="133"/>
  <c r="C12" i="171"/>
  <c r="F13" i="133"/>
  <c r="C93" i="181"/>
  <c r="C140" i="181"/>
  <c r="L151" i="182" s="1"/>
  <c r="D52" i="133" s="1"/>
  <c r="M13" i="181"/>
  <c r="I53" i="181"/>
  <c r="I13" i="181" s="1"/>
  <c r="L85" i="181"/>
  <c r="U85" i="181"/>
  <c r="U83" i="181" s="1"/>
  <c r="I106" i="181"/>
  <c r="I104" i="181" s="1"/>
  <c r="Q106" i="181"/>
  <c r="Q104" i="181" s="1"/>
  <c r="I129" i="181"/>
  <c r="I127" i="181" s="1"/>
  <c r="M129" i="181"/>
  <c r="M127" i="181" s="1"/>
  <c r="W129" i="181"/>
  <c r="W127" i="181" s="1"/>
  <c r="Q13" i="181"/>
  <c r="Q8" i="181" s="1"/>
  <c r="E24" i="173" s="1"/>
  <c r="C24" i="173" s="1"/>
  <c r="H13" i="181"/>
  <c r="N13" i="181"/>
  <c r="N8" i="181" s="1"/>
  <c r="E21" i="173" s="1"/>
  <c r="C21" i="173" s="1"/>
  <c r="K13" i="181"/>
  <c r="T85" i="181"/>
  <c r="T83" i="181" s="1"/>
  <c r="Z85" i="181"/>
  <c r="P106" i="181"/>
  <c r="P104" i="181" s="1"/>
  <c r="N106" i="181"/>
  <c r="N104" i="181" s="1"/>
  <c r="V106" i="181"/>
  <c r="V104" i="181" s="1"/>
  <c r="X129" i="181"/>
  <c r="X127" i="181" s="1"/>
  <c r="H85" i="181"/>
  <c r="H83" i="181" s="1"/>
  <c r="W85" i="181"/>
  <c r="W83" i="181" s="1"/>
  <c r="M106" i="181"/>
  <c r="M104" i="181" s="1"/>
  <c r="K106" i="181"/>
  <c r="K104" i="181" s="1"/>
  <c r="K129" i="181"/>
  <c r="K127" i="181" s="1"/>
  <c r="S129" i="181"/>
  <c r="S127" i="181" s="1"/>
  <c r="O14" i="181"/>
  <c r="O13" i="181" s="1"/>
  <c r="O8" i="181" s="1"/>
  <c r="E22" i="173" s="1"/>
  <c r="C22" i="173" s="1"/>
  <c r="L13" i="181"/>
  <c r="A3" i="17"/>
  <c r="A4" i="172"/>
  <c r="A5" i="175"/>
  <c r="A3" i="177" s="1"/>
  <c r="A3" i="178" s="1"/>
  <c r="A3" i="179" s="1"/>
  <c r="A4" i="106"/>
  <c r="A4" i="38"/>
  <c r="A3" i="176" s="1"/>
  <c r="A4" i="174"/>
  <c r="A4" i="168" s="1"/>
  <c r="C113" i="182"/>
  <c r="E134" i="182"/>
  <c r="E128" i="182"/>
  <c r="J128" i="182" s="1"/>
  <c r="C91" i="182"/>
  <c r="F22" i="38"/>
  <c r="G22" i="38"/>
  <c r="T22" i="106"/>
  <c r="D22" i="106"/>
  <c r="C13" i="38"/>
  <c r="I13" i="38" s="1"/>
  <c r="I11" i="38" s="1"/>
  <c r="G30" i="38"/>
  <c r="F18" i="106"/>
  <c r="D28" i="106"/>
  <c r="D33" i="106"/>
  <c r="M36" i="168"/>
  <c r="O8" i="177"/>
  <c r="F114" i="181"/>
  <c r="F106" i="181" s="1"/>
  <c r="F104" i="181" s="1"/>
  <c r="C10" i="17"/>
  <c r="C9" i="17" s="1"/>
  <c r="E22" i="106"/>
  <c r="U15" i="106"/>
  <c r="T36" i="106"/>
  <c r="E38" i="106"/>
  <c r="N11" i="174"/>
  <c r="E40" i="106"/>
  <c r="J15" i="106"/>
  <c r="F19" i="106"/>
  <c r="E19" i="106"/>
  <c r="P14" i="106"/>
  <c r="D8" i="177"/>
  <c r="D25" i="106"/>
  <c r="E85" i="181"/>
  <c r="J106" i="181"/>
  <c r="J104" i="181" s="1"/>
  <c r="AB106" i="181"/>
  <c r="E29" i="106"/>
  <c r="J26" i="106"/>
  <c r="E34" i="106"/>
  <c r="M9" i="178"/>
  <c r="K10" i="176"/>
  <c r="G9" i="176"/>
  <c r="K9" i="176" s="1"/>
  <c r="E29" i="38"/>
  <c r="Q15" i="106"/>
  <c r="H9" i="178"/>
  <c r="M34" i="106"/>
  <c r="D34" i="106"/>
  <c r="C34" i="106" s="1"/>
  <c r="D35" i="106"/>
  <c r="D42" i="106"/>
  <c r="E45" i="106"/>
  <c r="G15" i="106"/>
  <c r="D17" i="106"/>
  <c r="F30" i="38"/>
  <c r="E10" i="171"/>
  <c r="C11" i="171"/>
  <c r="M15" i="174"/>
  <c r="M27" i="106"/>
  <c r="N26" i="106"/>
  <c r="E43" i="106"/>
  <c r="M43" i="106"/>
  <c r="D39" i="106"/>
  <c r="D43" i="106"/>
  <c r="T18" i="106"/>
  <c r="D19" i="106"/>
  <c r="O14" i="106"/>
  <c r="M24" i="106"/>
  <c r="N15" i="106"/>
  <c r="A4" i="171"/>
  <c r="A4" i="42"/>
  <c r="A3" i="133"/>
  <c r="A3" i="169"/>
  <c r="A3" i="170"/>
  <c r="A3" i="173" s="1"/>
  <c r="E13" i="133"/>
  <c r="E12" i="133" s="1"/>
  <c r="E11" i="133" s="1"/>
  <c r="H11" i="174"/>
  <c r="D27" i="106"/>
  <c r="G26" i="106"/>
  <c r="D29" i="106"/>
  <c r="D36" i="106"/>
  <c r="D41" i="106"/>
  <c r="D45" i="106"/>
  <c r="E21" i="106"/>
  <c r="G9" i="178"/>
  <c r="F8" i="177"/>
  <c r="C13" i="168"/>
  <c r="E27" i="106"/>
  <c r="D32" i="106"/>
  <c r="E36" i="106"/>
  <c r="D38" i="106"/>
  <c r="F20" i="106"/>
  <c r="E23" i="106"/>
  <c r="E8" i="179"/>
  <c r="E10" i="17"/>
  <c r="C9" i="172"/>
  <c r="L8" i="177"/>
  <c r="C64" i="182"/>
  <c r="G14" i="38"/>
  <c r="D13" i="38"/>
  <c r="J13" i="38" s="1"/>
  <c r="C48" i="181"/>
  <c r="L44" i="182" s="1"/>
  <c r="O44" i="182" s="1"/>
  <c r="C70" i="181"/>
  <c r="L55" i="182" s="1"/>
  <c r="O55" i="182" s="1"/>
  <c r="E8" i="177"/>
  <c r="D24" i="106"/>
  <c r="C24" i="106" s="1"/>
  <c r="F24" i="106"/>
  <c r="D23" i="132"/>
  <c r="D21" i="132" s="1"/>
  <c r="D18" i="182"/>
  <c r="K91" i="182"/>
  <c r="D37" i="106"/>
  <c r="E25" i="106"/>
  <c r="Q86" i="181"/>
  <c r="Q85" i="181" s="1"/>
  <c r="X13" i="181"/>
  <c r="X8" i="181" s="1"/>
  <c r="E31" i="173" s="1"/>
  <c r="C31" i="173" s="1"/>
  <c r="V35" i="181"/>
  <c r="V13" i="181" s="1"/>
  <c r="Y106" i="181"/>
  <c r="C128" i="181"/>
  <c r="L135" i="182" s="1"/>
  <c r="F7" i="187"/>
  <c r="F6" i="187" s="1"/>
  <c r="D113" i="182"/>
  <c r="D64" i="181"/>
  <c r="O106" i="181"/>
  <c r="O104" i="181" s="1"/>
  <c r="C39" i="181"/>
  <c r="L58" i="182"/>
  <c r="AA85" i="181"/>
  <c r="R106" i="181"/>
  <c r="R104" i="181" s="1"/>
  <c r="F129" i="181"/>
  <c r="F127" i="181" s="1"/>
  <c r="J129" i="181"/>
  <c r="J127" i="181" s="1"/>
  <c r="AB129" i="181"/>
  <c r="R13" i="181"/>
  <c r="R8" i="181" s="1"/>
  <c r="E25" i="173" s="1"/>
  <c r="C25" i="173" s="1"/>
  <c r="T13" i="181"/>
  <c r="T8" i="181" s="1"/>
  <c r="E27" i="173" s="1"/>
  <c r="C27" i="173" s="1"/>
  <c r="W13" i="181"/>
  <c r="W8" i="181" s="1"/>
  <c r="E30" i="173" s="1"/>
  <c r="C30" i="173" s="1"/>
  <c r="O85" i="181"/>
  <c r="S106" i="181"/>
  <c r="S104" i="181" s="1"/>
  <c r="Z106" i="181"/>
  <c r="C130" i="181"/>
  <c r="E129" i="181"/>
  <c r="U129" i="181"/>
  <c r="U127" i="181" s="1"/>
  <c r="N85" i="181"/>
  <c r="T106" i="181"/>
  <c r="H106" i="181"/>
  <c r="H104" i="181" s="1"/>
  <c r="Y129" i="181"/>
  <c r="Y127" i="181" s="1"/>
  <c r="C23" i="133" l="1"/>
  <c r="C22" i="133" s="1"/>
  <c r="C10" i="133" s="1"/>
  <c r="D17" i="182"/>
  <c r="D10" i="182" s="1"/>
  <c r="C21" i="106"/>
  <c r="AB83" i="181"/>
  <c r="E44" i="171"/>
  <c r="E42" i="171" s="1"/>
  <c r="C57" i="170"/>
  <c r="C56" i="170" s="1"/>
  <c r="C53" i="170" s="1"/>
  <c r="D51" i="171"/>
  <c r="C52" i="171"/>
  <c r="C51" i="171" s="1"/>
  <c r="Z83" i="181"/>
  <c r="Z82" i="181"/>
  <c r="AB104" i="181"/>
  <c r="E47" i="171"/>
  <c r="E45" i="171" s="1"/>
  <c r="C23" i="106"/>
  <c r="M35" i="168"/>
  <c r="O12" i="168"/>
  <c r="O11" i="168" s="1"/>
  <c r="D57" i="181"/>
  <c r="Q14" i="168"/>
  <c r="S14" i="181"/>
  <c r="S13" i="181" s="1"/>
  <c r="S8" i="181" s="1"/>
  <c r="E26" i="173" s="1"/>
  <c r="C26" i="173" s="1"/>
  <c r="D27" i="168"/>
  <c r="E10" i="132"/>
  <c r="E12" i="38"/>
  <c r="I39" i="183"/>
  <c r="C37" i="106"/>
  <c r="C41" i="106"/>
  <c r="D17" i="169"/>
  <c r="C28" i="106"/>
  <c r="C17" i="169"/>
  <c r="N14" i="106"/>
  <c r="U14" i="106"/>
  <c r="M12" i="174"/>
  <c r="C39" i="106"/>
  <c r="C42" i="106"/>
  <c r="C31" i="106"/>
  <c r="C35" i="106"/>
  <c r="C33" i="106"/>
  <c r="F15" i="106"/>
  <c r="D18" i="42"/>
  <c r="I18" i="42" s="1"/>
  <c r="I12" i="42" s="1"/>
  <c r="J12" i="42" s="1"/>
  <c r="E12" i="42"/>
  <c r="F25" i="133"/>
  <c r="AA8" i="181"/>
  <c r="E34" i="173"/>
  <c r="AB127" i="181"/>
  <c r="E50" i="171"/>
  <c r="AB82" i="181"/>
  <c r="D19" i="133"/>
  <c r="E19" i="133" s="1"/>
  <c r="D41" i="133"/>
  <c r="F41" i="133" s="1"/>
  <c r="N64" i="182"/>
  <c r="O135" i="182"/>
  <c r="D47" i="133"/>
  <c r="O35" i="182"/>
  <c r="D28" i="133"/>
  <c r="F24" i="133"/>
  <c r="E24" i="133"/>
  <c r="E44" i="133"/>
  <c r="F30" i="133"/>
  <c r="E30" i="133"/>
  <c r="O58" i="182"/>
  <c r="D35" i="133"/>
  <c r="J113" i="182"/>
  <c r="C45" i="133"/>
  <c r="C43" i="133" s="1"/>
  <c r="F53" i="133"/>
  <c r="E53" i="133"/>
  <c r="O53" i="182"/>
  <c r="D34" i="133"/>
  <c r="F26" i="133"/>
  <c r="E26" i="133"/>
  <c r="D51" i="133"/>
  <c r="E52" i="133"/>
  <c r="F52" i="133"/>
  <c r="J148" i="182"/>
  <c r="C28" i="132"/>
  <c r="J91" i="182"/>
  <c r="C42" i="133"/>
  <c r="C40" i="133" s="1"/>
  <c r="O62" i="182"/>
  <c r="D36" i="133"/>
  <c r="E24" i="132"/>
  <c r="F24" i="132" s="1"/>
  <c r="J136" i="182"/>
  <c r="C48" i="133"/>
  <c r="C46" i="133" s="1"/>
  <c r="F31" i="133"/>
  <c r="E31" i="133"/>
  <c r="F27" i="133"/>
  <c r="E27" i="133"/>
  <c r="F29" i="133"/>
  <c r="E29" i="133"/>
  <c r="C11" i="38"/>
  <c r="C20" i="38" s="1"/>
  <c r="I20" i="38" s="1"/>
  <c r="V8" i="181"/>
  <c r="E29" i="173" s="1"/>
  <c r="C29" i="173" s="1"/>
  <c r="C41" i="181"/>
  <c r="AG41" i="181"/>
  <c r="C64" i="181"/>
  <c r="AG64" i="181"/>
  <c r="C57" i="181"/>
  <c r="AG57" i="181"/>
  <c r="C63" i="181"/>
  <c r="C36" i="181"/>
  <c r="AG36" i="181"/>
  <c r="C56" i="181"/>
  <c r="AG56" i="181"/>
  <c r="Q14" i="106"/>
  <c r="C45" i="106"/>
  <c r="H9" i="17"/>
  <c r="H19" i="183"/>
  <c r="G19" i="183"/>
  <c r="H10" i="17"/>
  <c r="C32" i="106"/>
  <c r="M15" i="106"/>
  <c r="T26" i="106"/>
  <c r="C40" i="106"/>
  <c r="G14" i="183"/>
  <c r="H14" i="183"/>
  <c r="E9" i="183"/>
  <c r="C44" i="106"/>
  <c r="D35" i="181"/>
  <c r="D86" i="181"/>
  <c r="C86" i="181" s="1"/>
  <c r="D106" i="181"/>
  <c r="D47" i="171" s="1"/>
  <c r="D89" i="181"/>
  <c r="C89" i="181" s="1"/>
  <c r="D114" i="181"/>
  <c r="C114" i="181" s="1"/>
  <c r="D129" i="181"/>
  <c r="D85" i="181"/>
  <c r="D44" i="171" s="1"/>
  <c r="D81" i="181"/>
  <c r="D15" i="181"/>
  <c r="D14" i="181"/>
  <c r="D24" i="171" s="1"/>
  <c r="D88" i="182"/>
  <c r="J88" i="182" s="1"/>
  <c r="C111" i="182"/>
  <c r="C88" i="182"/>
  <c r="D134" i="182"/>
  <c r="J134" i="182" s="1"/>
  <c r="M64" i="182"/>
  <c r="J64" i="182"/>
  <c r="J18" i="182"/>
  <c r="J17" i="182" s="1"/>
  <c r="J10" i="182" s="1"/>
  <c r="M148" i="182"/>
  <c r="N148" i="182"/>
  <c r="M18" i="182"/>
  <c r="K134" i="182"/>
  <c r="M136" i="182"/>
  <c r="N136" i="182"/>
  <c r="K111" i="182"/>
  <c r="M113" i="182"/>
  <c r="N113" i="182"/>
  <c r="D89" i="182"/>
  <c r="O12" i="182"/>
  <c r="M91" i="182"/>
  <c r="N91" i="182"/>
  <c r="K89" i="182"/>
  <c r="K88" i="182"/>
  <c r="C89" i="182"/>
  <c r="O64" i="182"/>
  <c r="E89" i="182"/>
  <c r="M8" i="181"/>
  <c r="E20" i="173" s="1"/>
  <c r="G82" i="181"/>
  <c r="G80" i="181"/>
  <c r="G79" i="181" s="1"/>
  <c r="L136" i="182"/>
  <c r="U80" i="181"/>
  <c r="U79" i="181" s="1"/>
  <c r="U7" i="181" s="1"/>
  <c r="J82" i="181"/>
  <c r="L9" i="181"/>
  <c r="L8" i="181" s="1"/>
  <c r="E19" i="173" s="1"/>
  <c r="C19" i="173" s="1"/>
  <c r="J80" i="181"/>
  <c r="J79" i="181" s="1"/>
  <c r="W80" i="181"/>
  <c r="W79" i="181" s="1"/>
  <c r="W7" i="181" s="1"/>
  <c r="X80" i="181"/>
  <c r="X79" i="181" s="1"/>
  <c r="X7" i="181" s="1"/>
  <c r="L91" i="182"/>
  <c r="L89" i="182" s="1"/>
  <c r="N17" i="182"/>
  <c r="F53" i="181"/>
  <c r="O151" i="182"/>
  <c r="L150" i="182"/>
  <c r="O122" i="182"/>
  <c r="L121" i="182"/>
  <c r="O90" i="182"/>
  <c r="L87" i="182"/>
  <c r="O87" i="182" s="1"/>
  <c r="V83" i="181"/>
  <c r="V80" i="181" s="1"/>
  <c r="V79" i="181" s="1"/>
  <c r="V7" i="181" s="1"/>
  <c r="V82" i="181"/>
  <c r="I82" i="181"/>
  <c r="C29" i="106"/>
  <c r="P80" i="181"/>
  <c r="P79" i="181" s="1"/>
  <c r="P7" i="181" s="1"/>
  <c r="C8" i="177"/>
  <c r="E7" i="179"/>
  <c r="K82" i="181"/>
  <c r="C43" i="106"/>
  <c r="X82" i="181"/>
  <c r="M80" i="181"/>
  <c r="M79" i="181" s="1"/>
  <c r="M20" i="173" s="1"/>
  <c r="L83" i="181"/>
  <c r="L80" i="181" s="1"/>
  <c r="L79" i="181" s="1"/>
  <c r="L82" i="181"/>
  <c r="P82" i="181"/>
  <c r="I80" i="181"/>
  <c r="I79" i="181" s="1"/>
  <c r="W82" i="181"/>
  <c r="M82" i="181"/>
  <c r="K80" i="181"/>
  <c r="K79" i="181" s="1"/>
  <c r="E121" i="182"/>
  <c r="J121" i="182" s="1"/>
  <c r="D111" i="182"/>
  <c r="N82" i="181"/>
  <c r="N83" i="181"/>
  <c r="N80" i="181" s="1"/>
  <c r="N79" i="181" s="1"/>
  <c r="N7" i="181" s="1"/>
  <c r="AA82" i="181"/>
  <c r="AA83" i="181"/>
  <c r="AA80" i="181" s="1"/>
  <c r="AA79" i="181" s="1"/>
  <c r="S82" i="181"/>
  <c r="E9" i="17"/>
  <c r="G9" i="17" s="1"/>
  <c r="G10" i="17"/>
  <c r="F26" i="106"/>
  <c r="C19" i="106"/>
  <c r="G14" i="106"/>
  <c r="F82" i="181"/>
  <c r="C22" i="106"/>
  <c r="C24" i="181"/>
  <c r="L26" i="182" s="1"/>
  <c r="O26" i="182" s="1"/>
  <c r="E104" i="181"/>
  <c r="Y104" i="181"/>
  <c r="Y80" i="181" s="1"/>
  <c r="Y79" i="181" s="1"/>
  <c r="Y7" i="181" s="1"/>
  <c r="Y82" i="181"/>
  <c r="J13" i="181"/>
  <c r="G21" i="38"/>
  <c r="F21" i="38"/>
  <c r="Z104" i="181"/>
  <c r="Z80" i="181" s="1"/>
  <c r="Z79" i="181" s="1"/>
  <c r="S80" i="181"/>
  <c r="S79" i="181" s="1"/>
  <c r="S7" i="181" s="1"/>
  <c r="H82" i="181"/>
  <c r="C38" i="106"/>
  <c r="M26" i="106"/>
  <c r="F80" i="181"/>
  <c r="F79" i="181" s="1"/>
  <c r="R82" i="181"/>
  <c r="J14" i="106"/>
  <c r="Q83" i="181"/>
  <c r="Q80" i="181" s="1"/>
  <c r="Q79" i="181" s="1"/>
  <c r="Q7" i="181" s="1"/>
  <c r="Q82" i="181"/>
  <c r="D15" i="106"/>
  <c r="T104" i="181"/>
  <c r="T80" i="181" s="1"/>
  <c r="T79" i="181" s="1"/>
  <c r="T7" i="181" s="1"/>
  <c r="T82" i="181"/>
  <c r="E127" i="181"/>
  <c r="O82" i="181"/>
  <c r="O83" i="181"/>
  <c r="O80" i="181" s="1"/>
  <c r="O79" i="181" s="1"/>
  <c r="O7" i="181" s="1"/>
  <c r="U82" i="181"/>
  <c r="H80" i="181"/>
  <c r="E26" i="106"/>
  <c r="C36" i="106"/>
  <c r="D26" i="106"/>
  <c r="C27" i="106"/>
  <c r="D9" i="183"/>
  <c r="I9" i="183" s="1"/>
  <c r="E27" i="38"/>
  <c r="G29" i="38"/>
  <c r="F29" i="38"/>
  <c r="R80" i="181"/>
  <c r="R79" i="181" s="1"/>
  <c r="R7" i="181" s="1"/>
  <c r="E83" i="181"/>
  <c r="E82" i="181"/>
  <c r="C85" i="181"/>
  <c r="C25" i="106"/>
  <c r="C19" i="38"/>
  <c r="G9" i="183" l="1"/>
  <c r="E39" i="183"/>
  <c r="D82" i="181"/>
  <c r="M11" i="173"/>
  <c r="M10" i="173" s="1"/>
  <c r="K20" i="173"/>
  <c r="K11" i="173" s="1"/>
  <c r="K10" i="173" s="1"/>
  <c r="C129" i="181"/>
  <c r="D50" i="171"/>
  <c r="AA7" i="181"/>
  <c r="C46" i="170"/>
  <c r="C44" i="170" s="1"/>
  <c r="C44" i="171"/>
  <c r="C42" i="171" s="1"/>
  <c r="D42" i="171"/>
  <c r="H79" i="181"/>
  <c r="J15" i="173" s="1"/>
  <c r="Y17" i="106"/>
  <c r="C106" i="181"/>
  <c r="C39" i="133"/>
  <c r="C38" i="133" s="1"/>
  <c r="C9" i="133" s="1"/>
  <c r="C49" i="170"/>
  <c r="C47" i="170" s="1"/>
  <c r="D45" i="171"/>
  <c r="C47" i="171"/>
  <c r="C45" i="171" s="1"/>
  <c r="C20" i="173"/>
  <c r="F19" i="133"/>
  <c r="AB80" i="181"/>
  <c r="AB79" i="181" s="1"/>
  <c r="AB7" i="181" s="1"/>
  <c r="Q12" i="168"/>
  <c r="Q11" i="168" s="1"/>
  <c r="C14" i="168"/>
  <c r="C35" i="181"/>
  <c r="M12" i="168"/>
  <c r="M11" i="168" s="1"/>
  <c r="C35" i="168"/>
  <c r="D12" i="168"/>
  <c r="D11" i="168" s="1"/>
  <c r="C27" i="168"/>
  <c r="AG35" i="181"/>
  <c r="D33" i="171"/>
  <c r="K12" i="38"/>
  <c r="F14" i="106"/>
  <c r="E41" i="133"/>
  <c r="Z7" i="181"/>
  <c r="C81" i="181"/>
  <c r="I33" i="173"/>
  <c r="M14" i="106"/>
  <c r="C18" i="42"/>
  <c r="C12" i="42" s="1"/>
  <c r="D12" i="42"/>
  <c r="C34" i="173"/>
  <c r="C23" i="170"/>
  <c r="C24" i="171"/>
  <c r="E48" i="171"/>
  <c r="E41" i="171" s="1"/>
  <c r="E40" i="171" s="1"/>
  <c r="E9" i="171" s="1"/>
  <c r="C50" i="171"/>
  <c r="C48" i="171" s="1"/>
  <c r="C41" i="171" s="1"/>
  <c r="C40" i="171" s="1"/>
  <c r="O89" i="182"/>
  <c r="D42" i="133"/>
  <c r="E47" i="133"/>
  <c r="M17" i="182"/>
  <c r="C23" i="132"/>
  <c r="C21" i="132" s="1"/>
  <c r="F34" i="133"/>
  <c r="E34" i="133"/>
  <c r="O136" i="182"/>
  <c r="D48" i="133"/>
  <c r="D46" i="133" s="1"/>
  <c r="E36" i="133"/>
  <c r="F36" i="133"/>
  <c r="E51" i="133"/>
  <c r="D49" i="133"/>
  <c r="F51" i="133"/>
  <c r="E35" i="133"/>
  <c r="F35" i="133"/>
  <c r="F28" i="133"/>
  <c r="E28" i="133"/>
  <c r="I21" i="38"/>
  <c r="C15" i="181"/>
  <c r="L19" i="182" s="1"/>
  <c r="O19" i="182" s="1"/>
  <c r="AG15" i="181"/>
  <c r="C14" i="181"/>
  <c r="AG14" i="181"/>
  <c r="H9" i="183"/>
  <c r="S88" i="182"/>
  <c r="C86" i="182"/>
  <c r="D104" i="181"/>
  <c r="C104" i="181" s="1"/>
  <c r="C82" i="181"/>
  <c r="D83" i="181"/>
  <c r="C83" i="181" s="1"/>
  <c r="D127" i="181"/>
  <c r="C127" i="181" s="1"/>
  <c r="J89" i="182"/>
  <c r="D53" i="181"/>
  <c r="D34" i="171" s="1"/>
  <c r="D23" i="171" s="1"/>
  <c r="D10" i="171" s="1"/>
  <c r="O91" i="182"/>
  <c r="N88" i="182"/>
  <c r="M88" i="182"/>
  <c r="M89" i="182"/>
  <c r="N89" i="182"/>
  <c r="M111" i="182"/>
  <c r="N111" i="182"/>
  <c r="M134" i="182"/>
  <c r="N134" i="182"/>
  <c r="M7" i="181"/>
  <c r="L134" i="182"/>
  <c r="O134" i="182" s="1"/>
  <c r="K9" i="181"/>
  <c r="K8" i="181" s="1"/>
  <c r="L7" i="181"/>
  <c r="N10" i="182"/>
  <c r="F13" i="181"/>
  <c r="O150" i="182"/>
  <c r="L148" i="182"/>
  <c r="O121" i="182"/>
  <c r="L113" i="182"/>
  <c r="D45" i="133" s="1"/>
  <c r="L18" i="182"/>
  <c r="D14" i="106"/>
  <c r="D46" i="106" s="1"/>
  <c r="E80" i="181"/>
  <c r="D80" i="181" s="1"/>
  <c r="D86" i="182"/>
  <c r="E36" i="38"/>
  <c r="F27" i="38"/>
  <c r="G27" i="38"/>
  <c r="C26" i="106"/>
  <c r="K86" i="182"/>
  <c r="D27" i="132" s="1"/>
  <c r="D26" i="132" s="1"/>
  <c r="D20" i="132" s="1"/>
  <c r="C63" i="182" l="1"/>
  <c r="C9" i="182" s="1"/>
  <c r="Q9" i="182" s="1"/>
  <c r="D12" i="38"/>
  <c r="H39" i="183"/>
  <c r="S7" i="182"/>
  <c r="D10" i="132"/>
  <c r="G39" i="183"/>
  <c r="E38" i="183"/>
  <c r="J11" i="173"/>
  <c r="J10" i="173" s="1"/>
  <c r="H15" i="173"/>
  <c r="C52" i="170"/>
  <c r="C50" i="170" s="1"/>
  <c r="D48" i="171"/>
  <c r="D41" i="171" s="1"/>
  <c r="D40" i="171" s="1"/>
  <c r="D9" i="171" s="1"/>
  <c r="Y15" i="106"/>
  <c r="Y14" i="106" s="1"/>
  <c r="X17" i="106"/>
  <c r="C43" i="170"/>
  <c r="C42" i="170" s="1"/>
  <c r="C12" i="168"/>
  <c r="C11" i="168" s="1"/>
  <c r="K7" i="181"/>
  <c r="E18" i="173"/>
  <c r="C18" i="173" s="1"/>
  <c r="D13" i="181"/>
  <c r="AG13" i="181" s="1"/>
  <c r="C33" i="170"/>
  <c r="C34" i="171"/>
  <c r="C33" i="171"/>
  <c r="C23" i="171" s="1"/>
  <c r="C10" i="171" s="1"/>
  <c r="C9" i="171" s="1"/>
  <c r="C32" i="170"/>
  <c r="I11" i="173"/>
  <c r="I10" i="173" s="1"/>
  <c r="H33" i="173"/>
  <c r="E49" i="133"/>
  <c r="F49" i="133"/>
  <c r="E48" i="133"/>
  <c r="F48" i="133"/>
  <c r="O148" i="182"/>
  <c r="E28" i="132"/>
  <c r="D63" i="182"/>
  <c r="C27" i="132"/>
  <c r="C26" i="132" s="1"/>
  <c r="C20" i="132" s="1"/>
  <c r="C32" i="132" s="1"/>
  <c r="O18" i="182"/>
  <c r="D23" i="133"/>
  <c r="F45" i="133"/>
  <c r="E45" i="133"/>
  <c r="D43" i="133"/>
  <c r="F42" i="133"/>
  <c r="E42" i="133"/>
  <c r="D40" i="133"/>
  <c r="E46" i="133"/>
  <c r="F46" i="133"/>
  <c r="C53" i="181"/>
  <c r="L52" i="182" s="1"/>
  <c r="AG53" i="181"/>
  <c r="M10" i="182"/>
  <c r="N86" i="182"/>
  <c r="M86" i="182"/>
  <c r="E111" i="182"/>
  <c r="L39" i="182"/>
  <c r="J9" i="181"/>
  <c r="J8" i="181" s="1"/>
  <c r="E17" i="173" s="1"/>
  <c r="L88" i="182"/>
  <c r="O88" i="182" s="1"/>
  <c r="L111" i="182"/>
  <c r="L86" i="182" s="1"/>
  <c r="F42" i="183" s="1"/>
  <c r="O113" i="182"/>
  <c r="E79" i="181"/>
  <c r="D79" i="181" s="1"/>
  <c r="E35" i="38"/>
  <c r="G35" i="38" s="1"/>
  <c r="F36" i="38"/>
  <c r="F35" i="38" s="1"/>
  <c r="G36" i="38"/>
  <c r="K63" i="182"/>
  <c r="K9" i="182" s="1"/>
  <c r="C22" i="170" l="1"/>
  <c r="C14" i="170" s="1"/>
  <c r="C13" i="170" s="1"/>
  <c r="D13" i="170" s="1"/>
  <c r="H38" i="183"/>
  <c r="G38" i="183"/>
  <c r="F10" i="132"/>
  <c r="G10" i="132"/>
  <c r="D9" i="132"/>
  <c r="D32" i="132" s="1"/>
  <c r="X15" i="106"/>
  <c r="X14" i="106" s="1"/>
  <c r="T17" i="106"/>
  <c r="T15" i="106" s="1"/>
  <c r="T14" i="106" s="1"/>
  <c r="E17" i="106"/>
  <c r="J12" i="38"/>
  <c r="J11" i="38" s="1"/>
  <c r="D11" i="38"/>
  <c r="D20" i="38" s="1"/>
  <c r="F12" i="38"/>
  <c r="G12" i="38"/>
  <c r="C9" i="170"/>
  <c r="T11" i="168"/>
  <c r="C17" i="173"/>
  <c r="H11" i="173"/>
  <c r="H10" i="173" s="1"/>
  <c r="P19" i="174"/>
  <c r="P11" i="174" s="1"/>
  <c r="M20" i="174"/>
  <c r="L17" i="182"/>
  <c r="D9" i="182"/>
  <c r="R9" i="182" s="1"/>
  <c r="O39" i="182"/>
  <c r="D32" i="133"/>
  <c r="F23" i="133"/>
  <c r="E23" i="133"/>
  <c r="G28" i="132"/>
  <c r="F28" i="132"/>
  <c r="O52" i="182"/>
  <c r="D33" i="133"/>
  <c r="F40" i="133"/>
  <c r="E40" i="133"/>
  <c r="D39" i="133"/>
  <c r="F43" i="133"/>
  <c r="E43" i="133"/>
  <c r="J7" i="181"/>
  <c r="C13" i="181"/>
  <c r="AD13" i="181" s="1"/>
  <c r="J111" i="182"/>
  <c r="E86" i="182"/>
  <c r="J86" i="182" s="1"/>
  <c r="S86" i="182" s="1"/>
  <c r="M63" i="182"/>
  <c r="N63" i="182"/>
  <c r="I9" i="181"/>
  <c r="I8" i="181" s="1"/>
  <c r="O111" i="182"/>
  <c r="S9" i="182"/>
  <c r="C80" i="181"/>
  <c r="J20" i="38" l="1"/>
  <c r="J21" i="38" s="1"/>
  <c r="D19" i="38"/>
  <c r="C79" i="181"/>
  <c r="AD80" i="181"/>
  <c r="E15" i="106"/>
  <c r="E14" i="106" s="1"/>
  <c r="E46" i="106" s="1"/>
  <c r="C46" i="106" s="1"/>
  <c r="C17" i="106"/>
  <c r="C15" i="106" s="1"/>
  <c r="C14" i="106" s="1"/>
  <c r="I7" i="181"/>
  <c r="E16" i="173"/>
  <c r="C16" i="173" s="1"/>
  <c r="M19" i="174"/>
  <c r="M11" i="174" s="1"/>
  <c r="C20" i="174"/>
  <c r="C19" i="174" s="1"/>
  <c r="C11" i="174" s="1"/>
  <c r="D22" i="133"/>
  <c r="E22" i="133" s="1"/>
  <c r="F32" i="133"/>
  <c r="E32" i="133"/>
  <c r="E39" i="133"/>
  <c r="D38" i="133"/>
  <c r="F39" i="133"/>
  <c r="F33" i="133"/>
  <c r="E33" i="133"/>
  <c r="E27" i="132"/>
  <c r="E15" i="38"/>
  <c r="O17" i="182"/>
  <c r="E23" i="132"/>
  <c r="E63" i="182"/>
  <c r="H9" i="181"/>
  <c r="H8" i="181" s="1"/>
  <c r="E15" i="173" s="1"/>
  <c r="C15" i="173" s="1"/>
  <c r="N9" i="182"/>
  <c r="M9" i="182"/>
  <c r="O86" i="182"/>
  <c r="L63" i="182"/>
  <c r="F22" i="133" l="1"/>
  <c r="J63" i="182"/>
  <c r="S6" i="182" s="1"/>
  <c r="E9" i="182"/>
  <c r="E38" i="133"/>
  <c r="F38" i="133"/>
  <c r="K15" i="38"/>
  <c r="F15" i="38"/>
  <c r="E13" i="38"/>
  <c r="G15" i="38"/>
  <c r="E16" i="132"/>
  <c r="I42" i="183"/>
  <c r="F40" i="183"/>
  <c r="E26" i="132"/>
  <c r="F27" i="132"/>
  <c r="G27" i="132"/>
  <c r="F23" i="132"/>
  <c r="G23" i="132"/>
  <c r="H7" i="181"/>
  <c r="G9" i="181"/>
  <c r="G8" i="181" s="1"/>
  <c r="O63" i="182"/>
  <c r="G7" i="181" l="1"/>
  <c r="E14" i="173"/>
  <c r="C14" i="173" s="1"/>
  <c r="J9" i="182"/>
  <c r="K13" i="38"/>
  <c r="K11" i="38" s="1"/>
  <c r="F13" i="38"/>
  <c r="E11" i="38"/>
  <c r="G13" i="38"/>
  <c r="F26" i="132"/>
  <c r="G26" i="132"/>
  <c r="F38" i="183"/>
  <c r="I40" i="183"/>
  <c r="F16" i="132"/>
  <c r="E13" i="132"/>
  <c r="G16" i="132"/>
  <c r="F9" i="181"/>
  <c r="F8" i="181" s="1"/>
  <c r="F7" i="181" l="1"/>
  <c r="E13" i="173"/>
  <c r="C13" i="173" s="1"/>
  <c r="I38" i="183"/>
  <c r="E20" i="38"/>
  <c r="F11" i="38"/>
  <c r="G11" i="38"/>
  <c r="E9" i="132"/>
  <c r="F13" i="132"/>
  <c r="G13" i="132"/>
  <c r="E9" i="181"/>
  <c r="K20" i="38" l="1"/>
  <c r="K21" i="38" s="1"/>
  <c r="E19" i="38"/>
  <c r="G19" i="38" s="1"/>
  <c r="G20" i="38"/>
  <c r="F20" i="38"/>
  <c r="F19" i="38" s="1"/>
  <c r="F9" i="132"/>
  <c r="G9" i="132"/>
  <c r="E8" i="181"/>
  <c r="D9" i="181"/>
  <c r="C22" i="174" s="1"/>
  <c r="C11" i="181"/>
  <c r="C9" i="181" s="1"/>
  <c r="AD9" i="181" s="1"/>
  <c r="E12" i="173" l="1"/>
  <c r="D8" i="181"/>
  <c r="AG8" i="181" s="1"/>
  <c r="E7" i="181"/>
  <c r="D7" i="181" s="1"/>
  <c r="AG9" i="181"/>
  <c r="D33" i="173"/>
  <c r="L13" i="182"/>
  <c r="L11" i="182" s="1"/>
  <c r="L10" i="182" s="1"/>
  <c r="L9" i="182" s="1"/>
  <c r="T9" i="182" s="1"/>
  <c r="C8" i="181"/>
  <c r="C12" i="173" l="1"/>
  <c r="E11" i="173"/>
  <c r="E10" i="173" s="1"/>
  <c r="D11" i="173"/>
  <c r="D10" i="173" s="1"/>
  <c r="C33" i="173"/>
  <c r="C7" i="181"/>
  <c r="AD7" i="181" s="1"/>
  <c r="E22" i="132"/>
  <c r="D20" i="133"/>
  <c r="O13" i="182"/>
  <c r="C11" i="173" l="1"/>
  <c r="C10" i="173" s="1"/>
  <c r="N10" i="173" s="1"/>
  <c r="O10" i="173" s="1"/>
  <c r="F20" i="133"/>
  <c r="E20" i="133"/>
  <c r="E18" i="133" s="1"/>
  <c r="D18" i="133"/>
  <c r="G18" i="133" s="1"/>
  <c r="G22" i="132"/>
  <c r="F22" i="132"/>
  <c r="E21" i="132"/>
  <c r="O11" i="182"/>
  <c r="D11" i="133" l="1"/>
  <c r="D10" i="133" s="1"/>
  <c r="F18" i="133"/>
  <c r="F21" i="132"/>
  <c r="G21" i="132"/>
  <c r="E20" i="132"/>
  <c r="E32" i="132" s="1"/>
  <c r="O10" i="182"/>
  <c r="F20" i="132" l="1"/>
  <c r="G20" i="132"/>
  <c r="E10" i="133"/>
  <c r="F10" i="133"/>
  <c r="D9" i="133"/>
  <c r="O9" i="182"/>
  <c r="E9" i="133" l="1"/>
  <c r="F9" i="1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F30" authorId="0" shapeId="0" xr:uid="{00000000-0006-0000-0100-000001000000}">
      <text>
        <r>
          <rPr>
            <b/>
            <sz val="9"/>
            <color indexed="81"/>
            <rFont val="Tahoma"/>
            <family val="2"/>
          </rPr>
          <t>Ngày 10/12/2024 LĐ huyện, phòng yc giao tăng thêm 3 tỷ đất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 TINH DAT HONG</author>
    <author>DAT HONG COMPUTER</author>
  </authors>
  <commentList>
    <comment ref="E12" authorId="0" shapeId="0" xr:uid="{00000000-0006-0000-0200-000001000000}">
      <text>
        <r>
          <rPr>
            <b/>
            <sz val="9"/>
            <color indexed="81"/>
            <rFont val="Tahoma"/>
            <family val="2"/>
          </rPr>
          <t>MAY TINH DAT HONG:</t>
        </r>
        <r>
          <rPr>
            <sz val="9"/>
            <color indexed="81"/>
            <rFont val="Tahoma"/>
            <family val="2"/>
          </rPr>
          <t xml:space="preserve">
CN tạm ứng</t>
        </r>
      </text>
    </comment>
    <comment ref="E13" authorId="0" shapeId="0" xr:uid="{00000000-0006-0000-0200-000002000000}">
      <text>
        <r>
          <rPr>
            <b/>
            <sz val="9"/>
            <color indexed="81"/>
            <rFont val="Tahoma"/>
            <family val="2"/>
          </rPr>
          <t>MAY TINH DAT HONG:</t>
        </r>
        <r>
          <rPr>
            <sz val="9"/>
            <color indexed="81"/>
            <rFont val="Tahoma"/>
            <family val="2"/>
          </rPr>
          <t xml:space="preserve">
-CN tạm ứng = 1.916
-CN Tăng thu = 855 (trong năm 2024 đã PB tại QĐ 83)</t>
        </r>
      </text>
    </comment>
    <comment ref="F13" authorId="0" shapeId="0" xr:uid="{00000000-0006-0000-0200-000003000000}">
      <text>
        <r>
          <rPr>
            <b/>
            <sz val="9"/>
            <color indexed="81"/>
            <rFont val="Tahoma"/>
            <family val="2"/>
          </rPr>
          <t>MAY TINH DAT HONG:
trong năm 2024 đã PB tại QĐ 83</t>
        </r>
      </text>
    </comment>
    <comment ref="F14" authorId="0" shapeId="0" xr:uid="{00000000-0006-0000-0200-000004000000}">
      <text>
        <r>
          <rPr>
            <b/>
            <sz val="9"/>
            <color indexed="81"/>
            <rFont val="Tahoma"/>
            <family val="2"/>
          </rPr>
          <t>MAY TINH DAT HONG:</t>
        </r>
        <r>
          <rPr>
            <sz val="9"/>
            <color indexed="81"/>
            <rFont val="Tahoma"/>
            <family val="2"/>
          </rPr>
          <t xml:space="preserve">
trong năm 2024 đã PB tại QĐ 83</t>
        </r>
      </text>
    </comment>
    <comment ref="I35" authorId="1" shapeId="0" xr:uid="{00000000-0006-0000-0200-000005000000}">
      <text>
        <r>
          <rPr>
            <b/>
            <sz val="9"/>
            <color indexed="81"/>
            <rFont val="Tahoma"/>
            <family val="2"/>
          </rPr>
          <t>70 năm giải phóng huyện</t>
        </r>
      </text>
    </comment>
    <comment ref="E90" authorId="0" shapeId="0" xr:uid="{00000000-0006-0000-0200-000006000000}">
      <text>
        <r>
          <rPr>
            <b/>
            <sz val="9"/>
            <color indexed="81"/>
            <rFont val="Tahoma"/>
            <family val="2"/>
          </rPr>
          <t>MAY TINH DAT HONG:</t>
        </r>
        <r>
          <rPr>
            <sz val="9"/>
            <color indexed="81"/>
            <rFont val="Tahoma"/>
            <family val="2"/>
          </rPr>
          <t xml:space="preserve">
CNTƯ</t>
        </r>
      </text>
    </comment>
    <comment ref="T91" authorId="0" shapeId="0" xr:uid="{00000000-0006-0000-0200-000007000000}">
      <text>
        <r>
          <rPr>
            <b/>
            <sz val="9"/>
            <color indexed="81"/>
            <rFont val="Tahoma"/>
            <family val="2"/>
          </rPr>
          <t>MAY TINH DAT HONG:</t>
        </r>
        <r>
          <rPr>
            <sz val="9"/>
            <color indexed="81"/>
            <rFont val="Tahoma"/>
            <family val="2"/>
          </rPr>
          <t xml:space="preserve">
Đối ứng</t>
        </r>
      </text>
    </comment>
    <comment ref="E112" authorId="0" shapeId="0" xr:uid="{00000000-0006-0000-0200-000008000000}">
      <text>
        <r>
          <rPr>
            <b/>
            <sz val="9"/>
            <color indexed="81"/>
            <rFont val="Tahoma"/>
            <family val="2"/>
          </rPr>
          <t>MAY TINH DAT HONG:</t>
        </r>
        <r>
          <rPr>
            <sz val="9"/>
            <color indexed="81"/>
            <rFont val="Tahoma"/>
            <family val="2"/>
          </rPr>
          <t xml:space="preserve">
CNTU -&gt; CT 293,30a gd 2016-2020</t>
        </r>
      </text>
    </comment>
    <comment ref="E135" authorId="0" shapeId="0" xr:uid="{00000000-0006-0000-0200-000009000000}">
      <text>
        <r>
          <rPr>
            <b/>
            <sz val="9"/>
            <color indexed="81"/>
            <rFont val="Tahoma"/>
            <family val="2"/>
          </rPr>
          <t>MAY TINH DAT HONG:</t>
        </r>
        <r>
          <rPr>
            <sz val="9"/>
            <color indexed="81"/>
            <rFont val="Tahoma"/>
            <family val="2"/>
          </rPr>
          <t xml:space="preserve">
- CN DT = 1775 (thừa vốn) =&gt; trong năm 2024 điều chỉnh sang CT khác 1721 tại QĐ 1378
- CNTU = 199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C11" authorId="0" shapeId="0" xr:uid="{00000000-0006-0000-0300-000001000000}">
      <text>
        <r>
          <rPr>
            <b/>
            <sz val="9"/>
            <color indexed="81"/>
            <rFont val="Tahoma"/>
            <family val="2"/>
          </rPr>
          <t>MAY TINH DAT HONG:</t>
        </r>
        <r>
          <rPr>
            <sz val="9"/>
            <color indexed="81"/>
            <rFont val="Tahoma"/>
            <family val="2"/>
          </rPr>
          <t xml:space="preserve">
- 25/11: tăng thu đất từ 10 tỷ lên 15 tỷ
- Ngày 10/12/2024 LĐ huyện, phòng yc giao tăng thêm 3 tỷ đất</t>
        </r>
      </text>
    </comment>
    <comment ref="C35" authorId="0" shapeId="0" xr:uid="{00000000-0006-0000-0300-000002000000}">
      <text>
        <r>
          <rPr>
            <b/>
            <sz val="9"/>
            <color indexed="81"/>
            <rFont val="Tahoma"/>
            <family val="2"/>
          </rPr>
          <t xml:space="preserve">MAY TINH DAT HONG:
</t>
        </r>
        <r>
          <rPr>
            <sz val="9"/>
            <color indexed="81"/>
            <rFont val="Tahoma"/>
            <family val="2"/>
          </rPr>
          <t>25/11: tăng thu đất từ 10 tỷ lên 15 tỷ</t>
        </r>
      </text>
    </comment>
    <comment ref="H38" authorId="0" shapeId="0" xr:uid="{00000000-0006-0000-0300-000003000000}">
      <text>
        <r>
          <rPr>
            <b/>
            <sz val="9"/>
            <color indexed="81"/>
            <rFont val="Tahoma"/>
            <family val="2"/>
          </rPr>
          <t>70% theo NQ của HĐND tỉnh, trong đó: tối thiểu 50% cho người trồng lúa</t>
        </r>
      </text>
    </comment>
    <comment ref="AA38" authorId="0" shapeId="0" xr:uid="{00000000-0006-0000-0300-000004000000}">
      <text>
        <r>
          <rPr>
            <b/>
            <sz val="9"/>
            <color indexed="81"/>
            <rFont val="Tahoma"/>
            <family val="2"/>
          </rPr>
          <t>tối đa 30% sửa chữa, duy tu</t>
        </r>
      </text>
    </comment>
    <comment ref="AA53" authorId="0" shapeId="0" xr:uid="{00000000-0006-0000-0300-000005000000}">
      <text>
        <r>
          <rPr>
            <b/>
            <sz val="9"/>
            <color indexed="81"/>
            <rFont val="Tahoma"/>
            <family val="2"/>
          </rPr>
          <t xml:space="preserve">- Ngày 07/12 (Dự kiến KP Đại hội Đảng các cấp)
 - ngày 11/12: trừ 62 do tăng dự phòng (giao tăng thu đất) </t>
        </r>
      </text>
    </comment>
    <comment ref="C78" authorId="0" shapeId="0" xr:uid="{00000000-0006-0000-0300-000006000000}">
      <text>
        <r>
          <rPr>
            <b/>
            <sz val="9"/>
            <color indexed="81"/>
            <rFont val="Tahoma"/>
            <family val="2"/>
          </rPr>
          <t xml:space="preserve">MAY TINH DAT HONG:
</t>
        </r>
        <r>
          <rPr>
            <sz val="9"/>
            <color indexed="81"/>
            <rFont val="Tahoma"/>
            <family val="2"/>
          </rPr>
          <t>25/11: tăng thu đất từ 10 tỷ lên 15 tỷ</t>
        </r>
      </text>
    </comment>
    <comment ref="AA78" authorId="0" shapeId="0" xr:uid="{00000000-0006-0000-0300-000007000000}">
      <text>
        <r>
          <rPr>
            <b/>
            <sz val="9"/>
            <color indexed="81"/>
            <rFont val="Tahoma"/>
            <family val="2"/>
          </rPr>
          <t>MAY TINH DAT HONG:
25/11: tăng thu đất từ 10 tỷ lên 15 tỷ</t>
        </r>
      </text>
    </comment>
    <comment ref="Z84" authorId="0" shapeId="0" xr:uid="{00000000-0006-0000-0300-000008000000}">
      <text>
        <r>
          <rPr>
            <b/>
            <sz val="9"/>
            <color indexed="81"/>
            <rFont val="Tahoma"/>
            <family val="2"/>
          </rPr>
          <t>giảm 1 trđ -&gt; Sở KH làm tròn số</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I11" authorId="0" shapeId="0" xr:uid="{00000000-0006-0000-0400-000001000000}">
      <text>
        <r>
          <rPr>
            <b/>
            <sz val="9"/>
            <color indexed="81"/>
            <rFont val="Tahoma"/>
            <family val="2"/>
          </rPr>
          <t>Ngày 10/12/2024 LĐ huyện, phòng yc giao tăng thêm 3 tỷ đất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S20" authorId="0" shapeId="0" xr:uid="{00000000-0006-0000-1300-000001000000}">
      <text>
        <r>
          <rPr>
            <b/>
            <sz val="9"/>
            <color indexed="81"/>
            <rFont val="Tahoma"/>
            <family val="2"/>
          </rPr>
          <t>DA6-CT phát triển vùng</t>
        </r>
      </text>
    </comment>
  </commentList>
</comments>
</file>

<file path=xl/sharedStrings.xml><?xml version="1.0" encoding="utf-8"?>
<sst xmlns="http://schemas.openxmlformats.org/spreadsheetml/2006/main" count="1779" uniqueCount="876">
  <si>
    <t>Nguồn thu ngân sách</t>
  </si>
  <si>
    <t>Chi bổ sung cân đối ngân sách</t>
  </si>
  <si>
    <t>Nguồn  thu ngân sách</t>
  </si>
  <si>
    <t xml:space="preserve">Thu từ khu vực kinh tế ngoài quốc doanh </t>
  </si>
  <si>
    <t>NSNN</t>
  </si>
  <si>
    <t>Nội dung</t>
  </si>
  <si>
    <t>Dự toán</t>
  </si>
  <si>
    <t>NSĐP</t>
  </si>
  <si>
    <t>A</t>
  </si>
  <si>
    <t>B</t>
  </si>
  <si>
    <t>Thu nội địa</t>
  </si>
  <si>
    <t>Lệ phí trước bạ</t>
  </si>
  <si>
    <t>Thuế sử dụng đất phi nông nghiệp</t>
  </si>
  <si>
    <t>Thuế thu nhập cá nhân</t>
  </si>
  <si>
    <t xml:space="preserve">Thu phí, lệ phí </t>
  </si>
  <si>
    <t>-</t>
  </si>
  <si>
    <t>Thu tiền sử dụng đất</t>
  </si>
  <si>
    <t>Thu khác ngân sách</t>
  </si>
  <si>
    <t>I</t>
  </si>
  <si>
    <t>II</t>
  </si>
  <si>
    <t>III</t>
  </si>
  <si>
    <t>IV</t>
  </si>
  <si>
    <t>Chi đầu tư phát triển</t>
  </si>
  <si>
    <t>Chi đầu tư từ nguồn thu tiền sử dụng đất</t>
  </si>
  <si>
    <t>Chi thường xuyên</t>
  </si>
  <si>
    <t>Chi đảm bảo xã hội</t>
  </si>
  <si>
    <t>Chi bổ sung quỹ dự trữ tài chính</t>
  </si>
  <si>
    <t>Dự phòng ngân sách</t>
  </si>
  <si>
    <t>TỔNG SỐ</t>
  </si>
  <si>
    <t>Tên đơn vị</t>
  </si>
  <si>
    <t>Trong đó</t>
  </si>
  <si>
    <t>Tiền cho thuê đất, thuê mặt nước</t>
  </si>
  <si>
    <t>Sự nghiệp khoa học và công nghệ</t>
  </si>
  <si>
    <t>Quốc phòng</t>
  </si>
  <si>
    <t>An ninh và trật tự an toàn xã hội</t>
  </si>
  <si>
    <t>Sự nghiệp y tế, dân số và gia đình</t>
  </si>
  <si>
    <t>Sự nghiệp văn hóa thông tin</t>
  </si>
  <si>
    <t>Sự nghiệp phát thanh, truyền hình</t>
  </si>
  <si>
    <t>Sự nghiệp thể dục thể thao</t>
  </si>
  <si>
    <t>Sự nghiệp bảo vệ môi trường</t>
  </si>
  <si>
    <t>Các khoản chi khác theo quy định của pháp luật</t>
  </si>
  <si>
    <t xml:space="preserve">Chi đầu tư phát triển </t>
  </si>
  <si>
    <t>Thu kết dư</t>
  </si>
  <si>
    <t>Tổng chi cân đối ngân sách địa phương</t>
  </si>
  <si>
    <t>Thu bổ sung từ ngân sách cấp trên</t>
  </si>
  <si>
    <t>Bao gồm</t>
  </si>
  <si>
    <t>1=2+3</t>
  </si>
  <si>
    <t xml:space="preserve"> Chi khoa học và công nghệ</t>
  </si>
  <si>
    <t>Chi ngân sách</t>
  </si>
  <si>
    <t>Thu ngân sách được hưởng theo phân cấp</t>
  </si>
  <si>
    <t>Chia ra</t>
  </si>
  <si>
    <t>Tổng    số</t>
  </si>
  <si>
    <t>Tổng thu NSNN trên địa bàn</t>
  </si>
  <si>
    <t>Thu NSĐP được hưởng theo phân cấp</t>
  </si>
  <si>
    <t>Thu NSĐP hưởng 100%</t>
  </si>
  <si>
    <t>Số bổ sung cân đối từ ngân sách cấp trên</t>
  </si>
  <si>
    <t>Tổng chi cân đối NSĐP</t>
  </si>
  <si>
    <t xml:space="preserve">DỰ TOÁN THU NGÂN SÁCH NHÀ NƯỚC TRÊN ĐỊA BÀN </t>
  </si>
  <si>
    <t>STT</t>
  </si>
  <si>
    <t>So sánh</t>
  </si>
  <si>
    <t>Chi chương trình mục tiêu</t>
  </si>
  <si>
    <t>5=3/1</t>
  </si>
  <si>
    <t>6=4/2</t>
  </si>
  <si>
    <t xml:space="preserve"> Chi giáo dục - đào tạo và dạy nghề</t>
  </si>
  <si>
    <t>Chi chuyển nguồn sang năm sau</t>
  </si>
  <si>
    <t>Thu phân chia</t>
  </si>
  <si>
    <t>Tổng  số</t>
  </si>
  <si>
    <t>Vốn  trong  nước</t>
  </si>
  <si>
    <t>Vốn  ngoài  nước</t>
  </si>
  <si>
    <t>8=9+10</t>
  </si>
  <si>
    <t>Thu chuyển nguồn từ năm trước chuyển sang</t>
  </si>
  <si>
    <t>Thu từ quỹ đất công ích, hoa lợi công sản khác</t>
  </si>
  <si>
    <t>Chi đầu tư cho các dự án</t>
  </si>
  <si>
    <t>Chi tạo nguồn, điều chỉnh tiền lương</t>
  </si>
  <si>
    <t>Chi bổ sung cho ngân sách cấp dưới</t>
  </si>
  <si>
    <t>Thu bổ sung cân đối ngân sách</t>
  </si>
  <si>
    <t>Tổng số</t>
  </si>
  <si>
    <t>2=5+12</t>
  </si>
  <si>
    <t>3=8+15</t>
  </si>
  <si>
    <t>4=5+8</t>
  </si>
  <si>
    <t>5=6+7</t>
  </si>
  <si>
    <t>11=12+15</t>
  </si>
  <si>
    <t>12=13+14</t>
  </si>
  <si>
    <t>15=16+17</t>
  </si>
  <si>
    <t>Chi khoa học và công nghệ</t>
  </si>
  <si>
    <t>Thu bổ sung có mục tiêu</t>
  </si>
  <si>
    <t>Chi bổ sung có mục tiêu</t>
  </si>
  <si>
    <t>Đơn vị: Triệu đồng</t>
  </si>
  <si>
    <t>Tuyệt đối</t>
  </si>
  <si>
    <t>3=2-1</t>
  </si>
  <si>
    <t>4=2/1</t>
  </si>
  <si>
    <t>So sánh (%)</t>
  </si>
  <si>
    <t xml:space="preserve">Chi dự phòng ngân sách </t>
  </si>
  <si>
    <t>Chi giáo dục, đào tạo và dạy nghề</t>
  </si>
  <si>
    <t>Bổ sung có mục tiêu</t>
  </si>
  <si>
    <t>1 = 2+3+4</t>
  </si>
  <si>
    <t>TỔNG CHI NSĐP</t>
  </si>
  <si>
    <t>TỔNG NGUỒN THU NSĐP</t>
  </si>
  <si>
    <t>Chi các chương trình mục tiêu</t>
  </si>
  <si>
    <t>Chi các chương trình mục tiêu quốc gia</t>
  </si>
  <si>
    <t>TỔNG THU NSNN</t>
  </si>
  <si>
    <t>CHI CÂN ĐỐI NSĐP</t>
  </si>
  <si>
    <t>CHI CÁC CHƯƠNG TRÌNH MỤC TIÊU</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</si>
  <si>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</si>
  <si>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</si>
  <si>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</si>
  <si>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</si>
  <si>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</si>
  <si>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</si>
  <si>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</si>
  <si>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</si>
  <si>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</si>
  <si>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</si>
  <si>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</si>
  <si>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chương trình MTQG</t>
  </si>
  <si>
    <t>CÁC CƠ QUAN, TỔ CHỨC</t>
  </si>
  <si>
    <t>Chi giao thông</t>
  </si>
  <si>
    <t>Chi nông nghiệp, lâm nghiệp, thủy lợi, thủy sản</t>
  </si>
  <si>
    <t>Chi đầu tư từ nguồn vốn trong nước</t>
  </si>
  <si>
    <t xml:space="preserve">TỔNG CHI NSĐP </t>
  </si>
  <si>
    <t>CHI DỰ PHÒNG NGÂN SÁCH</t>
  </si>
  <si>
    <t>Trong đó: Phần NSĐP được hưởng</t>
  </si>
  <si>
    <t>2=3+5</t>
  </si>
  <si>
    <t xml:space="preserve">DỰ TOÁN THU, CHI NGÂN SÁCH ĐỊA PHƯƠNG VÀ SỐ BỔ SUNG CÂN ĐỐI </t>
  </si>
  <si>
    <t>Bổ sung thực hiện các chương trình mục tiêu quốc gia</t>
  </si>
  <si>
    <t>3=6+7+8</t>
  </si>
  <si>
    <t>2=3+9+12+13+14</t>
  </si>
  <si>
    <t>15=16+17+18</t>
  </si>
  <si>
    <t>Đầu tư phát triển</t>
  </si>
  <si>
    <t>Kinh phí sự nghiệp</t>
  </si>
  <si>
    <t>Thu NSĐP hưởng từ các khoản thu phân chia</t>
  </si>
  <si>
    <t>Chi đầu tư phát triển khác</t>
  </si>
  <si>
    <t>Trong đó: Chia theo lĩnh vực</t>
  </si>
  <si>
    <t>Trong đó: Chia theo nguồn vốn</t>
  </si>
  <si>
    <t>Tương đối (%)</t>
  </si>
  <si>
    <t>CÂN ĐỐI NGUỒN THU, CHI DỰ TOÁN NGÂN SÁCH CẤP HUYỆN</t>
  </si>
  <si>
    <t>NGÂN SÁCH CẤP HUYỆN</t>
  </si>
  <si>
    <t>Chi thuộc nhiệm vụ của ngân sách cấp huyện</t>
  </si>
  <si>
    <t>NGÂN SÁCH XÃ</t>
  </si>
  <si>
    <t>Chi thuộc nhiệm vụ của ngân sách cấp xã</t>
  </si>
  <si>
    <t>I- Thu nội địa</t>
  </si>
  <si>
    <t>DỰ TOÁN CHI NGÂN SÁCH ĐỊA PHƯƠNG, CHI NGÂN SÁCH CẤP HUYỆN</t>
  </si>
  <si>
    <t>DỰ TOÁN CHI ĐẦU TƯ PHÁT TRIỂN CỦA NGÂN SÁCH CẤP HUYỆN</t>
  </si>
  <si>
    <t>DỰ TOÁN CHI THƯỜNG XUYÊN CỦA NGÂN SÁCH CẤP HUYỆN</t>
  </si>
  <si>
    <t>Ngân sách cấp huyện</t>
  </si>
  <si>
    <t>Ngân sách xã</t>
  </si>
  <si>
    <t>DỰ TOÁN BỔ SUNG CÓ MỤC TIÊU TỪ NGÂN SÁCH CẤP HUYỆN</t>
  </si>
  <si>
    <t>Chương trình mục tiêu quốc gia giảm nghèo bền vững</t>
  </si>
  <si>
    <t>Chương trình mục tiêu quốc gia XD nông thôn mới</t>
  </si>
  <si>
    <t xml:space="preserve">Tên đơn vị         </t>
  </si>
  <si>
    <t>Văn phòng HĐND-UBND</t>
  </si>
  <si>
    <t>Huyện ủy</t>
  </si>
  <si>
    <t>Khối đoàn thể</t>
  </si>
  <si>
    <t>Phòng Nông nghiệp</t>
  </si>
  <si>
    <t>Phòng Tài chính-KH</t>
  </si>
  <si>
    <t>Phòng Tài nguyên MT</t>
  </si>
  <si>
    <t>Thanh tra</t>
  </si>
  <si>
    <t>Phòng Tư pháp</t>
  </si>
  <si>
    <t>Phòng Kinh tế và Hạ tầng</t>
  </si>
  <si>
    <t>Phòng Y tế</t>
  </si>
  <si>
    <t>Phòng Nội vụ</t>
  </si>
  <si>
    <t>Phòng Dân tộc</t>
  </si>
  <si>
    <t>Phòng Giáo dục</t>
  </si>
  <si>
    <t>Các khoản chi từ ngân sách</t>
  </si>
  <si>
    <t>Biểu số 38 - NĐ 31/2017/NĐ-CP</t>
  </si>
  <si>
    <t>Biểu số 39 - NĐ 31/2017/NĐ-CP</t>
  </si>
  <si>
    <t>Biểu số 37 - NĐ 31/2017/NĐ-CP</t>
  </si>
  <si>
    <t>Biểu số 36 - NĐ 31/2017/NĐ-CP</t>
  </si>
  <si>
    <t>Biểu số 35 - NĐ 31/2017/NĐ-CP</t>
  </si>
  <si>
    <t>Biểu số 34 - NĐ 31/2017/NĐ-CP</t>
  </si>
  <si>
    <t>Biểu số 33 - NĐ 31/2017/NĐ-CP</t>
  </si>
  <si>
    <t>Biểu số 32 - NĐ 31/2017/NĐ-CP</t>
  </si>
  <si>
    <t>Biểu số 30 - NĐ 31/2017/NĐ-CP</t>
  </si>
  <si>
    <t xml:space="preserve">CHI BS CHO NGÂN SÁCH CẤP DƯỚI </t>
  </si>
  <si>
    <t xml:space="preserve">CHI BỔ SUNG CHO NGÂN SÁCH CẤP DƯỚI </t>
  </si>
  <si>
    <t>Bổ sung cân đối</t>
  </si>
  <si>
    <t>Chương trình giảm nghèo bền vững</t>
  </si>
  <si>
    <t>Chương trình xây dựng nông thôn mới</t>
  </si>
  <si>
    <t>Vốn đầu tư</t>
  </si>
  <si>
    <t>Vốn sự nghiệp</t>
  </si>
  <si>
    <t>Kinh phí thực hiện đảm bảo trật tự ATGT</t>
  </si>
  <si>
    <t>Hoạt động của các cơ quan quản lý hành chính, tổ chức chính trị</t>
  </si>
  <si>
    <t>Thuế giá trị gia tăng</t>
  </si>
  <si>
    <t>Thuế thu nhập doanh nghiệp</t>
  </si>
  <si>
    <t>Thuế tài nguyên</t>
  </si>
  <si>
    <t>Chi các chương trình mục tiêu, nhiệm vụ khác</t>
  </si>
  <si>
    <t>Chương trình MT phát triển lâm nghiệp bền vững</t>
  </si>
  <si>
    <t>Biểu số 17 - NĐ 31/2017/NĐ-CP</t>
  </si>
  <si>
    <t>Biểu số 16 - NĐ 31/2017/NĐ-CP</t>
  </si>
  <si>
    <t xml:space="preserve">1. Lệ phí trước bạ </t>
  </si>
  <si>
    <t>2.Thuế sử dụng đất phi nông nghiệp</t>
  </si>
  <si>
    <t>3. Phí và lệ phí</t>
  </si>
  <si>
    <t>4.Thu từ tiền sử dụng đất</t>
  </si>
  <si>
    <t>5.Thu khác ngân sách</t>
  </si>
  <si>
    <t>6. Thu từ quỹ đất công ích và đất công</t>
  </si>
  <si>
    <t>Biểu số 41 - NĐ 31/2017/NĐ-CP</t>
  </si>
  <si>
    <t>Biểu số 42 - NĐ 31/2017/NĐ-CP</t>
  </si>
  <si>
    <t xml:space="preserve">So sánh </t>
  </si>
  <si>
    <t>Biểu số 15 - NĐ 31/2017/NĐ-CP</t>
  </si>
  <si>
    <t>Sự nghiệp kinh tế</t>
  </si>
  <si>
    <t>Trung tâm GDNN-GDTX</t>
  </si>
  <si>
    <t>Chi nộp trả ngân sách cấp trên</t>
  </si>
  <si>
    <t>Thu ngân sách trung ương, tỉnh hưởng</t>
  </si>
  <si>
    <t>Tổng chi ngân sách địa phương</t>
  </si>
  <si>
    <t>Bổ sung để thực hiện CCTL</t>
  </si>
  <si>
    <t>Trung tâm dịch vụ nông nghiệp</t>
  </si>
  <si>
    <t>Trung tâm văn hóa - TT - TH</t>
  </si>
  <si>
    <t>7=2+6</t>
  </si>
  <si>
    <t>Sự nghiệp Giáo dục - Đào tạo và dạy nghề</t>
  </si>
  <si>
    <t>1=2+15</t>
  </si>
  <si>
    <t>Ngân sách địa phương</t>
  </si>
  <si>
    <t>Tổng số</t>
  </si>
  <si>
    <t>Thu từ dầu thô</t>
  </si>
  <si>
    <t>Thu từ hoạt động XNK</t>
  </si>
  <si>
    <t>Thu từ dầu thô</t>
  </si>
  <si>
    <t>Thu từ hoạt động XNK</t>
  </si>
  <si>
    <t>9=5/1</t>
  </si>
  <si>
    <t>10=6/2</t>
  </si>
  <si>
    <t>11=7/3</t>
  </si>
  <si>
    <t>12=8/4</t>
  </si>
  <si>
    <t>Biểu số 31 - NĐ 31/2017/NĐ-CP</t>
  </si>
  <si>
    <t xml:space="preserve">               (2) Thu NSNN trên địa bàn huyện, xã không có thu từ dầu thô, thu từ hoạt động xuất, nhập khẩu. Các chỉ tiêu cột 3, 4, 7, 8 chỉ ghi dòng tổng số.</t>
  </si>
  <si>
    <t>Tên đơn vị</t>
  </si>
  <si>
    <t>Tên đơn vị (1)</t>
  </si>
  <si>
    <t>Vốn trong nước</t>
  </si>
  <si>
    <t>Vốn ngoài nước</t>
  </si>
  <si>
    <t>4=5+6</t>
  </si>
  <si>
    <t>7=8+9</t>
  </si>
  <si>
    <t>Biểu số 44 - NĐ 31/2017/NĐ-CP</t>
  </si>
  <si>
    <t>Đơn vị: triệu đồng</t>
  </si>
  <si>
    <t>Tên Quỹ</t>
  </si>
  <si>
    <t>Tổng nguồn vốn phát sinh trong năm</t>
  </si>
  <si>
    <t>Tổng sử dụng nguồn vốn trong năm</t>
  </si>
  <si>
    <t>Trong đó: Hỗ trợ từ NSĐP</t>
  </si>
  <si>
    <t>Cộng</t>
  </si>
  <si>
    <t>Quỹ khuyến học</t>
  </si>
  <si>
    <t>Quỹ phòng chống thiên tai</t>
  </si>
  <si>
    <t>Quỹ Đền ơn đáp nghĩa</t>
  </si>
  <si>
    <t>Quỹ Bảo trợ trẻ em</t>
  </si>
  <si>
    <t>Quỹ vì người nghèo</t>
  </si>
  <si>
    <t>Quỹ hỗ trợ nông dân</t>
  </si>
  <si>
    <t xml:space="preserve">Quỹ cứu trợ </t>
  </si>
  <si>
    <t>Chênh lệch nguồn trong năm</t>
  </si>
  <si>
    <t>5=2-4</t>
  </si>
  <si>
    <t>6=1+2-4</t>
  </si>
  <si>
    <t>10=7-9</t>
  </si>
  <si>
    <t>11=6+7-9</t>
  </si>
  <si>
    <t>Biểu số 45 - NĐ 31/2017/NĐ-CP</t>
  </si>
  <si>
    <t>Đơn vị: Triệu đồng</t>
  </si>
  <si>
    <t>Sự nghiệp đào tạo và dạy nghề</t>
  </si>
  <si>
    <t>Trung tâm văn hóa - truyền thanh - truyền hình</t>
  </si>
  <si>
    <t>Sự nghiệp phát thanh truyền hình</t>
  </si>
  <si>
    <t>Nhà khách HĐND-UBND</t>
  </si>
  <si>
    <t>Biểu số 47 - NĐ 31/2017/NĐ-CP</t>
  </si>
  <si>
    <t>3=2/1</t>
  </si>
  <si>
    <t>Thu từ kinh tế quốc doanh</t>
  </si>
  <si>
    <t>Thuế GTGT</t>
  </si>
  <si>
    <t>Thu tiền cấp quyền khai thác khoáng sản, tài nguyên nước</t>
  </si>
  <si>
    <t xml:space="preserve"> - Cơ quan Trung ương cấp phép</t>
  </si>
  <si>
    <t xml:space="preserve"> Trong đó: + Trung ương hưởng (70%)</t>
  </si>
  <si>
    <t xml:space="preserve">                  + Địa phương hưởng (30%)</t>
  </si>
  <si>
    <t xml:space="preserve"> - Cơ quan địa phương cấp phép</t>
  </si>
  <si>
    <t>Xã Quài Tở</t>
  </si>
  <si>
    <t>Xã Mường Thín</t>
  </si>
  <si>
    <t>Xã Chiềng Sinh</t>
  </si>
  <si>
    <t>Xã Quài Cang</t>
  </si>
  <si>
    <t>Xã Mùn Chung</t>
  </si>
  <si>
    <t>Xã Mường Mùn</t>
  </si>
  <si>
    <t>Xã Phình Sáng</t>
  </si>
  <si>
    <t>Xã Chiềng Đông</t>
  </si>
  <si>
    <t>Xã Mường Khong</t>
  </si>
  <si>
    <t>Xã Rạng Đông</t>
  </si>
  <si>
    <t>Xã Nà Tòng</t>
  </si>
  <si>
    <t>Xã Ta Ma</t>
  </si>
  <si>
    <t>Xã Tỏa Tình</t>
  </si>
  <si>
    <t>Xã Pú Xi</t>
  </si>
  <si>
    <t>Xã Tênh Phông</t>
  </si>
  <si>
    <t>Xã Pú Nhung</t>
  </si>
  <si>
    <t>Xã Quài Nưa</t>
  </si>
  <si>
    <t>Xã Nà Sáy</t>
  </si>
  <si>
    <t>Chương trình MTQG Phát triển KT-XH vùng đồng bào dân tộc thiểu số và miền núi</t>
  </si>
  <si>
    <t>Chương trình MTQG Giảm nghèo bền vững</t>
  </si>
  <si>
    <t>Chương trình MTQG xây dựng Nông thôn mới</t>
  </si>
  <si>
    <t>Chương trình mục tiêu phát triển lâm nghiệp bền vững</t>
  </si>
  <si>
    <t>10=11+12</t>
  </si>
  <si>
    <t>13=14+15</t>
  </si>
  <si>
    <t>Chi giáo dục - đào tạo và dạy nghề</t>
  </si>
  <si>
    <t>Chi Hoạt động của các cơ quan QLHC, tổ chức chính trị</t>
  </si>
  <si>
    <t>Đầu tư XDCB vốn trong nước</t>
  </si>
  <si>
    <t>Đầu tư từ nguồn thu tiền sử dụng đất</t>
  </si>
  <si>
    <t>Hoạt động của các cơ quan quản lý hành chính, tổ chức CT</t>
  </si>
  <si>
    <t>Tiết kiệm 10% chi thường xuyên để thực hiện CCTL</t>
  </si>
  <si>
    <t>Chương trình MT tái cơ cấu kinh tế nông nghiệp và phòng chống giảm nhẹ thiên tai, ổn định đời sống dân cư</t>
  </si>
  <si>
    <t>Kinh phí thực hiện nhiệm vụ  đảm bảo trật tự an toàn giao thông</t>
  </si>
  <si>
    <t>Thu từ ngân sách cấp dưới nộp lên</t>
  </si>
  <si>
    <t>C</t>
  </si>
  <si>
    <t xml:space="preserve">CHI CHUYỂN NGUỒN SANG NĂM SAU </t>
  </si>
  <si>
    <t xml:space="preserve"> - Vốn đầu tư</t>
  </si>
  <si>
    <t xml:space="preserve"> - Vốn sự nghiệp</t>
  </si>
  <si>
    <t>Trung tâm chính trị</t>
  </si>
  <si>
    <t>Chi các hoạt động kinh tế khác</t>
  </si>
  <si>
    <t>Chi phát thanh, truyền hình</t>
  </si>
  <si>
    <t>Phòng Nông nghiệp và PTNT</t>
  </si>
  <si>
    <t>Phòng Tài chính - Kế hoạch</t>
  </si>
  <si>
    <t>Phòng Tài nguyên và MT</t>
  </si>
  <si>
    <t>Phòng Lao động thương binh và xã hội</t>
  </si>
  <si>
    <t>Phòng Văn hóa và Thông tin</t>
  </si>
  <si>
    <t>Phòng Giáo dục và Đào tạo</t>
  </si>
  <si>
    <r>
      <t>Ghi chú: </t>
    </r>
    <r>
      <rPr>
        <sz val="10"/>
        <rFont val="Times New Roman"/>
        <family val="1"/>
      </rPr>
      <t>(1) Thu ngân sách nhà nước trên địa bàn tỉnh chi tiết đến từng huyện; thu ngân sách nhà nước trên địa bàn huyện chi tiết đến từng xã.</t>
    </r>
  </si>
  <si>
    <r>
      <t>Ghi chú: </t>
    </r>
    <r>
      <rPr>
        <i/>
        <sz val="10"/>
        <rFont val="Times New Roman"/>
        <family val="1"/>
      </rPr>
      <t>(1) Chi bổ sung có mục tiêu từ ngân sách tỉnh chi tiết đến từng huyện; Chi bổ sung có mục tiêu từ ngân sách huyện chi tiết đến từng xã.</t>
    </r>
  </si>
  <si>
    <r>
      <t xml:space="preserve">Chi đầu tư từ nguồn thu XSKT </t>
    </r>
    <r>
      <rPr>
        <sz val="11"/>
        <rFont val="Times New Roman"/>
        <family val="1"/>
      </rPr>
      <t>(nếu có)</t>
    </r>
  </si>
  <si>
    <t>Quỹ hoạt động chữ thập đỏ</t>
  </si>
  <si>
    <t>Số dư nguồn đến ngày 31/12/
2024</t>
  </si>
  <si>
    <t>Dự toán năm 2024</t>
  </si>
  <si>
    <t>Thu ngân sách huyện hưởng</t>
  </si>
  <si>
    <t>Thuế tiêu thụ đặc biệt</t>
  </si>
  <si>
    <t xml:space="preserve">         - Phí BVMT đối với nước thải</t>
  </si>
  <si>
    <t>Phòng Lao động TBXH</t>
  </si>
  <si>
    <t>Hội phụ nữ</t>
  </si>
  <si>
    <t>Ban QLDA các công trình</t>
  </si>
  <si>
    <t>Trung tâm dịch vụ NN</t>
  </si>
  <si>
    <t>TỔNG CHI NGÂN SÁCH CẤP HUYỆN</t>
  </si>
  <si>
    <t>CHI NGÂN SÁCH CẤP HUYỆN</t>
  </si>
  <si>
    <r>
      <t>Chi đầu tư phát triển</t>
    </r>
    <r>
      <rPr>
        <sz val="11"/>
        <rFont val="Times New Roman"/>
        <family val="1"/>
      </rPr>
      <t xml:space="preserve"> (Không kể chương trình MTQG)</t>
    </r>
  </si>
  <si>
    <r>
      <t>Chi thường xuyên</t>
    </r>
    <r>
      <rPr>
        <sz val="11"/>
        <rFont val="Times New Roman"/>
        <family val="1"/>
      </rPr>
      <t xml:space="preserve"> (Không kể chương trình MTQG)</t>
    </r>
  </si>
  <si>
    <t>B.1</t>
  </si>
  <si>
    <t>B.2</t>
  </si>
  <si>
    <t>Các cơ quan, đơn vị của huyện</t>
  </si>
  <si>
    <t>Hỗ trợ các tổ chức xã hội</t>
  </si>
  <si>
    <t>Hội người cao tuổi</t>
  </si>
  <si>
    <t>Hội chữ thập đỏ</t>
  </si>
  <si>
    <t>Hội Cựu thanh niên xung phong</t>
  </si>
  <si>
    <t>Chi khác</t>
  </si>
  <si>
    <t>Vốn đầu tư các Chương trình MTQG</t>
  </si>
  <si>
    <t>Chi cân đối</t>
  </si>
  <si>
    <t xml:space="preserve">         - Phí BVMT khai thác khoáng sản</t>
  </si>
  <si>
    <t>Tr.đó: - Phí, lệ phí trung ương hưởng</t>
  </si>
  <si>
    <t>Biểu số 01</t>
  </si>
  <si>
    <t xml:space="preserve">Đơn vị tính: Triệu đồng </t>
  </si>
  <si>
    <t>So sánh %</t>
  </si>
  <si>
    <t>7=4/2</t>
  </si>
  <si>
    <t>THU NSNN TRÊN ĐỊA BÀN</t>
  </si>
  <si>
    <t>Thu từ khu vực CTN - ngoài quốc doanh</t>
  </si>
  <si>
    <t>Thu cấp quyền khai thác khoáng sản, tài nguyên nước</t>
  </si>
  <si>
    <t>Phí và lệ phí</t>
  </si>
  <si>
    <t>Thu tiền thuê mặt đất, mặt nước</t>
  </si>
  <si>
    <t>Thu từ quỹ đất công ích và thu hoa lợi công sản khác</t>
  </si>
  <si>
    <t xml:space="preserve"> - Ngân sách TW, NS tỉnh hưởng</t>
  </si>
  <si>
    <t xml:space="preserve"> - Ngân sách huyện hưởng</t>
  </si>
  <si>
    <t>TỔNG THU NGÂN SÁCH ĐỊA PHƯƠNG</t>
  </si>
  <si>
    <t xml:space="preserve"> - Bổ sung cân đối</t>
  </si>
  <si>
    <t xml:space="preserve"> - Bổ sung có mục tiêu</t>
  </si>
  <si>
    <t>Thu chuyển nguồn</t>
  </si>
  <si>
    <t>Biểu số 02</t>
  </si>
  <si>
    <t>Cộng DT</t>
  </si>
  <si>
    <t>TỔNG CHI NGÂN SÁCH ĐỊA PHƯƠNG</t>
  </si>
  <si>
    <t xml:space="preserve">CHI CÂN ĐỐI NGÂN SÁCH  </t>
  </si>
  <si>
    <t>Chi đầu tư từ XDCB vốn trong nước</t>
  </si>
  <si>
    <t>Chi đầu tư từ hoạt động xổ số kiến thiết</t>
  </si>
  <si>
    <t xml:space="preserve">Chi Quốc phòng </t>
  </si>
  <si>
    <t>Chi An ninh</t>
  </si>
  <si>
    <t>Chi SN giáo dục-ĐT &amp; dạy nghề</t>
  </si>
  <si>
    <t>3.1</t>
  </si>
  <si>
    <t>Sự nghiệp giáo dục</t>
  </si>
  <si>
    <t>Trong đó:</t>
  </si>
  <si>
    <t xml:space="preserve"> - HT theo NĐ 105/2020/NĐ-CP</t>
  </si>
  <si>
    <t xml:space="preserve"> - HT theo NĐ 81/2021/NĐ-CP</t>
  </si>
  <si>
    <t xml:space="preserve"> - HT học sinh bán trú theo NĐ 116/2016/NĐ-CP</t>
  </si>
  <si>
    <t xml:space="preserve"> - HT HS dân tộc rất ít người theo NĐ 57/2017/NĐ-CP</t>
  </si>
  <si>
    <t xml:space="preserve"> - HT học sinh khuyết tật theo TTLT 42/2013/TTTL-BGDĐT-BLĐTBXH-BTC</t>
  </si>
  <si>
    <t>3.2</t>
  </si>
  <si>
    <t xml:space="preserve"> - Đào tạo nghề cho lao động nông thôn</t>
  </si>
  <si>
    <t>Chi SN khoa học và công nghệ</t>
  </si>
  <si>
    <t>Chi sự nghiệp y tế</t>
  </si>
  <si>
    <t>Chi SN văn hóa -Thông tin</t>
  </si>
  <si>
    <t>Chi SN phát thanh - truyền hình</t>
  </si>
  <si>
    <t>Chi SN thể dục- thể thao</t>
  </si>
  <si>
    <t>Chi SN môi trường</t>
  </si>
  <si>
    <t>Chi SN kinh tế</t>
  </si>
  <si>
    <t xml:space="preserve"> - Hỗ trợ đất trồng lúa theo NĐ số 35/2015/NĐ-CP</t>
  </si>
  <si>
    <t xml:space="preserve"> - Miễn thu thủy lợi phí</t>
  </si>
  <si>
    <t xml:space="preserve"> - 10% thu tiền sử dụng đất, tiền thuê đất thực hiện công tác đo đạc, đăng ký đất đai, lập cơ sở dữ liệu hồ sơ địa chính và cấp GCNQSD đất </t>
  </si>
  <si>
    <t xml:space="preserve"> -  Quy hoạch sử dụng đất giai đoạn 2021-2030 và kế hoạch sử dụng đất năm 2023 </t>
  </si>
  <si>
    <t xml:space="preserve"> - Kinh phí giao đất, giao rừng, cấp giấy chứng nhận quyền sử dụng đất lâm nghiệp</t>
  </si>
  <si>
    <t xml:space="preserve"> - Chính sách phát triển cây Mắc ca theo hợp đồng liên kết sản xuất</t>
  </si>
  <si>
    <t xml:space="preserve"> - Quỹ hỗ trợ Nông dân</t>
  </si>
  <si>
    <t xml:space="preserve"> - Vốn ủy thác cho vay đối với người nghèo và các đối tượng chính sách khác</t>
  </si>
  <si>
    <t xml:space="preserve"> - Đối ứng vốn sự nghiệp CTMTQG (NS tỉnh)</t>
  </si>
  <si>
    <t xml:space="preserve"> - Đối ứng vốn sự nghiệp CTMTQG (NS huyện)</t>
  </si>
  <si>
    <t xml:space="preserve">Chi quản lý hành chính, Đảng, Đoàn thể </t>
  </si>
  <si>
    <t xml:space="preserve"> Trong đó:</t>
  </si>
  <si>
    <t xml:space="preserve"> - Chính sách BTXH theo NĐ 20/2021/NĐ-CP</t>
  </si>
  <si>
    <t xml:space="preserve"> - Hỗ trợ hộ nghèo tiền điện</t>
  </si>
  <si>
    <t xml:space="preserve"> - Chính sách đối với người có uy tín</t>
  </si>
  <si>
    <t>Chi khác ngân sách</t>
  </si>
  <si>
    <t xml:space="preserve"> - HT đại hội Công đoàn huyện nhiệm kỳ 2023-2028</t>
  </si>
  <si>
    <t xml:space="preserve"> - Tiết kiệm 10% để thực hiện CCTL </t>
  </si>
  <si>
    <t>CHƯƠNG TRÌNH MỤC TIÊU QUỐC GIA</t>
  </si>
  <si>
    <t>B1</t>
  </si>
  <si>
    <t>Chi các CTMTQG giai đoạn 2016-2020</t>
  </si>
  <si>
    <t>CTMTQG giảm nghèo bền vững</t>
  </si>
  <si>
    <t>Dự án 1: Chương trình 30a</t>
  </si>
  <si>
    <t xml:space="preserve"> - Tiểu dự án 1: Hỗ trợ đầu tư cơ sở hạ tầng các huyện nghèo</t>
  </si>
  <si>
    <t xml:space="preserve"> +  Hỗ trợ đầu tư cơ sở hạ tầng các huyện nghèo (nhóm 2- theo Quyết định 293, Quyết định 275)</t>
  </si>
  <si>
    <t xml:space="preserve"> +  Duy tu bảo dưỡng cơ sở hạ tầng</t>
  </si>
  <si>
    <t xml:space="preserve"> - Tiểu dự án 4: Hỗ trợ lao động thuộc hộ nghèo, hộ cận nghèo, hộ đồng bào DTTS đi làm việc có thời hạn ở nước ngoài</t>
  </si>
  <si>
    <t>Dự án 2: Chương trình 135</t>
  </si>
  <si>
    <t xml:space="preserve"> - Tiểu dự án 1: Hỗ trợ đầu tư cơ sở hạ tầng cho các xã ĐBKK, xã biên giới; các thôn, bản ĐBKK</t>
  </si>
  <si>
    <t xml:space="preserve"> + Hỗ trợ đầu tư cơ sở hạ tầng cho các xã ĐBKK, xã biên giới; các thôn, bản ĐBKK (Vốn trong nước)</t>
  </si>
  <si>
    <t xml:space="preserve"> + Hỗ trợ đầu tư cơ sở hạ tầng cho các xã ĐBKK, xã biên giới; các thôn, bản ĐBKK (Vốn nước ngoài)</t>
  </si>
  <si>
    <t>Dự án 5: Nâng cao năng lực và giám sát, đánh giá thực hiện Chương trình</t>
  </si>
  <si>
    <t xml:space="preserve"> - Hoạt động giám sát đánh giá</t>
  </si>
  <si>
    <t>Chương trình MTQG XD nông thôn mới</t>
  </si>
  <si>
    <t xml:space="preserve">Vốn đầu tư </t>
  </si>
  <si>
    <t xml:space="preserve"> - Vốn trong nước</t>
  </si>
  <si>
    <t xml:space="preserve"> - Vốn nước ngoài</t>
  </si>
  <si>
    <t xml:space="preserve"> - Hỗ trợ trực tiếp cho các xã </t>
  </si>
  <si>
    <t xml:space="preserve"> - Hỗ trợ thực hiện Đề án OCOP</t>
  </si>
  <si>
    <t>B2</t>
  </si>
  <si>
    <t>Chương trình MTQG giai đoạn 2021-2025</t>
  </si>
  <si>
    <t>Dự án 1: Giải quyết tình trạng thiếu đất ở, nhà ở, đất sản xuất và nước sinh hoạt</t>
  </si>
  <si>
    <t>Hỗ trợ chuyển đổi nghề (sự nghiệp kinh tế)</t>
  </si>
  <si>
    <t>Hỗ trợ nước sinh hoạt phân tán (sự nghiệp kinh tế)</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</si>
  <si>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</si>
  <si>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 (sự nghiệp kinh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</si>
  <si>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</si>
  <si>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</si>
  <si>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</si>
  <si>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Dự án 6: Bảo tồn, phát huy giá trị văn hóa truyền thống tốt đẹp của các dân tộc thiểu số gắn với phát triển du lịch (sự nghiệp văn hóa thông tin)</t>
  </si>
  <si>
    <t>Dự án 8: Thực hiện bình đẳng và giải quyết những vấn đề cấp thiết đối với phụ nữ và trẻ em (đảm bảo xã hội)</t>
  </si>
  <si>
    <t xml:space="preserve">Dự án 9: Đầu tư phát triển nhóm dân tộc thiểu số rất ít người và nhóm dân tộc còn nhiều khó khăn </t>
  </si>
  <si>
    <t>Tiểu dự án 1: Đầu tư tạo sinh kế bền vững, phát triển kinh tế - xã hội nhóm dân tộc thiểu số còn nhiều khó khăn, có khó khăn đặc thù</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</si>
  <si>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</si>
  <si>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</si>
  <si>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</si>
  <si>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</si>
  <si>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</si>
  <si>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Dự án 1: Hỗ trợ đầu tư phát triển hạ tầng kinh tế - xã hội các huyện nghèo</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</si>
  <si>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</si>
  <si>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</si>
  <si>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</si>
  <si>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</si>
  <si>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</si>
  <si>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t>
  </si>
  <si>
    <t>Hỗ trợ cơ quan quản lý và các cơ sở giáo dục nghề nghiệp công lập</t>
  </si>
  <si>
    <t>Hỗ trợ địa phương đào tạo nghề cho người lao động</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</si>
  <si>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</si>
  <si>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</si>
  <si>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</si>
  <si>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</si>
  <si>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Dự án 7: Nâng cao năng lực và giám sát, đánh giá Chương trình</t>
  </si>
  <si>
    <t>*</t>
  </si>
  <si>
    <t>D</t>
  </si>
  <si>
    <t>CHI NỘP TRẢ NGÂN SÁCH CẤP TRÊN</t>
  </si>
  <si>
    <t>E</t>
  </si>
  <si>
    <t>CHI CHUYỂN NGUỒN</t>
  </si>
  <si>
    <t>Đơn vị tính: Triệu đồng</t>
  </si>
  <si>
    <t xml:space="preserve">NỘI DUNG </t>
  </si>
  <si>
    <t>Tổng cộng</t>
  </si>
  <si>
    <t xml:space="preserve"> Ngân sách cấp huyện</t>
  </si>
  <si>
    <t>Khối Đoàn thể</t>
  </si>
  <si>
    <t>VP HĐND và
UBND</t>
  </si>
  <si>
    <t>Phòng nông nghiệp</t>
  </si>
  <si>
    <t>Phòng tư pháp</t>
  </si>
  <si>
    <t>Phòng Kinh tế và HT</t>
  </si>
  <si>
    <t>Phòng  y tế</t>
  </si>
  <si>
    <t>Phòng nội vụ</t>
  </si>
  <si>
    <t>Phòng LĐTB-XH</t>
  </si>
  <si>
    <t>Phòng dân tộc</t>
  </si>
  <si>
    <t>Phòng văn hóa-TT</t>
  </si>
  <si>
    <t>Trung tâm VH-TT-TH</t>
  </si>
  <si>
    <t>Công an</t>
  </si>
  <si>
    <t>Ban chỉ huy QS</t>
  </si>
  <si>
    <t>Dự phòng và khác</t>
  </si>
  <si>
    <t xml:space="preserve">Ngân sách xã </t>
  </si>
  <si>
    <t xml:space="preserve">C=D+E </t>
  </si>
  <si>
    <t xml:space="preserve"> TỔNG CHI NGÂN SÁCH HUYỆN</t>
  </si>
  <si>
    <t>CHI CÂN ĐỐI</t>
  </si>
  <si>
    <t>Chi đầu tư XDCB vốn trong nước</t>
  </si>
  <si>
    <t>Chi SN giáo dục-ĐT và dạy nghề</t>
  </si>
  <si>
    <t xml:space="preserve"> Trong đó: - Hỗ trợ theo Nghị định 105/2020/NĐ-CP</t>
  </si>
  <si>
    <t xml:space="preserve"> - Nghị định 81/2021/NĐ-CP</t>
  </si>
  <si>
    <t xml:space="preserve"> + Chi phí học tập</t>
  </si>
  <si>
    <t xml:space="preserve"> + Miễn giảm học phí</t>
  </si>
  <si>
    <t xml:space="preserve"> - Hỗ trợ học sinh bán trú, trường PTDT bán trú theo Nghị định 116/2016/NĐ-CP</t>
  </si>
  <si>
    <t xml:space="preserve"> - Hỗ trợ học sinh dân tộc rất ít người theo Nghị định 57/2017/NĐ-CP</t>
  </si>
  <si>
    <t xml:space="preserve"> - Chính sách giáo dục với người  khuyết tật</t>
  </si>
  <si>
    <t xml:space="preserve"> - Kinh phí khen thưởng</t>
  </si>
  <si>
    <t>Trong đó: - Nghị định 81/2021/NĐ-CP</t>
  </si>
  <si>
    <t>10.1</t>
  </si>
  <si>
    <t>SN nông nghiệp</t>
  </si>
  <si>
    <t xml:space="preserve">                - Hỗ trợ phát triển đất trồng lúa</t>
  </si>
  <si>
    <t>10.2</t>
  </si>
  <si>
    <t xml:space="preserve">SN giao thông </t>
  </si>
  <si>
    <t>10.3</t>
  </si>
  <si>
    <t>SN thủy lợi</t>
  </si>
  <si>
    <t>10.4</t>
  </si>
  <si>
    <t>SN kinh tế khác</t>
  </si>
  <si>
    <t xml:space="preserve"> - Kinh phí đo đạc, đăng ký đất đai, lập cơ sở dữ liệu hồ sơ địa chính và cấp GCNQSD đất (Từ 10% thu tiền sử dụng đất, tiền thuê đất)</t>
  </si>
  <si>
    <t xml:space="preserve"> - Phòng giao dịch ngân hàng chính sách xã hội huyện (Vốn nhận ủy thác tại địa phương)</t>
  </si>
  <si>
    <t>Chi quản lý hành chính, Đảng, Đoàn thể, hỗ trợ các hội</t>
  </si>
  <si>
    <t>11.1</t>
  </si>
  <si>
    <t>Quản lý nhà nước</t>
  </si>
  <si>
    <t>Trong đó: - Kinh phí khen thưởng</t>
  </si>
  <si>
    <t>11.2</t>
  </si>
  <si>
    <t xml:space="preserve"> Đảng</t>
  </si>
  <si>
    <t>11.3</t>
  </si>
  <si>
    <t xml:space="preserve"> Đoàn thể</t>
  </si>
  <si>
    <t xml:space="preserve"> - Mặt trận tổ quốc</t>
  </si>
  <si>
    <t xml:space="preserve"> - Huyện đoàn</t>
  </si>
  <si>
    <t xml:space="preserve"> - Hội Phụ nữ</t>
  </si>
  <si>
    <t xml:space="preserve"> - Hội Nông dân</t>
  </si>
  <si>
    <t xml:space="preserve"> - Hội Cựu chiến binh</t>
  </si>
  <si>
    <t>11.4</t>
  </si>
  <si>
    <t>Hỗ trợ các hội</t>
  </si>
  <si>
    <t xml:space="preserve"> - Hội Cựu thanh niên xung phong</t>
  </si>
  <si>
    <t xml:space="preserve"> - Hội người cao tuổi</t>
  </si>
  <si>
    <t xml:space="preserve"> - Hội chữ thập đỏ</t>
  </si>
  <si>
    <t xml:space="preserve"> - Hỗ trợ Hội văn học nghệ thuật</t>
  </si>
  <si>
    <t xml:space="preserve"> - Hỗ trợ Hội cựu giáo chức</t>
  </si>
  <si>
    <t xml:space="preserve"> - Chính sách đối với người có uy tín theo QĐ 12/2018/QĐ-TTg</t>
  </si>
  <si>
    <t xml:space="preserve"> - Các hoạt động TX của ĐBXH</t>
  </si>
  <si>
    <t>Chương trình mục tiêu quốc gia</t>
  </si>
  <si>
    <t>Chương trình MTQG phát triển KT-XH vùng đồng bào dân tộc thiểu số và miền núi</t>
  </si>
  <si>
    <t>1.1</t>
  </si>
  <si>
    <t>1.2</t>
  </si>
  <si>
    <t>Tiểu dự án 2: Bồi dưỡng kiến thức dân tộc, đào tạo dự bị đại học, đại học và sau đại học đáp ứng nhu cầu nhân lực cho vùng đồng bào DTTS&amp;MN (sự nghiệp giáo dục - đào tạo và dạy nghề)</t>
  </si>
  <si>
    <t>Tiểu dự án 3: Dự án phát triển giáo dục nghề nghiệp và giải quyết việc làm cho người lao động vùng DTTS&amp;MN (sự nghiệp giáo dục - đào tạo và dạy nghề)</t>
  </si>
  <si>
    <t>2.1</t>
  </si>
  <si>
    <t>2.2</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</si>
  <si>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</si>
  <si>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</si>
  <si>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Tiểu dự án 1: Phát triển giáo dục nghề nghiệp vùng nghèo, vùng khó khăn (sự nghiệp giáo dục - đào tạo và dạy nghề)</t>
  </si>
  <si>
    <t>Tiểu dự án 1: Giảm nghèo về thông tin (sự nghiệp văn hóa thông tin)</t>
  </si>
  <si>
    <t>Tiểu dự án 2: Truyền thông về giảm nghèo đa chiều  (sự nghiệp văn hóa thông tin)</t>
  </si>
  <si>
    <t>Tiểu dự án 1: Nâng cao năng lực thực hiện Chương trình  (sự nghiệp giáo dục - đào tạo và dạy nghề)</t>
  </si>
  <si>
    <t>Tiểu dự án 2: Giám sát, đánh giá  (sự nghiệp giáo dục - đào tạo và dạy nghề)</t>
  </si>
  <si>
    <t>Nội dung thành phần số 01</t>
  </si>
  <si>
    <t>Nội dung 01: Rà soát, điều chỉnh, lập mới (trong trường hợp quy hoạch đã hết thời hạn) và triển khai, thực hiện quy hoạch chung xây dựng xã gắn với quá trình công nghiệp hoá, đô thị hoá theo quy định pháp luật về quy hoạch, phù hợp với định hướng phát triển kinh tế - xã hội của địa phương, trong đó có quy hoạch khu vực hỗ trợ phát triển kinh tế nông thôn</t>
  </si>
  <si>
    <t>Nội dung thành phần số 03</t>
  </si>
  <si>
    <t>Nội dung 04: Triển khai Chương trình mỗi xã một sản phẩm (OCOP) gắn với lợi thế vùng miền</t>
  </si>
  <si>
    <t>Nội dung 08: Thực hiện hiệu quả Chương trình phát triển du lịch nông thôn trong xây dựng nông thôn mới</t>
  </si>
  <si>
    <t>Nội dung thành phần số 07</t>
  </si>
  <si>
    <t>Nội dung 05: Giữ gìn và khôi phục cảnh quan truyền thống của nông thôn Việt Nam;tập trung phát triển các mô hình thôn, xóm sáng, xanh, sạch, đẹp, an toàn; khu dân cư kiểu mẫu</t>
  </si>
  <si>
    <t>Nội dung thành phần số 11</t>
  </si>
  <si>
    <t>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 (2)</t>
  </si>
  <si>
    <t>Bổ sung có mục tiêu (kinh phí sự nghiệp)</t>
  </si>
  <si>
    <t>Khoanh nuôi xúc tiến tái sinh rừng</t>
  </si>
  <si>
    <t>Biểu số 03</t>
  </si>
  <si>
    <t>NỘI DUNG</t>
  </si>
  <si>
    <t>THU NGÂN SÁCH XÃ, THỊ TRẤN</t>
  </si>
  <si>
    <t>THU NỘI ĐỊA</t>
  </si>
  <si>
    <t>1</t>
  </si>
  <si>
    <t>2</t>
  </si>
  <si>
    <t>3</t>
  </si>
  <si>
    <t>4</t>
  </si>
  <si>
    <t>5</t>
  </si>
  <si>
    <t>6</t>
  </si>
  <si>
    <t>THU BỔ SUNG TỪ NGÂN SÁCH HUYỆN</t>
  </si>
  <si>
    <t>TỔNG CHI NGÂN SÁCH XÃ, THỊ TRẤN</t>
  </si>
  <si>
    <t xml:space="preserve">I </t>
  </si>
  <si>
    <t>CHI ĐẦU TƯ</t>
  </si>
  <si>
    <t>CHI THƯỜNG XUYÊN</t>
  </si>
  <si>
    <t>An ninh</t>
  </si>
  <si>
    <t xml:space="preserve">Sự nghiệp GD,ĐT &amp; dạy nghề </t>
  </si>
  <si>
    <t>Sự nghiệp văn hóa - thông tin</t>
  </si>
  <si>
    <t>Trong đó: Hỗ trợ hoạt động cho đội văn nghệ quần chúng (Theo Nghị quyết 05/2023/NQ-HĐND ngày 14/7/2023)</t>
  </si>
  <si>
    <t>Quản lý hành chính, đảng, đoàn thể</t>
  </si>
  <si>
    <t xml:space="preserve"> - Khoán kinh phí hoạt động các tổ chức chính trị xã hội</t>
  </si>
  <si>
    <t>Chi lương hưu và ĐBXH</t>
  </si>
  <si>
    <t>DỰ PHÒNG NGÂN SÁCH</t>
  </si>
  <si>
    <t>Dự án 5: Hỗ trợ nhà ở cho hộ nghèo, hộ cận nghèo trên địa bàn các huyện nghèo</t>
  </si>
  <si>
    <t>Tiểu dự án 2: Bồi dưỡng kiến thức dân tộc, đào tạo dự bị đại học, đại học và sau đại học đáp ứng nhu cầu nhân lực cho vùng đồng bào DTTS&amp;MN (sự nghiệp giáo dục, đào tạo và dạy nghề)</t>
  </si>
  <si>
    <t>Tiểu dự án 3: Dự án phát triển giáo dục nghề nghiệp và giải quyết việc làm cho người lao động vùng DTTS&amp;MN  (sự nghiệp giáo dục, đào tạo và dạy nghề)</t>
  </si>
  <si>
    <t>Tiểu dự án 2: Truyền thông về giảm nghèo đa chiều (sự nghiệp văn hóa thông tin)</t>
  </si>
  <si>
    <t>Tiểu dự án 1: Nâng cao năng lực thực hiện Chương trình (sự nghiệp giáo dục, đào tạo và dạy nghề)</t>
  </si>
  <si>
    <t>Tiểu dự án 2: Giám sát, đánh giá (sự nghiệp giáo dục, đào tạo và dạy nghề)</t>
  </si>
  <si>
    <t xml:space="preserve"> - Khoanh nuôi xúc tiến tái sinh rừng</t>
  </si>
  <si>
    <t>Thị trấn Tuần Giáo</t>
  </si>
  <si>
    <t>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t>
  </si>
  <si>
    <t>Tên công trình</t>
  </si>
  <si>
    <t>Tổng mức đầu tư</t>
  </si>
  <si>
    <t>Lũy kế khối lượng hoàn thành</t>
  </si>
  <si>
    <t xml:space="preserve">Lũy kế vốn đã bố trí </t>
  </si>
  <si>
    <t>KH vốn năm 
2024</t>
  </si>
  <si>
    <t>Ghi chú</t>
  </si>
  <si>
    <t>Các dự án trả nợ sau QT</t>
  </si>
  <si>
    <t>Sự nghiệp giao thông</t>
  </si>
  <si>
    <t>Đường Háng Chua - Nà Đắng</t>
  </si>
  <si>
    <t>Đường bản Lồng - bản Tỏa Tình (giai đoạn II)</t>
  </si>
  <si>
    <t>Nâng cấp đường từ bản Phiêng Pi B - bản Tênh Lá</t>
  </si>
  <si>
    <t>Sửa chữa, nâng cấp đường từ ngã ba Há Dùa đến bản Há Dùa</t>
  </si>
  <si>
    <t>Sửa chữa, nâng cấp ngầm tràn bản Hua Mức 3 và bản Thẩm Táng</t>
  </si>
  <si>
    <t>Nâng cấp đường bản Đứa</t>
  </si>
  <si>
    <t>Nâng cấp đường bản Có</t>
  </si>
  <si>
    <t>Nâng cấp đường vào bản Kể Cải</t>
  </si>
  <si>
    <t>Nâng cấp đường QL279 - bản Pom Sinh</t>
  </si>
  <si>
    <t>Nâng cấp đường bản Lạ</t>
  </si>
  <si>
    <t>Các dự án đã hoàn thành, đang chờ quyết toán</t>
  </si>
  <si>
    <t>Sửa chữa đường Rạng Đông - Ta Ma</t>
  </si>
  <si>
    <t>Sự nghiệp kinh tế khác</t>
  </si>
  <si>
    <t>Sửa chữa hệ thống đèn chiếu sáng khu vực trung tâm thị trấn Tuần Giáo và xã Quài Tở (Trục QL6 và QL279)</t>
  </si>
  <si>
    <t>Sửa chữa nhà khách UBND huyện</t>
  </si>
  <si>
    <t>Các dự án chuyển tiếp sang năm 2024</t>
  </si>
  <si>
    <t>Nâng cấp đường vào bản Hua Ca - Thẳm Pao xã Quài Tở (giai đoạn 1)</t>
  </si>
  <si>
    <t>Sửa chữa đường Mường Thín - Mường Mùn (Giai đoạn 1)</t>
  </si>
  <si>
    <t>Sửa chữa đường Rạng Đông - Ta Ma (giai đoạn II)</t>
  </si>
  <si>
    <t>Đối ứng Vốn Sự nghiệp CTMT GNBV</t>
  </si>
  <si>
    <t>Biểu số 05</t>
  </si>
  <si>
    <r>
      <t>DANH MỤC CÔNG TRÌNH</t>
    </r>
    <r>
      <rPr>
        <b/>
        <sz val="13"/>
        <color indexed="10"/>
        <rFont val="Times New Roman"/>
        <family val="1"/>
        <charset val="163"/>
      </rPr>
      <t xml:space="preserve"> DUY TU</t>
    </r>
    <r>
      <rPr>
        <b/>
        <sz val="13"/>
        <rFont val="Times New Roman"/>
        <family val="1"/>
        <charset val="163"/>
      </rPr>
      <t xml:space="preserve">, SỬA CHỮA TỪ NGUỒN </t>
    </r>
    <r>
      <rPr>
        <b/>
        <sz val="13"/>
        <color indexed="10"/>
        <rFont val="Times New Roman"/>
        <family val="1"/>
        <charset val="163"/>
      </rPr>
      <t>CHI THƯỜNG XUYÊN</t>
    </r>
    <r>
      <rPr>
        <b/>
        <sz val="13"/>
        <rFont val="Times New Roman"/>
        <family val="1"/>
        <charset val="163"/>
      </rPr>
      <t xml:space="preserve"> NĂM 2024</t>
    </r>
  </si>
  <si>
    <t>Địa điểm</t>
  </si>
  <si>
    <t>Hiện trạng</t>
  </si>
  <si>
    <t>Phương án dự kiến xử lý</t>
  </si>
  <si>
    <t>KH vốn giao năm 2024</t>
  </si>
  <si>
    <t>Ghi Chú</t>
  </si>
  <si>
    <t>TỔNG CỘNG</t>
  </si>
  <si>
    <t>Sự nghiệp thủy lợi</t>
  </si>
  <si>
    <t>SC Kênh thủy lợi Mương Khinh, mương hới, Hới nọ, Xuân Ban xã Quài Tở; Sửa chữa thủy lợi bản Mường 1 - xã Mường Mùn</t>
  </si>
  <si>
    <t>Xã Quài Tở+Mường Mùn</t>
  </si>
  <si>
    <t>Kênh đã xuống cấp rò rỉ nước, Tắc ống,  Hỏng van (Quài Tở); Tuyến kênh hư hỏng (Mường Mùn)</t>
  </si>
  <si>
    <t>Làm lại tuyến kênh, Sửa cữa tuyến treo ống, khơi thông ống, Mương.</t>
  </si>
  <si>
    <t>Sữa chữa NSH bản Huổi Anh xã Tênh Phông</t>
  </si>
  <si>
    <t>Đầu mối và tuyến ống đã hư hỏng xuống cấp</t>
  </si>
  <si>
    <t>Cấp nước cho 34 hộ 
Sửa chữa đầu mối, xây dựng bể chứa, trạm lọc thiết bị lọc,tuyến ống dài 4km, trụ vòi đồng hồ cấp nước cho từng hộ</t>
  </si>
  <si>
    <t>Sửa chữa NSH bản Mý Làng A, Mý Làng B, bản Khua Trá xã Phình Sáng</t>
  </si>
  <si>
    <t>Đầu mối và tuyến ống đã hư hỏng xuống cấp không sử dụng được</t>
  </si>
  <si>
    <t>Cấp nước cho 220 hộ ( Mý Làng B 37 hộ; Mý Làng A 85 hộ; Khua Trá 98 hộ)
Sửa chữa đầu mối, xây dựng bể chứa, trạm lọc thiết bị lọc,tuyến ống dài 7km, trụ vòi đồng hồ cấp nước cho từng hộ</t>
  </si>
  <si>
    <t>Sửa chữa NSH bản Đông Liếng, xã Mường Thín</t>
  </si>
  <si>
    <t>Xã mường Thín</t>
  </si>
  <si>
    <t>Cấp nước cho 60 hộ với 380 nhân khẩu
Sửa chữa đầu mối, xây dựng bể chứa, trạm lọc thiết bị lọc,tuyến ống dài 5km, trụ vòi đồng hồ cấp nước cho từng hộ</t>
  </si>
  <si>
    <t>Chi QLNN, Đảng, Đoàn thể</t>
  </si>
  <si>
    <t>Sửa chữa trụ sở huyện ủy</t>
  </si>
  <si>
    <t>Sân cầu, Nhà vệ sinh, một số thiết bị điện hư hỏng, thiếu Ga ra xe máy, tủ tài liệu...</t>
  </si>
  <si>
    <t>SC gara xe máy, sửa chữa sân cầu, sửa chữa, thay mới thiết bị điều hòa + thiết bị điện nước, ốp gỗ tường, Tủ tài liệu…</t>
  </si>
  <si>
    <t>Sự nghiệp Giáo dục</t>
  </si>
  <si>
    <t>Duy tu, sửa chữa Trường PTDTBT Tiểu học Nậm Din</t>
  </si>
  <si>
    <t>Nhà lớp học, nội trú, sân trường, cổng, vệ sinh, phụ trợ điểm trung tâm và các điểm Mý Làng A, B, Háng Chua, Phảng Củ … xuống cấp</t>
  </si>
  <si>
    <t>Cải tạo, sửa chữa tường, nền, cửa, sơn tường, trần, gạch, sân lát gạch Terrazzo, điện, vệ sinh, tường rào, cổng, thoát nước ….</t>
  </si>
  <si>
    <t>Lồng ghép vốn SN giáo dục</t>
  </si>
  <si>
    <t>Duy tu, sửa chữa Trường PTDTBT THCS Ta Ma</t>
  </si>
  <si>
    <t>Nhà lớp học, bộ môn, sân trường, bể nước, vệ sinh, phụ trợ … xuống cấp</t>
  </si>
  <si>
    <t>Cải tạo, sửa chữa tường, nền, cửa, sơn tường, trần, gạch, sân lát gạch Terrazzo, điện, vệ sinh,bể nước, ốp mái tà luy, thoát nước ….</t>
  </si>
  <si>
    <t>Phòng Kinh tế - Hạ tầng</t>
  </si>
  <si>
    <t>Giao thông</t>
  </si>
  <si>
    <t>Sửa chữa đường Tuần Giáo - Tênh Phông</t>
  </si>
  <si>
    <t>Đường nhựa cũ xuống cấp, bong bật, bong tróc, lồi lõm, một số vị trí sạt lở mất nền đường…</t>
  </si>
  <si>
    <t>Thảm bê tông nhựa Carboncor Asphalt, xây dựng hệ thống rãnh thoát nước, kè, đổ lại nền đường…</t>
  </si>
  <si>
    <t>Sửa chữa đường nội bản Thín A</t>
  </si>
  <si>
    <t>Đường bê tông cũ xuống cấp, bong bật, bong tróc, lồi lõm…</t>
  </si>
  <si>
    <t>Thảm bê tông nhựa Carboncor Asphalt hoặc bê tông đá nhựa, xây dựng hệ thống rãnh thoát nước…</t>
  </si>
  <si>
    <t>Sửa chữa đường vào khu tái định cư Phiêng Xanh</t>
  </si>
  <si>
    <t>Thảm bê tông nhựa Carboncor Asphalt, xây dựng hệ thống rãnh thoát nước…</t>
  </si>
  <si>
    <t>Sửa chữa đường nội bản Nong Liếng</t>
  </si>
  <si>
    <t>Đổ lại bê tông hoặc hảm bê tông nhựa Carboncor Asphalt xây dựng hệ thống rãnh thoát nước, kè ốp mái…</t>
  </si>
  <si>
    <t>Sửa chữa đường lên trường Tiểu học + THCS Chiềng Sinh, Điểm trường TH Ban Mai</t>
  </si>
  <si>
    <t>Sửa chữa nước sinh hoạt xã Mùn Chung</t>
  </si>
  <si>
    <t>Hệ thống ống dẫn nước về bể chứa hư hỏng nhiều, hệ thống ống cấp nước đến các hộ gia đình xuống cấp, hệ thống bể hư hỏng…</t>
  </si>
  <si>
    <t>Thay mới hệ thống dẫn nước, cấp nước, sửa chữa hệ thống bể…</t>
  </si>
  <si>
    <t>Sự nhiệp văn hóa</t>
  </si>
  <si>
    <t>Sửa chữa Nhà văn hóa bản Băng Sản</t>
  </si>
  <si>
    <t>Hiện trạng đã xuống cấp, tường bong tróc, sân, sàn lột, bong bật, Hệ thống cửa, mái hỏng, hệ thống điện hỏng…</t>
  </si>
  <si>
    <t>Chát lại tường, sơn tường, láng, ốp lát lại sân sàn, thay mới hệ thống cửa, điện nước, mái…</t>
  </si>
  <si>
    <t>Biểu số 06</t>
  </si>
  <si>
    <r>
      <rPr>
        <b/>
        <sz val="13"/>
        <color indexed="10"/>
        <rFont val="Times New Roman"/>
        <family val="1"/>
      </rPr>
      <t>DANH MỤC CÔNG TRÌNH TỪ NGUỒN</t>
    </r>
    <r>
      <rPr>
        <b/>
        <sz val="13"/>
        <color indexed="8"/>
        <rFont val="Times New Roman"/>
        <family val="1"/>
      </rPr>
      <t xml:space="preserve"> HỖ TRỢ ĐẤT TRỒNG LÚA NĂM 2024</t>
    </r>
  </si>
  <si>
    <t>Số TT</t>
  </si>
  <si>
    <t>Địa điểm xây dựng</t>
  </si>
  <si>
    <t>Kế hoạch vốn 
năm 2024</t>
  </si>
  <si>
    <t>Ban Quản lý dự án các công trình</t>
  </si>
  <si>
    <t>Công trình KCM 2024</t>
  </si>
  <si>
    <t>Đường vào khu sản xuất bản Lồng xã Tỏa Tình</t>
  </si>
  <si>
    <t>Sửa chữa kênh mương bản Ta Lếch, xã Mùn Chung</t>
  </si>
  <si>
    <t>Nâng cấp sửa chữa Thủy lợi Pá Tong 2 xã Nà Tòng</t>
  </si>
  <si>
    <t>Kênh Thủy lợi Nậm Chăn - Ná Lếch xã Chiềng Đông</t>
  </si>
  <si>
    <t>Biểu số 07</t>
  </si>
  <si>
    <t>PHÒNG GIÁO DỤC VÀ ĐÀO TẠO</t>
  </si>
  <si>
    <t>TT</t>
  </si>
  <si>
    <t xml:space="preserve">Địa điểm xây dựng </t>
  </si>
  <si>
    <t>Khối lượng thực hiện từ khởi công</t>
  </si>
  <si>
    <t>Giá trị giải ngân từ khởi công</t>
  </si>
  <si>
    <t>Duy tu, sửa chữa Trường Mầm non Tênh Phông</t>
  </si>
  <si>
    <t>xã Tênh Phông</t>
  </si>
  <si>
    <t>Duy tu, sửa chữa Trường Mầm non Quài Cang</t>
  </si>
  <si>
    <t>Duy tu, sửa chữa Trường Mầm non Rạng Đông</t>
  </si>
  <si>
    <t>Duy tu, sửa chữa Trường Mầm non Sơn Ca</t>
  </si>
  <si>
    <t>Duy tu, sửa chữa Trường Mầm non Pú Nhung</t>
  </si>
  <si>
    <t>Duy tu, sửa chữa Trường Mầm non Tỏa Tình</t>
  </si>
  <si>
    <t>Duy tu, sửa chữa Trường Tiểu học Quài Tở</t>
  </si>
  <si>
    <t>Duy tu, sửa chữa Trường Tiểu học Chiềng Sinh</t>
  </si>
  <si>
    <t>Duy tu, sửa chữa Trường Tiểu học Bình Minh</t>
  </si>
  <si>
    <t>Duy tu, sửa chữa Trường THCS Rạng Đông</t>
  </si>
  <si>
    <t>Tổng thu NSNN</t>
  </si>
  <si>
    <t>Thu NSĐP</t>
  </si>
  <si>
    <t>CHI CÂN ĐỐI NGÂN SÁCH CẤP HUYỆN</t>
  </si>
  <si>
    <t>Bổ sung vốn sự nghiệp thực hiện các chế độ, chính sách</t>
  </si>
  <si>
    <t>Bổ sung vốn sự nghiệp thực hiện các chế độ, chính sách, nhiệm vụ</t>
  </si>
  <si>
    <t>Trong đó: Hỗ trợ phát triển đất trồng lúa</t>
  </si>
  <si>
    <t>Trong đó: - Miễn thu thủy lợi phí</t>
  </si>
  <si>
    <t>Kinh phí thực hiện nhiệm vụ đảm bảo trật tự an toàn giao thông</t>
  </si>
  <si>
    <r>
      <rPr>
        <b/>
        <sz val="13"/>
        <color indexed="10"/>
        <rFont val="Times New Roman"/>
        <family val="1"/>
      </rPr>
      <t xml:space="preserve">DANH MỤC </t>
    </r>
    <r>
      <rPr>
        <b/>
        <sz val="13"/>
        <rFont val="Times New Roman"/>
        <family val="1"/>
      </rPr>
      <t xml:space="preserve">CÁC CÔNG TRÌNH </t>
    </r>
    <r>
      <rPr>
        <b/>
        <sz val="13"/>
        <color indexed="10"/>
        <rFont val="Times New Roman"/>
        <family val="1"/>
      </rPr>
      <t>TRẢ NỢ</t>
    </r>
    <r>
      <rPr>
        <b/>
        <sz val="13"/>
        <rFont val="Times New Roman"/>
        <family val="1"/>
      </rPr>
      <t xml:space="preserve"> SAU QUYẾT TOÁN DỰ ÁN HOÀN THÀNH</t>
    </r>
  </si>
  <si>
    <t>Nâng cấp đường vào bản Co Phát (Giai đoạn 1)</t>
  </si>
  <si>
    <t>5=3/2</t>
  </si>
  <si>
    <t>6=3/1</t>
  </si>
  <si>
    <t>Chương trình MTQG xây dựng nông thôn mới</t>
  </si>
  <si>
    <t>ĐÁNH GIÁ DỰ TOÁN CHI NGÂN SÁCH NĂM 2024 VÀ DỰ TOÁN NĂM 2025</t>
  </si>
  <si>
    <t>ĐÁNH GIÁ DỰ TOÁN THU NGÂN SÁCH NĂM 2024 VÀ DỰ TOÁN NĂM 2025</t>
  </si>
  <si>
    <t>Thực hiện năm 2023</t>
  </si>
  <si>
    <t>Dự toán giao đầu năm 2024</t>
  </si>
  <si>
    <t>Ước thực hiện năm 2024</t>
  </si>
  <si>
    <t>Dự toán năm 2025</t>
  </si>
  <si>
    <t>ƯTH 2024/
DT 2024</t>
  </si>
  <si>
    <t>ƯTH 2024/TH 2023</t>
  </si>
  <si>
    <t>DT 2025/
 DT 2024</t>
  </si>
  <si>
    <t>Chi đầu tư từ nguồn tăng thu</t>
  </si>
  <si>
    <t>GIAO DỰ TOÁN CHI NGÂN SÁCH NĂM 2025</t>
  </si>
  <si>
    <t>GIAO DỰ TOÁN THU, CHI NGÂN SÁCH XÃ, THỊ TRẤN NĂM 2025</t>
  </si>
  <si>
    <t>CT MTQG</t>
  </si>
  <si>
    <t>dự kiến tăng thu năm 2024</t>
  </si>
  <si>
    <t>đầu tư cân đối</t>
  </si>
  <si>
    <t xml:space="preserve">Trong đó: - Hỗ trợ SXNN </t>
  </si>
  <si>
    <t xml:space="preserve"> - Duy trì, chăm sóc cây xanh</t>
  </si>
  <si>
    <t xml:space="preserve"> - Điều chỉnh quy hoạch chung thị trấn Tuần Giáo đến năm 2040</t>
  </si>
  <si>
    <t xml:space="preserve"> Trong đó: -  Chi thường xuyên khác</t>
  </si>
  <si>
    <t>Ban QLDA và PTQĐ</t>
  </si>
  <si>
    <t>Chuyển nguồn</t>
  </si>
  <si>
    <t>Kết dư</t>
  </si>
  <si>
    <t>PB dự phòng</t>
  </si>
  <si>
    <t>PB chi khác</t>
  </si>
  <si>
    <t xml:space="preserve"> Trong đó: - Tiền điện; Sửa chữa duy tu, bảo dưỡng đường điện, bóng điện …</t>
  </si>
  <si>
    <t xml:space="preserve"> </t>
  </si>
  <si>
    <t>Thu từ tiền sử dụng đất</t>
  </si>
  <si>
    <t>Thu từ quỹ đất công ích và đất công</t>
  </si>
  <si>
    <t>Chi đầu tư XDCB từ nguồn thu tiền sử dụng đất</t>
  </si>
  <si>
    <t>Trong đó: Chế độ phụ cấp hàng tháng đối với người tham gia lực lượng an ninh trật tự ở cơ sở (Theo Nghị quyết 03/2024/NQ-HĐND ngày 18/6/2024)</t>
  </si>
  <si>
    <t>CHƯƠNG TRÌNH MỤC TIÊU</t>
  </si>
  <si>
    <t>Dự án 1: Giải quyết tình trạng thiếu đất ở, nhà ở, đất sản xuất, nước sinh hoạt</t>
  </si>
  <si>
    <t>- Tiểu dự án 2: Giám sát, đánh giá</t>
  </si>
  <si>
    <t>1.3</t>
  </si>
  <si>
    <t>Biểu số 04</t>
  </si>
  <si>
    <t xml:space="preserve"> - Chi công tác người có công</t>
  </si>
  <si>
    <t>D=1+..+23</t>
  </si>
  <si>
    <t xml:space="preserve">Tỉnh bổ sung </t>
  </si>
  <si>
    <t xml:space="preserve"> - Hỗ trợ sản xuất nông nghiệp</t>
  </si>
  <si>
    <t>Nội dung thành phần số 06: Nâng cao chất lượng đời sống văn hóa của người dân nông thôn; bảo tồn và phát huy các giá trị văn hóa truyền thống theo hướng bền vững gắn với phát triển du lịch nông thôn</t>
  </si>
  <si>
    <t>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</si>
  <si>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BIỂU CHI TIẾT NGUỒN VÀ PHÂN BỔ DỰ PHÒNG NGÂN SÁCH NĂM 2024</t>
  </si>
  <si>
    <t>TMĐT</t>
  </si>
  <si>
    <t>Tổng khối lượng hoàn thành đến 31/12/2023</t>
  </si>
  <si>
    <t>Nhu cầu vốn</t>
  </si>
  <si>
    <t xml:space="preserve">Tổng </t>
  </si>
  <si>
    <t>Sau QT</t>
  </si>
  <si>
    <t>Nhu cầu</t>
  </si>
  <si>
    <t xml:space="preserve">Nguồn dự phòng ngân sách năm 2024 </t>
  </si>
  <si>
    <t>Số đã phân bổ sử dụng trong năm 2024</t>
  </si>
  <si>
    <t>Khắc phục hậu quả thiên tai</t>
  </si>
  <si>
    <t>I.1</t>
  </si>
  <si>
    <t>Công trình tiếp chi</t>
  </si>
  <si>
    <t>Khắc phục hậu quả thiên tai tuyến đường bản Nậm Cá, xã Nà Sáy; tuyến nà Sáy - Mường Khong - Phiêng Hin</t>
  </si>
  <si>
    <t>Khắc phục hậu quả thiên tai các tuyến đường trên địa bàn xã Phình Sáng</t>
  </si>
  <si>
    <t>Khắc phục hậu quả thiên tai tuyến đường Rạng Đông - Ta Ma</t>
  </si>
  <si>
    <t>Khắc phục hậu quả thiên tai tuyến đường Nà Sáy - Mường Thín, bản Yên - Thẩm Xả, xã Mường Thín; tuyến đường bản Hiệu - bản Phang, bản Bó - bản Nôm, xã Chiềng Đông</t>
  </si>
  <si>
    <t>Khắc phục hậu quả thiên tai các tuyến đường trên địa bàn xã Mường Mùn, xã Pú Xi</t>
  </si>
  <si>
    <t>Khắc phục hậu quả thiên tai các tuyến đường trên địa bàn xã Tênh Phông năm 2023</t>
  </si>
  <si>
    <t>Khắc phục hậu quả thiên tai các tuyến đường trên địa bàn xã Tỏa Tình năm 2023</t>
  </si>
  <si>
    <t>Khắc phục hậu quả thiên tai tuyến đường Phiêng Pi - Trung Dình, xã Pú Nhung</t>
  </si>
  <si>
    <t>I.2</t>
  </si>
  <si>
    <t>Công trình khởi công mới năm 2024</t>
  </si>
  <si>
    <t>Các nhiệm vụ cần thiết khác</t>
  </si>
  <si>
    <t>Kế hoạch số 181/KH-UBND ngày 02/7/2024 của UBND huyện Tuần Giáo rà soát, thống kê người nghiện, người sử dụng trái phép chất ma túy, xác định tình trạng nghiện đối với người có dấu hiệu sử dụng trái phép chất ma túy và thúc đẩy chương trình cai nghiện ma túy, điều trị thay thế bằng Methadone trên địa bàn huyện Tuần Giáo năm 2024</t>
  </si>
  <si>
    <t>Mai táng phí người có công với cách mạng, cựu chiến binh, dân công hỏa tuyến, Quyết định số 62/2011/QĐ-TTg</t>
  </si>
  <si>
    <t>CHÍNH SÁCH ĐỐI VỚI ĐỐI TƯỢNG THAM GIA CHIẾN TRANH BẢO VỆ TỔ QUỐC, LÀM NHIỆM VỤ QUỐC TẾ Ở CĂM-PU-CHI-A, GIÚP BẠN LÀO SAU NGÀY 30 THÁNG 4 NĂM 1975 ĐÃ PHỤC VIÊN, XUẤT NGŨ, THÔI VIỆC</t>
  </si>
  <si>
    <t>Số còn lại (Dự kiến phân bổ để khắc phục hậu quả thiên tai và các nhiệm vụ cần thiết khác)</t>
  </si>
  <si>
    <t>Khắc phục hậu quả thiên tai khu vực bản Bon B, xã Rạng Đông</t>
  </si>
  <si>
    <t>Khắc phục hậu quả thiên tai tuyến đường vào bản Gia Bọp, xã Mường Mùn</t>
  </si>
  <si>
    <t>Khắc phục hậu quả thiên tai tuyến đường liên xã Nà Sáy - Mường Thín - Mường Mùn, Đường vào bản Yên - Thẩm Xả xã Mường Thín; Tuyến đường liên xã Nà Sáy - Mường Khong (Từ bản Hồng Lực xã Nà Sáy đến bản Hua Sát xã Mường Khong)</t>
  </si>
  <si>
    <t>Nâng cấp, sữa chữa công trình nước sinh hoạt khối Đồng Tâm, thị trấn Tuần Giáo + Sửa chữa đường từ bản Phiêng Xanh đi bản Co Phát, xã Nà Tòng</t>
  </si>
  <si>
    <t xml:space="preserve">Khắc phục hậu quả thiên tai trường tiểu học Phình sáng </t>
  </si>
  <si>
    <t>Khắc phục hậu quả thiên tai Trường THCS Quài Cang</t>
  </si>
  <si>
    <t xml:space="preserve">Khắc phục hậu quả thiên tai Trường MN Quài Cang </t>
  </si>
  <si>
    <t>Khắc phục hậu quả thiên tai Trường MN Nậm Din Phình sáng</t>
  </si>
  <si>
    <t>Khắc phục hậu quả thiên tai đường Rạng Đông - Ta Ma</t>
  </si>
  <si>
    <t>Khắc phục hậu quả thiên tai tuyến đường bản Háng Khúa</t>
  </si>
  <si>
    <t>Khắc phục hậu quả thiên tai tuyến đường Bản Lồng - Bản Tỏa Tình</t>
  </si>
  <si>
    <t>I.3</t>
  </si>
  <si>
    <t>Diễn tập phòng thủ</t>
  </si>
  <si>
    <t>Hỗ trợ lực lượng tham gia chữa cháy rừng xã Tênh Phông</t>
  </si>
  <si>
    <t>Ra mắt lực lượng ANTT</t>
  </si>
  <si>
    <t>Mở lớp đối tượng 4</t>
  </si>
  <si>
    <t>Tổ chức công nhận đạt chuẩn NTM xã Quài Tở</t>
  </si>
  <si>
    <t>Hỗ trợ cai nghiện tự nguyện tại gia đình, cộng đồng</t>
  </si>
  <si>
    <t xml:space="preserve">          - Phí BVMT khai thác khoáng sản</t>
  </si>
  <si>
    <t xml:space="preserve">          - Phí BVMT đối với nước thải</t>
  </si>
  <si>
    <t>Tr.đó: Ghi thu, ghi chi tiền bồi thường gải phóng mặt bằng nhà đầu tư ứng trước</t>
  </si>
  <si>
    <t>Ghi thu, ghi chi tiền bồi thường gải phóng mặt bằng nhà đầu tư ứng trước</t>
  </si>
  <si>
    <t>Tổng tối 06/12</t>
  </si>
  <si>
    <t>Trong đó: - Chi thường xuyên theo định mức (Đã trừ 10% tiết kiệm để cải các tiền lương)</t>
  </si>
  <si>
    <t>- Quỹ tiền thưởng</t>
  </si>
  <si>
    <t>- Biên soạn cuốn Lịch sử Đảng bộ xã</t>
  </si>
  <si>
    <t>DỰ PHÒNG NGÂN SÁCH (Tối thiểu 2% tổng chi ngân sách)</t>
  </si>
  <si>
    <t>ẩn dòng này</t>
  </si>
  <si>
    <t>Chương trình mục tiêu quốc gia phát triển kinh tế - xã hội vùng đồng bào dân tộc thiểu số và miền núi</t>
  </si>
  <si>
    <t>Chương trình mục tiêu quốc gia xây dựng nông thôn mới</t>
  </si>
  <si>
    <t xml:space="preserve"> - Chế độ, chính sách cho nhân viên thú y xã và khuyến nông viên cấp xã</t>
  </si>
  <si>
    <t>Bản trình BTV-BCH-TVUB</t>
  </si>
  <si>
    <t>Trong đó: Huấn luyện dân quân tự vệ (Lực lượng tại chỗ và lực lượng cơ động do cấp xã tổ chức huấn luyện chi chế độ thoát ly sản xuất 149.000 đồng/ người/ ngày; Tiền ăn 65.000 đồng/ người/ ngày)</t>
  </si>
  <si>
    <t xml:space="preserve"> =&gt; kiểm tra, rà soát lại</t>
  </si>
  <si>
    <t>KN + TY + bảo hiểm 23,5%</t>
  </si>
  <si>
    <t xml:space="preserve"> =&gt; KP mở lớp của TTHTCĐ</t>
  </si>
  <si>
    <t>Khắc phục hậu quả thiên tai (hót sạt) trên địa bàn các xã từ nguồn dự phòng NSX</t>
  </si>
  <si>
    <t>CL</t>
  </si>
  <si>
    <t>KN + TY chuyển về Trung tâm DVNN</t>
  </si>
  <si>
    <t>Chương trình MTQG giảm nghèo bền vững</t>
  </si>
  <si>
    <t>Chi thực hiện một số mục tiêu, nhiệm vụ và các chương trình mục tiêu (vốn sự nghiệp)</t>
  </si>
  <si>
    <t>Duy tu, sửa chữa trường THCS Vừ A Dính</t>
  </si>
  <si>
    <t>Pú Nhung</t>
  </si>
  <si>
    <t>Duy tu, sửa chữa các điểm trường TH Ta Ma</t>
  </si>
  <si>
    <t>Ta Ma</t>
  </si>
  <si>
    <t>Duy tu, sửa chữa các điểm trường TH Khong Hin và MN Khong Hin</t>
  </si>
  <si>
    <t>Duy tu, sửa chữa trường PTDTBT TH Rạng Đông</t>
  </si>
  <si>
    <t>Duy tu, sửa chữa trường TH số 1 Thị trấn</t>
  </si>
  <si>
    <t>Duy tu, sửa chữa trường TH Pú Nhung</t>
  </si>
  <si>
    <t>xã Pú Nhung</t>
  </si>
  <si>
    <t>Duy tu, sửa chữa trường MN Pú Xi</t>
  </si>
  <si>
    <t>Duy tu, sửa chữa trường TH Xuân Ban</t>
  </si>
  <si>
    <t>Duy tu, sửa chữa trường TH Quài Cang 2</t>
  </si>
  <si>
    <t>Duy tu, sửa chữa các điểm trường Mầm non Quài Nưa</t>
  </si>
  <si>
    <t>Duy tu, sửa chữa các điểm trường Mầm non Mùn Chung</t>
  </si>
  <si>
    <t>Công trình khởi công mới 2025</t>
  </si>
  <si>
    <t>CHI TIẾT PHÂN BỔ CHI SỰ NGHIỆP GIÁO DỤC ĐỂ SỬA CHỮA, DUY TU CÁC TRƯỜNG LỚP HỌC NĂM 2025</t>
  </si>
  <si>
    <t>Công trình tiếp chi năm 2024</t>
  </si>
  <si>
    <t>KH vốn bố trí năm 2025</t>
  </si>
  <si>
    <t>Mường Khong</t>
  </si>
  <si>
    <t>Thị trấn</t>
  </si>
  <si>
    <t>Pú Xi</t>
  </si>
  <si>
    <t>Quài Cang</t>
  </si>
  <si>
    <t xml:space="preserve"> CÂN ĐỐI NGÂN SÁCH ĐỊA PHƯƠNG NĂM 2025</t>
  </si>
  <si>
    <t>V</t>
  </si>
  <si>
    <t>CHI THỰC HIỆN MỘT SỐ MỤC TIÊU, NHIỆM VỤ VÀ CÁC CHƯƠNG TRÌNH MỤC TIÊU</t>
  </si>
  <si>
    <t>DỰ TOÁN THU NGÂN SÁCH NHÀ NƯỚC THEO LĨNH VỰC NĂM 2025</t>
  </si>
  <si>
    <t>Trong đó: Ghi thu, ghi chi tiền bồi thường gải phóng mặt bằng nhà đầu tư ứng trước</t>
  </si>
  <si>
    <t>DỰ TOÁN CHI NGÂN SÁCH ĐỊA PHƯƠNG THEO CƠ CẤU CHI NĂM 2025</t>
  </si>
  <si>
    <t>Đấu thầu tư vấn BCKTKT =&gt; thời gian thực ko lùi dc</t>
  </si>
  <si>
    <t xml:space="preserve"> - Hỗ trợ Liên đoàn Lao động huyện (Hội nghị điển hình tiên tiến CNVCLĐ)</t>
  </si>
  <si>
    <t xml:space="preserve"> - Hỗ trợ phát triển đất trồng lúa</t>
  </si>
  <si>
    <t>VÀ NGÂN SÁCH XÃ NĂM 2025</t>
  </si>
  <si>
    <t>DỰ TOÁN THU NGÂN SÁCH NHÀ NƯỚC TRÊN ĐỊA BÀN TỪNG XÃ NĂM 2025</t>
  </si>
  <si>
    <t>TỪNG  XÃ THEO LĨNH VỰC NĂM 2025</t>
  </si>
  <si>
    <t>VÀ CHI NGÂN SÁCH XÃ THEO CƠ CẤU CHI NĂM 2025</t>
  </si>
  <si>
    <t>DỰ TOÁN CHI NGÂN SÁCH CẤP HUYỆN THEO LĨNH VỰC NĂM 2025</t>
  </si>
  <si>
    <t>DỰ TOÁN CHI NGÂN SÁCH CẤP HUYỆN CHO TỪNG CƠ QUAN, TỔ CHỨC THEO LĨNH VỰC NĂM 2025</t>
  </si>
  <si>
    <t xml:space="preserve">Chi thực hiện một số mục tiêu, nhiệm vụ và các chương trình mục tiêu </t>
  </si>
  <si>
    <t>Ban quản lý dự án và phát triển quỹ đất</t>
  </si>
  <si>
    <t>Ban chỉ huy quân sự</t>
  </si>
  <si>
    <t>Phòng Văn hóa - TT</t>
  </si>
  <si>
    <t>CHO TỪNG CƠ QUAN, TỔ CHỨC THEO LĨNH VỰC NĂM 2025</t>
  </si>
  <si>
    <t>Ngân sách</t>
  </si>
  <si>
    <t>CHO  TỪNG CƠ QUAN, TỔ CHỨC THEO LĨNH VỰC NĂM 2025</t>
  </si>
  <si>
    <t>DỰ TOÁN CHI CHƯƠNG TRÌNH MỤC TIÊU QUỐC GIA NGÂN SÁCH CẤP HUYỆN VÀ NGÂN SÁCH XÃ NĂM 2025</t>
  </si>
  <si>
    <t>TỪ NGÂN SÁCH CẤP TRÊN CHO NGÂN SÁCH CẤP DƯỚI NĂM 2025</t>
  </si>
  <si>
    <t>DỰ TOÁN CHI NGÂN SÁCH ĐỊA PHƯƠNG TỪNG XÃ NĂM 2025</t>
  </si>
  <si>
    <t>CHO NGÂN SÁCH TỪNG XÃ NĂM 2025</t>
  </si>
  <si>
    <t>DỰ TOÁN BỔ SUNG CÓ MỤC TIÊU VỐN SỰ NGHIỆP TỪ NGÂN SÁCH CẤP HUYỆN
 CHO NGÂN SÁCH TỪNG XÃ ĐỂ THỰC HIỆN CÁC CHẾ ĐỘ, NHIỆM VỤ VÀ CHÍNH SÁCH THEO QUY ĐỊNH NĂM 2025</t>
  </si>
  <si>
    <t>Hội văn học nghệ thuật</t>
  </si>
  <si>
    <t>Hội cựu giáo chức</t>
  </si>
  <si>
    <t>Trung tâm văn hóa truyền thanh TH</t>
  </si>
  <si>
    <t>Ko sửa dòng, cột biểu 01-02-03-04 vì các biểu khác sử dụng dấu bằng</t>
  </si>
  <si>
    <t>Bổ sung vốn đầu tư để thực hiện các mục tiêu, nhiệm vụ</t>
  </si>
  <si>
    <t>(Kèm theo Nghị quyết số          /NQ-HĐND ngày          tháng 12 năm 2024 của HĐND huyện Tuần Giáo)</t>
  </si>
  <si>
    <t xml:space="preserve"> - Điều chỉnh Quy hoạch sử đụng đất giai đoạn 2021-2030 và kế hoạch sử dụng đất năm 2025, năm 2026</t>
  </si>
  <si>
    <t xml:space="preserve"> - Hỗ trợ tiền điện</t>
  </si>
  <si>
    <t xml:space="preserve"> - Chính sách bảo trợ xã hội theo NĐ 20/2021/NĐ-CP</t>
  </si>
  <si>
    <t>KẾ HOẠCH TÀI CHÍNH CỦA CÁC QUỸ TÀI CHÍNH NHÀ NƯỚC NGOÀI NGÂN SÁCH 
DO ĐỊA PHƯƠNG QUẢN LÝ NĂM 2025</t>
  </si>
  <si>
    <t>Dư nguồn đến ngày 31/12/
2023</t>
  </si>
  <si>
    <t>KẾ HOẠCH THU DỊCH VỤ CỦA ĐƠN VỊ SỰ NGHIỆP CÔNG NĂM 2025
(KHÔNG BAO GỒM NGUỒN NSNN)</t>
  </si>
  <si>
    <t>Kế hoạch năm 2025</t>
  </si>
  <si>
    <t>Lấy theo biểu lập dự toán 2025</t>
  </si>
  <si>
    <t xml:space="preserve"> Biểu kèm theo Báo cáo số 99/BC-BKTXH ngày 12/12/2024 của Ban KT-XH,HĐND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</si>
</sst>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00\ _₫_-;\-* #,##0.00\ _₫_-;_-* &quot;-&quot;??\ _₫_-;_-@_-"/>
    <numFmt numFmtId="165" formatCode="_-* #,##0.00_-;\-* #,##0.00_-;_-* &quot;-&quot;??_-;_-@_-"/>
    <numFmt numFmtId="166" formatCode="#,##0.0"/>
    <numFmt numFmtId="167" formatCode="#,###;\-#,###;&quot;&quot;;_(@_)"/>
    <numFmt numFmtId="168" formatCode="###,###,###"/>
    <numFmt numFmtId="169" formatCode="###,###"/>
    <numFmt numFmtId="170" formatCode="&quot;$&quot;#,##0;\-&quot;$&quot;#,##0"/>
    <numFmt numFmtId="171" formatCode="_(* #,##0_);_(* \(#,##0\);_(* &quot;-&quot;??_);_(@_)"/>
    <numFmt numFmtId="172" formatCode="0.0%"/>
    <numFmt numFmtId="173" formatCode="#,##0.000"/>
    <numFmt numFmtId="174" formatCode="#,##0.0000"/>
    <numFmt numFmtId="175" formatCode="_(* #,##0.0_);_(* \(#,##0.0\);_(* &quot;-&quot;??_);_(@_)"/>
    <numFmt numFmtId="176" formatCode="_(* #,##0.000_);_(* \(#,##0.000\);_(* &quot;-&quot;??_);_(@_)"/>
    <numFmt numFmtId="177" formatCode="_(* #,##0.0_);_(* \(#,##0.0\);_(* &quot;-&quot;?_);_(@_)"/>
    <numFmt numFmtId="178" formatCode="_-* #,##0_-;\-* #,##0_-;_-* &quot;-&quot;??_-;_-@_-"/>
    <numFmt numFmtId="179" formatCode="#,##0.000000"/>
    <numFmt numFmtId="180" formatCode="#,##0;[Red]#,##0"/>
    <numFmt numFmtId="181" formatCode="_-* #,##0.0\ _₫_-;\-* #,##0.0\ _₫_-;_-* &quot;-&quot;??\ _₫_-;_-@_-"/>
    <numFmt numFmtId="182" formatCode="0.0000"/>
  </numFmts>
  <fonts count="78">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sz val="8"/>
      <name val="Times New Roman"/>
      <family val="1"/>
    </font>
    <font>
      <sz val="10"/>
      <name val="Times New Roman"/>
      <family val="1"/>
    </font>
    <font>
      <b/>
      <sz val="12"/>
      <color indexed="8"/>
      <name val="Times New Roman"/>
      <family val="1"/>
    </font>
    <font>
      <sz val="12"/>
      <color indexed="8"/>
      <name val="Times New Roman"/>
      <family val="1"/>
    </font>
    <font>
      <b/>
      <sz val="14"/>
      <color indexed="8"/>
      <name val="Times New Roman"/>
      <family val="1"/>
    </font>
    <font>
      <i/>
      <sz val="12"/>
      <color indexed="8"/>
      <name val="Times New Roman"/>
      <family val="1"/>
    </font>
    <font>
      <sz val="10"/>
      <color indexed="8"/>
      <name val="Times New Roman"/>
      <family val="1"/>
    </font>
    <font>
      <sz val="10"/>
      <name val="Times New Roman"/>
      <family val="1"/>
      <charset val="163"/>
    </font>
    <font>
      <b/>
      <sz val="10"/>
      <name val="Times New Roman"/>
      <family val="1"/>
    </font>
    <font>
      <sz val="11"/>
      <name val=".VnTime"/>
      <family val="2"/>
    </font>
    <font>
      <sz val="10"/>
      <name val="Arial"/>
      <family val="2"/>
    </font>
    <font>
      <b/>
      <sz val="9"/>
      <color indexed="81"/>
      <name val="Tahoma"/>
      <family val="2"/>
    </font>
    <font>
      <sz val="9"/>
      <color indexed="81"/>
      <name val="Tahoma"/>
      <family val="2"/>
    </font>
    <font>
      <sz val="13"/>
      <name val="VnTime"/>
    </font>
    <font>
      <sz val="9"/>
      <name val="Times New Roman"/>
      <family val="1"/>
    </font>
    <font>
      <i/>
      <sz val="11"/>
      <name val="Times New Roman"/>
      <family val="1"/>
    </font>
    <font>
      <sz val="7"/>
      <name val="Times New Roman"/>
      <family val="1"/>
    </font>
    <font>
      <i/>
      <sz val="10"/>
      <name val="Times New Roman"/>
      <family val="1"/>
    </font>
    <font>
      <b/>
      <i/>
      <sz val="10"/>
      <name val="Times New Roman"/>
      <family val="1"/>
    </font>
    <font>
      <b/>
      <sz val="12"/>
      <name val="Times New Romanh"/>
    </font>
    <font>
      <sz val="11"/>
      <color indexed="8"/>
      <name val="Calibri"/>
      <family val="2"/>
    </font>
    <font>
      <i/>
      <sz val="13"/>
      <name val="Times New Roman"/>
      <family val="1"/>
    </font>
    <font>
      <b/>
      <sz val="11.5"/>
      <name val="Times New Roman"/>
      <family val="1"/>
    </font>
    <font>
      <sz val="11.5"/>
      <name val="Times New Roman"/>
      <family val="1"/>
    </font>
    <font>
      <b/>
      <u/>
      <sz val="12"/>
      <name val="Times New Roman"/>
      <family val="1"/>
    </font>
    <font>
      <b/>
      <i/>
      <sz val="12"/>
      <name val="Times New Roman"/>
      <family val="1"/>
    </font>
    <font>
      <b/>
      <sz val="9"/>
      <name val="Times New Roman"/>
      <family val="1"/>
    </font>
    <font>
      <i/>
      <sz val="9"/>
      <name val="Times New Roman"/>
      <family val="1"/>
    </font>
    <font>
      <b/>
      <sz val="8"/>
      <name val="Times New Roman"/>
      <family val="1"/>
    </font>
    <font>
      <b/>
      <sz val="7"/>
      <name val="Times New Roman"/>
      <family val="1"/>
    </font>
    <font>
      <b/>
      <u/>
      <sz val="11"/>
      <name val="Times New Roman"/>
      <family val="1"/>
    </font>
    <font>
      <b/>
      <u/>
      <sz val="9"/>
      <name val="Times New Roman"/>
      <family val="1"/>
    </font>
    <font>
      <u/>
      <sz val="12"/>
      <name val="Times New Roman"/>
      <family val="1"/>
    </font>
    <font>
      <b/>
      <i/>
      <sz val="9"/>
      <name val="Times New Roman"/>
      <family val="1"/>
    </font>
    <font>
      <b/>
      <sz val="13"/>
      <color indexed="8"/>
      <name val="Times New Roman"/>
      <family val="1"/>
    </font>
    <font>
      <b/>
      <sz val="13"/>
      <color indexed="10"/>
      <name val="Times New Roman"/>
      <family val="1"/>
    </font>
    <font>
      <sz val="12"/>
      <name val="Times New Roman"/>
      <family val="2"/>
      <charset val="163"/>
    </font>
    <font>
      <b/>
      <sz val="13"/>
      <name val="Times New Roman"/>
      <family val="1"/>
      <charset val="163"/>
    </font>
    <font>
      <b/>
      <sz val="13"/>
      <color indexed="10"/>
      <name val="Times New Roman"/>
      <family val="1"/>
      <charset val="163"/>
    </font>
    <font>
      <sz val="14"/>
      <name val="Times New Roman"/>
      <family val="2"/>
      <charset val="163"/>
    </font>
    <font>
      <sz val="11"/>
      <color theme="1"/>
      <name val="Calibri"/>
      <family val="2"/>
      <scheme val="minor"/>
    </font>
    <font>
      <sz val="12"/>
      <color theme="1"/>
      <name val="Times New Roman"/>
      <family val="2"/>
      <charset val="163"/>
    </font>
    <font>
      <sz val="12"/>
      <color theme="1"/>
      <name val="Times New Roman"/>
      <family val="2"/>
    </font>
    <font>
      <sz val="11"/>
      <color theme="1"/>
      <name val="Calibri"/>
      <family val="2"/>
      <charset val="163"/>
      <scheme val="minor"/>
    </font>
    <font>
      <b/>
      <sz val="12"/>
      <color theme="1"/>
      <name val="Times New Roman"/>
      <family val="1"/>
    </font>
    <font>
      <sz val="12"/>
      <color theme="1"/>
      <name val="Times New Roman"/>
      <family val="1"/>
    </font>
    <font>
      <b/>
      <sz val="13"/>
      <color theme="1"/>
      <name val="Times New Roman"/>
      <family val="1"/>
    </font>
    <font>
      <i/>
      <sz val="12"/>
      <color theme="1"/>
      <name val="Times New Roman"/>
      <family val="1"/>
    </font>
    <font>
      <sz val="12"/>
      <color rgb="FFFF0000"/>
      <name val="Times New Roman"/>
      <family val="1"/>
    </font>
    <font>
      <sz val="12"/>
      <color rgb="FFFF0000"/>
      <name val="Times New Roman"/>
      <family val="2"/>
      <charset val="163"/>
    </font>
    <font>
      <sz val="14"/>
      <color rgb="FFFF0000"/>
      <name val="Times New Roman"/>
      <family val="2"/>
      <charset val="163"/>
    </font>
    <font>
      <sz val="14"/>
      <color rgb="FFFF0000"/>
      <name val="Times New Roman"/>
      <family val="1"/>
    </font>
    <font>
      <b/>
      <sz val="12"/>
      <color theme="1"/>
      <name val="Times New Roman"/>
      <family val="1"/>
      <charset val="163"/>
    </font>
    <font>
      <b/>
      <sz val="12"/>
      <color rgb="FFFF0000"/>
      <name val="Times New Roman"/>
      <family val="1"/>
    </font>
    <font>
      <sz val="13"/>
      <color rgb="FFFF0000"/>
      <name val="Times New Roman"/>
      <family val="1"/>
    </font>
    <font>
      <b/>
      <sz val="9"/>
      <color rgb="FFFF0000"/>
      <name val="Times New Roman"/>
      <family val="1"/>
    </font>
    <font>
      <sz val="9"/>
      <color rgb="FFFF0000"/>
      <name val="Times New Roman"/>
      <family val="1"/>
    </font>
    <font>
      <b/>
      <u/>
      <sz val="12"/>
      <color rgb="FFFF0000"/>
      <name val="Times New Roman"/>
      <family val="1"/>
    </font>
    <font>
      <b/>
      <sz val="14"/>
      <name val="Times New Romanh"/>
    </font>
    <font>
      <b/>
      <sz val="12"/>
      <name val="Times New Roman h"/>
    </font>
    <font>
      <sz val="12"/>
      <color rgb="FF7030A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0"/>
      </left>
      <right style="thin">
        <color indexed="0"/>
      </right>
      <top style="hair">
        <color indexed="0"/>
      </top>
      <bottom style="hair">
        <color indexed="0"/>
      </bottom>
      <diagonal/>
    </border>
  </borders>
  <cellStyleXfs count="26">
    <xf numFmtId="0" fontId="0" fillId="0" borderId="0"/>
    <xf numFmtId="0" fontId="37" fillId="0" borderId="0"/>
    <xf numFmtId="43" fontId="1" fillId="0" borderId="0" applyFont="0" applyFill="0" applyBorder="0" applyAlignment="0" applyProtection="0"/>
    <xf numFmtId="43" fontId="27" fillId="0" borderId="0" applyFont="0" applyFill="0" applyBorder="0" applyAlignment="0" applyProtection="0"/>
    <xf numFmtId="170" fontId="14" fillId="0" borderId="0" applyProtection="0"/>
    <xf numFmtId="43" fontId="6" fillId="0" borderId="0" applyFont="0" applyFill="0" applyBorder="0" applyAlignment="0" applyProtection="0"/>
    <xf numFmtId="43" fontId="3" fillId="0" borderId="0" applyFont="0" applyFill="0" applyBorder="0" applyAlignment="0" applyProtection="0"/>
    <xf numFmtId="164" fontId="58" fillId="0" borderId="0" applyFont="0" applyFill="0" applyBorder="0" applyAlignment="0" applyProtection="0"/>
    <xf numFmtId="43" fontId="3" fillId="0" borderId="0" applyFont="0" applyFill="0" applyBorder="0" applyAlignment="0" applyProtection="0"/>
    <xf numFmtId="167" fontId="12" fillId="0" borderId="0" applyFont="0" applyFill="0" applyBorder="0" applyAlignment="0" applyProtection="0"/>
    <xf numFmtId="0" fontId="27" fillId="0" borderId="0"/>
    <xf numFmtId="0" fontId="27" fillId="0" borderId="0"/>
    <xf numFmtId="0" fontId="57" fillId="0" borderId="0"/>
    <xf numFmtId="0" fontId="14" fillId="0" borderId="0"/>
    <xf numFmtId="0" fontId="1" fillId="0" borderId="0"/>
    <xf numFmtId="0" fontId="1" fillId="0" borderId="0"/>
    <xf numFmtId="0" fontId="24" fillId="0" borderId="0"/>
    <xf numFmtId="0" fontId="59" fillId="0" borderId="0"/>
    <xf numFmtId="0" fontId="13" fillId="0" borderId="0" applyProtection="0"/>
    <xf numFmtId="0" fontId="10" fillId="0" borderId="0"/>
    <xf numFmtId="0" fontId="60" fillId="0" borderId="0"/>
    <xf numFmtId="0" fontId="1" fillId="0" borderId="0"/>
    <xf numFmtId="0" fontId="27" fillId="0" borderId="0"/>
    <xf numFmtId="0" fontId="30" fillId="0" borderId="0"/>
    <xf numFmtId="9" fontId="1" fillId="0" borderId="0" applyFont="0" applyFill="0" applyBorder="0" applyAlignment="0" applyProtection="0"/>
    <xf numFmtId="43" fontId="27" fillId="0" borderId="0" applyFont="0" applyFill="0" applyBorder="0" applyAlignment="0" applyProtection="0"/>
  </cellStyleXfs>
  <cellXfs count="851">
    <xf numFmtId="0" fontId="0" fillId="0" borderId="0" xfId="0"/>
    <xf numFmtId="0" fontId="20" fillId="0" borderId="0" xfId="0" applyFont="1"/>
    <xf numFmtId="0" fontId="3" fillId="0" borderId="0" xfId="14" applyFont="1"/>
    <xf numFmtId="0" fontId="6" fillId="0" borderId="0" xfId="14" applyFont="1"/>
    <xf numFmtId="0" fontId="18" fillId="0" borderId="1" xfId="14" applyFont="1" applyBorder="1" applyAlignment="1">
      <alignment horizontal="center" vertical="center"/>
    </xf>
    <xf numFmtId="0" fontId="5" fillId="0" borderId="0" xfId="0" applyFont="1"/>
    <xf numFmtId="0" fontId="8" fillId="0" borderId="0" xfId="14" applyFont="1"/>
    <xf numFmtId="0" fontId="2" fillId="2" borderId="0" xfId="0" applyFont="1" applyFill="1"/>
    <xf numFmtId="0" fontId="3" fillId="2" borderId="0" xfId="20" applyFont="1" applyFill="1" applyAlignment="1">
      <alignment vertical="center" wrapText="1"/>
    </xf>
    <xf numFmtId="0" fontId="25" fillId="2" borderId="0" xfId="20" applyFont="1" applyFill="1" applyAlignment="1">
      <alignment horizontal="center" vertical="center" wrapText="1"/>
    </xf>
    <xf numFmtId="0" fontId="2" fillId="2" borderId="0" xfId="20" applyFont="1" applyFill="1" applyAlignment="1">
      <alignment horizontal="center" vertical="center" wrapText="1"/>
    </xf>
    <xf numFmtId="0" fontId="3" fillId="2" borderId="1" xfId="20" applyFont="1" applyFill="1" applyBorder="1" applyAlignment="1">
      <alignment horizontal="center" vertical="center" wrapText="1"/>
    </xf>
    <xf numFmtId="0" fontId="3" fillId="2" borderId="0" xfId="20" applyFont="1" applyFill="1" applyAlignment="1">
      <alignment horizontal="center" vertical="center" wrapText="1"/>
    </xf>
    <xf numFmtId="0" fontId="2" fillId="2" borderId="0" xfId="20" applyFont="1" applyFill="1" applyAlignment="1">
      <alignment vertical="center"/>
    </xf>
    <xf numFmtId="0" fontId="3" fillId="2" borderId="0" xfId="20" applyFont="1" applyFill="1" applyAlignment="1">
      <alignment vertical="center"/>
    </xf>
    <xf numFmtId="4" fontId="3" fillId="2" borderId="0" xfId="20" applyNumberFormat="1" applyFont="1" applyFill="1" applyAlignment="1">
      <alignment vertical="center"/>
    </xf>
    <xf numFmtId="0" fontId="23" fillId="0" borderId="0" xfId="0" applyFont="1"/>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3" fontId="11" fillId="0" borderId="0" xfId="0" applyNumberFormat="1" applyFont="1" applyAlignment="1">
      <alignment horizontal="center"/>
    </xf>
    <xf numFmtId="0" fontId="2" fillId="0" borderId="0" xfId="0" applyFont="1" applyAlignment="1">
      <alignment horizontal="center"/>
    </xf>
    <xf numFmtId="0" fontId="25" fillId="2" borderId="0" xfId="0" applyFont="1" applyFill="1"/>
    <xf numFmtId="0" fontId="3" fillId="2" borderId="0" xfId="0" applyFont="1" applyFill="1"/>
    <xf numFmtId="0" fontId="8" fillId="2" borderId="0" xfId="0" applyFont="1" applyFill="1"/>
    <xf numFmtId="0" fontId="16" fillId="2" borderId="1" xfId="0" applyFont="1" applyFill="1" applyBorder="1" applyAlignment="1">
      <alignment horizontal="center" vertical="center"/>
    </xf>
    <xf numFmtId="0" fontId="16" fillId="2" borderId="0" xfId="0" applyFont="1" applyFill="1" applyAlignment="1">
      <alignment vertical="center"/>
    </xf>
    <xf numFmtId="0" fontId="6" fillId="2" borderId="0" xfId="0" applyFont="1" applyFill="1"/>
    <xf numFmtId="0" fontId="19" fillId="0" borderId="0" xfId="0" applyFont="1" applyAlignment="1">
      <alignment vertical="center"/>
    </xf>
    <xf numFmtId="0" fontId="2" fillId="2" borderId="1" xfId="0" applyFont="1" applyFill="1" applyBorder="1"/>
    <xf numFmtId="3" fontId="3" fillId="2" borderId="0" xfId="0" applyNumberFormat="1" applyFont="1" applyFill="1"/>
    <xf numFmtId="3" fontId="3" fillId="2" borderId="1" xfId="0" applyNumberFormat="1" applyFont="1" applyFill="1" applyBorder="1"/>
    <xf numFmtId="0" fontId="1" fillId="2" borderId="0" xfId="0" applyFont="1" applyFill="1"/>
    <xf numFmtId="0" fontId="16" fillId="2" borderId="1" xfId="0" applyFont="1" applyFill="1" applyBorder="1" applyAlignment="1">
      <alignment horizontal="center" vertical="center" wrapText="1"/>
    </xf>
    <xf numFmtId="0" fontId="26" fillId="2" borderId="0" xfId="0" applyFont="1" applyFill="1"/>
    <xf numFmtId="0" fontId="3" fillId="0" borderId="1" xfId="0" applyFont="1" applyBorder="1" applyAlignment="1">
      <alignment horizontal="center" vertical="center"/>
    </xf>
    <xf numFmtId="0" fontId="11" fillId="2" borderId="0" xfId="0" applyFont="1" applyFill="1" applyAlignment="1">
      <alignment horizontal="left"/>
    </xf>
    <xf numFmtId="0" fontId="2" fillId="2" borderId="0" xfId="0" applyFont="1" applyFill="1" applyAlignment="1">
      <alignment vertical="center"/>
    </xf>
    <xf numFmtId="0" fontId="11" fillId="2" borderId="0" xfId="0" applyFont="1" applyFill="1"/>
    <xf numFmtId="3" fontId="11" fillId="2" borderId="0" xfId="0" applyNumberFormat="1" applyFont="1" applyFill="1"/>
    <xf numFmtId="0" fontId="16" fillId="2" borderId="0" xfId="0" applyFont="1" applyFill="1"/>
    <xf numFmtId="0" fontId="3" fillId="2" borderId="1" xfId="0" applyFont="1" applyFill="1" applyBorder="1" applyAlignment="1">
      <alignment horizontal="center" vertical="center"/>
    </xf>
    <xf numFmtId="0" fontId="3" fillId="2" borderId="0" xfId="0" applyFont="1" applyFill="1" applyAlignment="1">
      <alignment vertical="center"/>
    </xf>
    <xf numFmtId="0" fontId="9" fillId="2" borderId="0" xfId="0" applyFont="1" applyFill="1"/>
    <xf numFmtId="0" fontId="17" fillId="2" borderId="1" xfId="0" quotePrefix="1" applyFont="1" applyFill="1" applyBorder="1" applyAlignment="1">
      <alignment horizontal="center" vertical="center"/>
    </xf>
    <xf numFmtId="0" fontId="33" fillId="2" borderId="1" xfId="0" quotePrefix="1" applyFont="1" applyFill="1" applyBorder="1" applyAlignment="1">
      <alignment horizontal="center" vertical="center"/>
    </xf>
    <xf numFmtId="0" fontId="17" fillId="2" borderId="1" xfId="0" applyFont="1" applyFill="1" applyBorder="1" applyAlignment="1">
      <alignment horizontal="center" vertical="center"/>
    </xf>
    <xf numFmtId="0" fontId="25" fillId="2" borderId="0" xfId="0" applyFont="1" applyFill="1" applyAlignment="1">
      <alignment horizontal="right" vertical="center" wrapText="1"/>
    </xf>
    <xf numFmtId="0" fontId="34" fillId="2" borderId="0" xfId="0" applyFont="1" applyFill="1" applyAlignment="1">
      <alignment horizontal="right" vertical="center" wrapText="1"/>
    </xf>
    <xf numFmtId="3" fontId="2" fillId="2" borderId="1" xfId="2"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20" applyFont="1" applyFill="1" applyBorder="1" applyAlignment="1">
      <alignment horizontal="center" vertical="center" wrapText="1"/>
    </xf>
    <xf numFmtId="0" fontId="2" fillId="2" borderId="1" xfId="20" applyFont="1" applyFill="1" applyBorder="1" applyAlignment="1">
      <alignment horizontal="center" vertical="center"/>
    </xf>
    <xf numFmtId="0" fontId="18" fillId="0" borderId="1" xfId="0" applyFont="1" applyBorder="1" applyAlignment="1">
      <alignment horizontal="center" vertical="center" wrapText="1"/>
    </xf>
    <xf numFmtId="0" fontId="2" fillId="2" borderId="0" xfId="0" applyFont="1" applyFill="1" applyAlignment="1">
      <alignment horizontal="centerContinuous" vertical="center"/>
    </xf>
    <xf numFmtId="0" fontId="3" fillId="2" borderId="0" xfId="0" applyFont="1" applyFill="1" applyAlignment="1">
      <alignment horizontal="right" vertical="center"/>
    </xf>
    <xf numFmtId="0" fontId="3" fillId="2" borderId="0" xfId="0" applyFont="1" applyFill="1" applyAlignment="1">
      <alignment horizontal="centerContinuous" vertical="center"/>
    </xf>
    <xf numFmtId="0" fontId="2" fillId="2" borderId="0" xfId="0" applyFont="1" applyFill="1" applyAlignment="1">
      <alignment horizontal="right" vertical="center"/>
    </xf>
    <xf numFmtId="0" fontId="5" fillId="2" borderId="0" xfId="0" applyFont="1" applyFill="1" applyAlignment="1">
      <alignment horizontal="left" vertical="center"/>
    </xf>
    <xf numFmtId="0" fontId="6" fillId="2" borderId="0" xfId="0" applyFont="1" applyFill="1" applyAlignment="1">
      <alignment vertical="center"/>
    </xf>
    <xf numFmtId="0" fontId="8" fillId="2" borderId="0" xfId="0" applyFont="1" applyFill="1" applyAlignment="1">
      <alignment vertical="center"/>
    </xf>
    <xf numFmtId="171" fontId="3" fillId="2" borderId="1" xfId="2" applyNumberFormat="1" applyFont="1" applyFill="1" applyBorder="1" applyAlignment="1">
      <alignment vertical="center"/>
    </xf>
    <xf numFmtId="3" fontId="3" fillId="2" borderId="1" xfId="0" applyNumberFormat="1" applyFont="1" applyFill="1" applyBorder="1" applyAlignment="1">
      <alignment vertical="center"/>
    </xf>
    <xf numFmtId="3" fontId="2"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1" xfId="0" quotePrefix="1" applyFont="1" applyFill="1" applyBorder="1" applyAlignment="1">
      <alignment horizontal="center" vertical="center"/>
    </xf>
    <xf numFmtId="0" fontId="2" fillId="2" borderId="1" xfId="0" applyFont="1" applyFill="1" applyBorder="1" applyAlignment="1">
      <alignment vertical="center"/>
    </xf>
    <xf numFmtId="0" fontId="4" fillId="2" borderId="0" xfId="0" applyFont="1" applyFill="1" applyAlignment="1">
      <alignment horizontal="right" vertical="center"/>
    </xf>
    <xf numFmtId="166" fontId="2" fillId="2" borderId="1" xfId="0" applyNumberFormat="1" applyFont="1" applyFill="1" applyBorder="1" applyAlignment="1">
      <alignment vertical="center"/>
    </xf>
    <xf numFmtId="166" fontId="3" fillId="2" borderId="1" xfId="0" applyNumberFormat="1" applyFont="1" applyFill="1" applyBorder="1" applyAlignment="1">
      <alignment vertical="center"/>
    </xf>
    <xf numFmtId="0" fontId="11" fillId="2" borderId="0" xfId="0" applyFont="1" applyFill="1" applyAlignment="1">
      <alignment horizontal="left" vertical="center"/>
    </xf>
    <xf numFmtId="0" fontId="11" fillId="2" borderId="0" xfId="0" applyFont="1" applyFill="1" applyAlignment="1">
      <alignment vertical="center"/>
    </xf>
    <xf numFmtId="3" fontId="3" fillId="2" borderId="0" xfId="0" applyNumberFormat="1" applyFont="1" applyFill="1" applyAlignment="1">
      <alignment vertical="center"/>
    </xf>
    <xf numFmtId="2" fontId="3" fillId="2" borderId="1" xfId="0" applyNumberFormat="1" applyFont="1" applyFill="1" applyBorder="1" applyAlignment="1">
      <alignment vertical="center"/>
    </xf>
    <xf numFmtId="9" fontId="2" fillId="2" borderId="1" xfId="24" applyFont="1" applyFill="1" applyBorder="1" applyAlignment="1">
      <alignment vertical="center"/>
    </xf>
    <xf numFmtId="3" fontId="3" fillId="2" borderId="1" xfId="0" applyNumberFormat="1" applyFont="1" applyFill="1" applyBorder="1" applyAlignment="1">
      <alignment horizontal="center" vertical="center"/>
    </xf>
    <xf numFmtId="9" fontId="3" fillId="2" borderId="1" xfId="24" applyFont="1" applyFill="1" applyBorder="1" applyAlignment="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171" fontId="2" fillId="0" borderId="1" xfId="2" applyNumberFormat="1" applyFont="1" applyFill="1" applyBorder="1" applyAlignment="1">
      <alignment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vertical="center"/>
    </xf>
    <xf numFmtId="171" fontId="3" fillId="0" borderId="1" xfId="2" applyNumberFormat="1" applyFont="1" applyFill="1" applyBorder="1" applyAlignment="1">
      <alignment vertical="center"/>
    </xf>
    <xf numFmtId="171" fontId="6" fillId="0" borderId="0" xfId="0" applyNumberFormat="1" applyFont="1" applyAlignment="1">
      <alignment vertical="center"/>
    </xf>
    <xf numFmtId="0" fontId="7" fillId="2" borderId="0" xfId="0" applyFont="1" applyFill="1" applyAlignment="1">
      <alignment horizontal="centerContinuous" vertical="center"/>
    </xf>
    <xf numFmtId="0" fontId="8" fillId="2" borderId="0" xfId="0" applyFont="1" applyFill="1" applyAlignment="1">
      <alignment horizontal="centerContinuous" vertical="center"/>
    </xf>
    <xf numFmtId="0" fontId="9" fillId="2" borderId="0" xfId="0" applyFont="1" applyFill="1" applyAlignment="1">
      <alignment vertical="center"/>
    </xf>
    <xf numFmtId="0" fontId="9" fillId="2" borderId="0" xfId="0" applyFont="1" applyFill="1" applyAlignment="1">
      <alignment horizontal="right" vertical="center"/>
    </xf>
    <xf numFmtId="0" fontId="4" fillId="2" borderId="0" xfId="0" applyFont="1" applyFill="1" applyAlignment="1">
      <alignment horizontal="centerContinuous" vertical="center"/>
    </xf>
    <xf numFmtId="0" fontId="32" fillId="2" borderId="0" xfId="0" applyFont="1" applyFill="1" applyAlignment="1">
      <alignment horizontal="left" vertical="center"/>
    </xf>
    <xf numFmtId="0" fontId="9" fillId="2" borderId="1" xfId="0" applyFont="1" applyFill="1" applyBorder="1" applyAlignment="1">
      <alignment vertical="center"/>
    </xf>
    <xf numFmtId="3" fontId="16" fillId="2" borderId="1" xfId="0" applyNumberFormat="1" applyFont="1" applyFill="1" applyBorder="1" applyAlignment="1">
      <alignment vertical="center"/>
    </xf>
    <xf numFmtId="0" fontId="11" fillId="2" borderId="0" xfId="0" applyFont="1" applyFill="1" applyAlignment="1">
      <alignment horizontal="centerContinuous" vertical="center"/>
    </xf>
    <xf numFmtId="3" fontId="16" fillId="2" borderId="1" xfId="0" applyNumberFormat="1" applyFont="1" applyFill="1" applyBorder="1" applyAlignment="1">
      <alignment horizontal="center" vertical="center"/>
    </xf>
    <xf numFmtId="0" fontId="4" fillId="2" borderId="0" xfId="0" applyFont="1" applyFill="1" applyAlignment="1">
      <alignment horizontal="left" vertical="center"/>
    </xf>
    <xf numFmtId="3" fontId="2" fillId="2" borderId="1" xfId="0" applyNumberFormat="1" applyFont="1" applyFill="1" applyBorder="1" applyAlignment="1">
      <alignment horizontal="center" vertical="center"/>
    </xf>
    <xf numFmtId="0" fontId="23" fillId="0" borderId="0" xfId="0" applyFont="1" applyAlignment="1">
      <alignment vertical="center"/>
    </xf>
    <xf numFmtId="0" fontId="25" fillId="2" borderId="0" xfId="0" applyFont="1" applyFill="1" applyAlignment="1">
      <alignment horizontal="right" vertical="center"/>
    </xf>
    <xf numFmtId="168" fontId="2" fillId="0" borderId="1" xfId="19" applyNumberFormat="1" applyFont="1" applyBorder="1" applyAlignment="1">
      <alignment horizontal="center" vertical="center"/>
    </xf>
    <xf numFmtId="168" fontId="2" fillId="0" borderId="1" xfId="19" applyNumberFormat="1" applyFont="1" applyBorder="1" applyAlignment="1">
      <alignment horizontal="left" vertical="center"/>
    </xf>
    <xf numFmtId="4" fontId="2" fillId="0" borderId="1" xfId="2" applyNumberFormat="1" applyFont="1" applyFill="1" applyBorder="1" applyAlignment="1">
      <alignment vertical="center"/>
    </xf>
    <xf numFmtId="168" fontId="3" fillId="0" borderId="1" xfId="19" applyNumberFormat="1" applyFont="1" applyBorder="1" applyAlignment="1">
      <alignment horizontal="center" vertical="center"/>
    </xf>
    <xf numFmtId="168" fontId="3" fillId="0" borderId="1" xfId="19" applyNumberFormat="1" applyFont="1" applyBorder="1" applyAlignment="1">
      <alignment horizontal="left" vertical="center"/>
    </xf>
    <xf numFmtId="4" fontId="3" fillId="0" borderId="1" xfId="2" applyNumberFormat="1" applyFont="1" applyFill="1" applyBorder="1" applyAlignment="1">
      <alignment vertical="center"/>
    </xf>
    <xf numFmtId="168" fontId="3" fillId="0" borderId="1" xfId="19" quotePrefix="1" applyNumberFormat="1" applyFont="1" applyBorder="1" applyAlignment="1">
      <alignment horizontal="center" vertical="center"/>
    </xf>
    <xf numFmtId="0" fontId="32" fillId="2" borderId="3" xfId="0" applyFont="1" applyFill="1" applyBorder="1" applyAlignment="1">
      <alignment vertical="center"/>
    </xf>
    <xf numFmtId="0" fontId="16" fillId="2" borderId="3" xfId="0" applyFont="1" applyFill="1" applyBorder="1" applyAlignment="1">
      <alignment horizontal="right" vertical="center"/>
    </xf>
    <xf numFmtId="171" fontId="9" fillId="2" borderId="1" xfId="2" applyNumberFormat="1" applyFont="1" applyFill="1" applyBorder="1" applyAlignment="1">
      <alignment vertical="center"/>
    </xf>
    <xf numFmtId="171" fontId="16" fillId="2" borderId="1" xfId="2" applyNumberFormat="1" applyFont="1" applyFill="1" applyBorder="1" applyAlignment="1">
      <alignment vertical="center"/>
    </xf>
    <xf numFmtId="0" fontId="2" fillId="0" borderId="0" xfId="14" applyFont="1" applyAlignment="1">
      <alignment horizontal="centerContinuous" vertical="center"/>
    </xf>
    <xf numFmtId="0" fontId="3" fillId="0" borderId="0" xfId="14" applyFont="1" applyAlignment="1">
      <alignment horizontal="centerContinuous" vertical="center"/>
    </xf>
    <xf numFmtId="0" fontId="3" fillId="0" borderId="0" xfId="14" applyFont="1" applyAlignment="1">
      <alignment vertical="center"/>
    </xf>
    <xf numFmtId="0" fontId="7" fillId="0" borderId="0" xfId="14" applyFont="1" applyAlignment="1">
      <alignment horizontal="centerContinuous" vertical="center"/>
    </xf>
    <xf numFmtId="0" fontId="8" fillId="0" borderId="0" xfId="14" applyFont="1" applyAlignment="1">
      <alignment horizontal="centerContinuous" vertical="center"/>
    </xf>
    <xf numFmtId="0" fontId="8" fillId="0" borderId="0" xfId="14" applyFont="1" applyAlignment="1">
      <alignment vertical="center"/>
    </xf>
    <xf numFmtId="0" fontId="11" fillId="0" borderId="0" xfId="14" applyFont="1" applyAlignment="1">
      <alignment horizontal="centerContinuous" vertical="center"/>
    </xf>
    <xf numFmtId="0" fontId="2" fillId="0" borderId="0" xfId="14" quotePrefix="1" applyFont="1" applyAlignment="1">
      <alignment horizontal="centerContinuous" vertical="center"/>
    </xf>
    <xf numFmtId="0" fontId="5" fillId="0" borderId="0" xfId="14" applyFont="1" applyAlignment="1">
      <alignment horizontal="left" vertical="center"/>
    </xf>
    <xf numFmtId="0" fontId="6" fillId="0" borderId="0" xfId="14" applyFont="1" applyAlignment="1">
      <alignment vertical="center"/>
    </xf>
    <xf numFmtId="0" fontId="11" fillId="0" borderId="0" xfId="14" applyFont="1" applyAlignment="1">
      <alignment horizontal="right" vertical="center"/>
    </xf>
    <xf numFmtId="3" fontId="6" fillId="0" borderId="0" xfId="14" applyNumberFormat="1" applyFont="1" applyAlignment="1">
      <alignment vertical="center"/>
    </xf>
    <xf numFmtId="171" fontId="6" fillId="0" borderId="0" xfId="14" applyNumberFormat="1" applyFont="1" applyAlignment="1">
      <alignment vertical="center"/>
    </xf>
    <xf numFmtId="0" fontId="6" fillId="2" borderId="0" xfId="20" applyFont="1" applyFill="1" applyAlignment="1">
      <alignment vertical="center"/>
    </xf>
    <xf numFmtId="0" fontId="6" fillId="2" borderId="0" xfId="20" applyFont="1" applyFill="1" applyAlignment="1">
      <alignment horizontal="right" vertical="center"/>
    </xf>
    <xf numFmtId="0" fontId="3" fillId="2" borderId="0" xfId="20" applyFont="1" applyFill="1" applyAlignment="1">
      <alignment horizontal="right" vertical="center" wrapText="1"/>
    </xf>
    <xf numFmtId="171" fontId="6" fillId="2" borderId="0" xfId="20" applyNumberFormat="1" applyFont="1" applyFill="1" applyAlignment="1">
      <alignment vertical="center"/>
    </xf>
    <xf numFmtId="0" fontId="11" fillId="2" borderId="3" xfId="15" applyFont="1" applyFill="1" applyBorder="1" applyAlignment="1">
      <alignment vertical="center"/>
    </xf>
    <xf numFmtId="0" fontId="5" fillId="2" borderId="0" xfId="15" applyFont="1" applyFill="1" applyAlignment="1">
      <alignment vertical="center"/>
    </xf>
    <xf numFmtId="0" fontId="2" fillId="2" borderId="1" xfId="20" applyFont="1" applyFill="1" applyBorder="1" applyAlignment="1">
      <alignment vertical="center"/>
    </xf>
    <xf numFmtId="4" fontId="2" fillId="2" borderId="1" xfId="3" applyNumberFormat="1" applyFont="1" applyFill="1" applyBorder="1" applyAlignment="1">
      <alignment vertical="center"/>
    </xf>
    <xf numFmtId="4" fontId="2" fillId="2" borderId="0" xfId="20" applyNumberFormat="1" applyFont="1" applyFill="1" applyAlignment="1">
      <alignment vertical="center"/>
    </xf>
    <xf numFmtId="3" fontId="2" fillId="2" borderId="0" xfId="20" applyNumberFormat="1" applyFont="1" applyFill="1" applyAlignment="1">
      <alignment horizontal="right" vertical="center" wrapText="1"/>
    </xf>
    <xf numFmtId="0" fontId="3" fillId="2" borderId="1" xfId="20" applyFont="1" applyFill="1" applyBorder="1" applyAlignment="1">
      <alignment horizontal="center" vertical="center"/>
    </xf>
    <xf numFmtId="0" fontId="3" fillId="2" borderId="1" xfId="20" applyFont="1" applyFill="1" applyBorder="1" applyAlignment="1">
      <alignment vertical="center"/>
    </xf>
    <xf numFmtId="4" fontId="3" fillId="2" borderId="1" xfId="3" applyNumberFormat="1" applyFont="1" applyFill="1" applyBorder="1" applyAlignment="1">
      <alignment vertical="center"/>
    </xf>
    <xf numFmtId="3" fontId="3" fillId="2" borderId="0" xfId="20" applyNumberFormat="1" applyFont="1" applyFill="1" applyAlignment="1">
      <alignment horizontal="right" vertical="center" wrapText="1"/>
    </xf>
    <xf numFmtId="0" fontId="3" fillId="2" borderId="1" xfId="20" applyFont="1" applyFill="1" applyBorder="1" applyAlignment="1">
      <alignment horizontal="left" vertical="center" wrapText="1"/>
    </xf>
    <xf numFmtId="0" fontId="18" fillId="2" borderId="0" xfId="20" applyFont="1" applyFill="1" applyAlignment="1">
      <alignment vertical="center"/>
    </xf>
    <xf numFmtId="0" fontId="18" fillId="2" borderId="0" xfId="20" applyFont="1" applyFill="1" applyAlignment="1">
      <alignment horizontal="right" vertical="center" wrapText="1"/>
    </xf>
    <xf numFmtId="0" fontId="11" fillId="2" borderId="0" xfId="0" applyFont="1" applyFill="1" applyAlignment="1">
      <alignment horizontal="center" vertical="center"/>
    </xf>
    <xf numFmtId="0" fontId="2" fillId="2" borderId="0" xfId="0" applyFont="1" applyFill="1" applyAlignment="1">
      <alignment horizontal="center" vertical="center"/>
    </xf>
    <xf numFmtId="3" fontId="3" fillId="2" borderId="6" xfId="0" applyNumberFormat="1" applyFont="1" applyFill="1" applyBorder="1" applyAlignment="1">
      <alignment vertical="center"/>
    </xf>
    <xf numFmtId="0" fontId="18" fillId="2" borderId="0" xfId="0" applyFont="1" applyFill="1" applyAlignment="1">
      <alignment horizontal="center" vertical="center" wrapText="1"/>
    </xf>
    <xf numFmtId="0" fontId="3" fillId="2" borderId="0" xfId="0" applyFont="1" applyFill="1" applyAlignment="1">
      <alignment horizontal="left" vertical="top" wrapText="1"/>
    </xf>
    <xf numFmtId="0" fontId="31" fillId="2" borderId="0" xfId="0" applyFont="1" applyFill="1"/>
    <xf numFmtId="3" fontId="3" fillId="2" borderId="6" xfId="0" applyNumberFormat="1" applyFont="1" applyFill="1" applyBorder="1" applyAlignment="1">
      <alignment horizontal="center" vertical="center"/>
    </xf>
    <xf numFmtId="3" fontId="3" fillId="0" borderId="6" xfId="0" applyNumberFormat="1" applyFont="1" applyBorder="1" applyAlignment="1">
      <alignment vertical="center"/>
    </xf>
    <xf numFmtId="3" fontId="16" fillId="2" borderId="6" xfId="0" applyNumberFormat="1" applyFont="1" applyFill="1" applyBorder="1" applyAlignment="1">
      <alignment horizontal="center" vertical="center"/>
    </xf>
    <xf numFmtId="3" fontId="16" fillId="2" borderId="6" xfId="0" applyNumberFormat="1" applyFont="1" applyFill="1" applyBorder="1" applyAlignment="1">
      <alignment vertical="center"/>
    </xf>
    <xf numFmtId="171" fontId="3" fillId="2" borderId="6" xfId="2" applyNumberFormat="1" applyFont="1" applyFill="1" applyBorder="1" applyAlignment="1">
      <alignment vertical="center"/>
    </xf>
    <xf numFmtId="0" fontId="3" fillId="2" borderId="6" xfId="0" applyFont="1" applyFill="1" applyBorder="1" applyAlignment="1">
      <alignment horizontal="center" vertical="center" wrapText="1"/>
    </xf>
    <xf numFmtId="3" fontId="3" fillId="2" borderId="6" xfId="0" applyNumberFormat="1" applyFont="1" applyFill="1" applyBorder="1"/>
    <xf numFmtId="3" fontId="2" fillId="2" borderId="1" xfId="8" applyNumberFormat="1" applyFont="1" applyFill="1" applyBorder="1" applyAlignment="1">
      <alignment horizontal="right" vertical="center"/>
    </xf>
    <xf numFmtId="3" fontId="3" fillId="2" borderId="1" xfId="8" applyNumberFormat="1" applyFont="1" applyFill="1" applyBorder="1" applyAlignment="1">
      <alignment horizontal="right" vertical="center"/>
    </xf>
    <xf numFmtId="3" fontId="3" fillId="0" borderId="1" xfId="8" applyNumberFormat="1" applyFont="1" applyFill="1" applyBorder="1" applyAlignment="1">
      <alignment horizontal="right" vertical="center"/>
    </xf>
    <xf numFmtId="0" fontId="65" fillId="2" borderId="1" xfId="0" applyFont="1" applyFill="1" applyBorder="1" applyAlignment="1">
      <alignment vertical="center"/>
    </xf>
    <xf numFmtId="0" fontId="2" fillId="2" borderId="1" xfId="0" applyFont="1" applyFill="1" applyBorder="1" applyAlignment="1">
      <alignment horizontal="center" vertical="center" wrapText="1"/>
    </xf>
    <xf numFmtId="171" fontId="2" fillId="2" borderId="1" xfId="2" applyNumberFormat="1" applyFont="1" applyFill="1" applyBorder="1" applyAlignment="1">
      <alignment vertical="center"/>
    </xf>
    <xf numFmtId="0" fontId="16" fillId="0" borderId="1" xfId="0" applyFont="1" applyBorder="1" applyAlignment="1">
      <alignment horizontal="center" vertical="center"/>
    </xf>
    <xf numFmtId="171" fontId="9" fillId="0" borderId="1" xfId="2" applyNumberFormat="1" applyFont="1" applyFill="1" applyBorder="1" applyAlignment="1">
      <alignment vertical="center"/>
    </xf>
    <xf numFmtId="0" fontId="2" fillId="0" borderId="0" xfId="14" applyFont="1" applyAlignment="1">
      <alignment horizontal="centerContinuous" vertical="center" wrapText="1"/>
    </xf>
    <xf numFmtId="0" fontId="4" fillId="0" borderId="0" xfId="14" applyFont="1" applyAlignment="1">
      <alignment horizontal="centerContinuous" vertical="center"/>
    </xf>
    <xf numFmtId="0" fontId="4" fillId="0" borderId="0" xfId="14" applyFont="1" applyAlignment="1">
      <alignment horizontal="left" vertical="center"/>
    </xf>
    <xf numFmtId="0" fontId="4" fillId="0" borderId="0" xfId="14" applyFont="1" applyAlignment="1">
      <alignment horizontal="left" vertical="center" wrapText="1"/>
    </xf>
    <xf numFmtId="0" fontId="7" fillId="0" borderId="0" xfId="14" applyFont="1" applyAlignment="1">
      <alignment horizontal="centerContinuous" vertical="center" wrapText="1"/>
    </xf>
    <xf numFmtId="0" fontId="2" fillId="0" borderId="0" xfId="18" applyFont="1" applyAlignment="1">
      <alignment vertical="center" wrapText="1"/>
    </xf>
    <xf numFmtId="0" fontId="4" fillId="0" borderId="0" xfId="14" quotePrefix="1" applyFont="1" applyAlignment="1">
      <alignment horizontal="centerContinuous" vertical="center" wrapText="1"/>
    </xf>
    <xf numFmtId="0" fontId="4" fillId="0" borderId="0" xfId="14" quotePrefix="1" applyFont="1" applyAlignment="1">
      <alignment horizontal="centerContinuous" vertical="center"/>
    </xf>
    <xf numFmtId="0" fontId="5" fillId="0" borderId="0" xfId="14" applyFont="1" applyAlignment="1">
      <alignment horizontal="left" vertical="center" wrapText="1"/>
    </xf>
    <xf numFmtId="0" fontId="16" fillId="0" borderId="1" xfId="14" applyFont="1" applyBorder="1" applyAlignment="1">
      <alignment horizontal="center" vertical="center"/>
    </xf>
    <xf numFmtId="0" fontId="16" fillId="0" borderId="1" xfId="14" applyFont="1" applyBorder="1" applyAlignment="1">
      <alignment horizontal="center" vertical="center" wrapText="1"/>
    </xf>
    <xf numFmtId="0" fontId="17" fillId="0" borderId="1" xfId="14" quotePrefix="1" applyFont="1" applyBorder="1" applyAlignment="1">
      <alignment horizontal="center" vertical="center"/>
    </xf>
    <xf numFmtId="0" fontId="16" fillId="0" borderId="0" xfId="14" applyFont="1" applyAlignment="1">
      <alignment vertical="center"/>
    </xf>
    <xf numFmtId="0" fontId="9" fillId="0" borderId="1" xfId="14" applyFont="1" applyBorder="1" applyAlignment="1">
      <alignment horizontal="center" vertical="center"/>
    </xf>
    <xf numFmtId="0" fontId="9" fillId="0" borderId="1" xfId="14" applyFont="1" applyBorder="1" applyAlignment="1">
      <alignment vertical="center" wrapText="1"/>
    </xf>
    <xf numFmtId="0" fontId="16" fillId="0" borderId="0" xfId="14" applyFont="1"/>
    <xf numFmtId="0" fontId="16" fillId="0" borderId="1" xfId="0" applyFont="1" applyBorder="1" applyAlignment="1">
      <alignment vertical="center" wrapText="1"/>
    </xf>
    <xf numFmtId="0" fontId="16" fillId="0" borderId="0" xfId="0" applyFont="1"/>
    <xf numFmtId="0" fontId="9" fillId="0" borderId="1" xfId="0" applyFont="1" applyBorder="1" applyAlignment="1">
      <alignment vertical="center" wrapText="1"/>
    </xf>
    <xf numFmtId="0" fontId="9" fillId="0" borderId="0" xfId="14" applyFont="1"/>
    <xf numFmtId="3" fontId="16" fillId="0" borderId="1" xfId="0" applyNumberFormat="1" applyFont="1" applyBorder="1" applyAlignment="1">
      <alignment horizontal="center" vertical="center"/>
    </xf>
    <xf numFmtId="3" fontId="16" fillId="0" borderId="1" xfId="0" applyNumberFormat="1" applyFont="1" applyBorder="1" applyAlignment="1">
      <alignment vertical="center" wrapText="1"/>
    </xf>
    <xf numFmtId="3" fontId="16" fillId="0" borderId="6" xfId="0" applyNumberFormat="1" applyFont="1" applyBorder="1" applyAlignment="1">
      <alignment vertical="center" wrapText="1"/>
    </xf>
    <xf numFmtId="0" fontId="6" fillId="0" borderId="0" xfId="14" applyFont="1" applyAlignment="1">
      <alignment wrapText="1"/>
    </xf>
    <xf numFmtId="0" fontId="3" fillId="0" borderId="0" xfId="14" applyFont="1" applyAlignment="1">
      <alignment wrapText="1"/>
    </xf>
    <xf numFmtId="0" fontId="2" fillId="0" borderId="4" xfId="21" applyFont="1" applyBorder="1" applyAlignment="1">
      <alignment horizontal="center" vertical="center" wrapText="1"/>
    </xf>
    <xf numFmtId="0" fontId="2" fillId="0" borderId="4" xfId="21" applyFont="1" applyBorder="1" applyAlignment="1">
      <alignment horizontal="justify" vertical="center" wrapText="1"/>
    </xf>
    <xf numFmtId="0" fontId="3" fillId="2" borderId="1" xfId="0" applyFont="1" applyFill="1" applyBorder="1"/>
    <xf numFmtId="0" fontId="2" fillId="0" borderId="1" xfId="21" applyFont="1" applyBorder="1" applyAlignment="1">
      <alignment horizontal="center" vertical="center" wrapText="1"/>
    </xf>
    <xf numFmtId="0" fontId="2" fillId="0" borderId="4" xfId="11" applyFont="1" applyBorder="1" applyAlignment="1">
      <alignment vertical="center" wrapText="1"/>
    </xf>
    <xf numFmtId="3" fontId="2" fillId="0" borderId="1" xfId="0" applyNumberFormat="1" applyFont="1" applyBorder="1" applyAlignment="1">
      <alignment vertical="center"/>
    </xf>
    <xf numFmtId="3" fontId="3" fillId="0" borderId="0" xfId="0" applyNumberFormat="1" applyFont="1"/>
    <xf numFmtId="0" fontId="3" fillId="0" borderId="0" xfId="0" applyFont="1"/>
    <xf numFmtId="0" fontId="2" fillId="0" borderId="0" xfId="0" applyFont="1"/>
    <xf numFmtId="0" fontId="4" fillId="0" borderId="0" xfId="0" applyFont="1" applyAlignment="1">
      <alignment horizontal="centerContinuous" vertical="center"/>
    </xf>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horizontal="centerContinuous" vertical="center"/>
    </xf>
    <xf numFmtId="0" fontId="6" fillId="0" borderId="0" xfId="0" applyFont="1"/>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xf numFmtId="0" fontId="16" fillId="0" borderId="1" xfId="0" quotePrefix="1" applyFont="1" applyBorder="1" applyAlignment="1">
      <alignment horizontal="center" vertical="center"/>
    </xf>
    <xf numFmtId="0" fontId="16" fillId="0" borderId="0" xfId="0" applyFont="1" applyAlignment="1">
      <alignment vertical="center"/>
    </xf>
    <xf numFmtId="0" fontId="3" fillId="0" borderId="1" xfId="0" applyFont="1" applyBorder="1" applyAlignment="1">
      <alignment vertical="center"/>
    </xf>
    <xf numFmtId="0" fontId="11" fillId="0" borderId="0" xfId="0" applyFont="1" applyAlignment="1">
      <alignment vertical="center"/>
    </xf>
    <xf numFmtId="171" fontId="3" fillId="0" borderId="1" xfId="2"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11" fillId="0" borderId="0" xfId="0" applyFont="1" applyAlignment="1">
      <alignment horizontal="center" vertical="center"/>
    </xf>
    <xf numFmtId="171" fontId="2" fillId="0" borderId="1" xfId="6" applyNumberFormat="1" applyFont="1" applyFill="1" applyBorder="1" applyAlignment="1">
      <alignment horizontal="right" vertical="center"/>
    </xf>
    <xf numFmtId="171" fontId="2" fillId="0" borderId="1" xfId="8" applyNumberFormat="1" applyFont="1" applyFill="1" applyBorder="1" applyAlignment="1">
      <alignment horizontal="right" vertical="center"/>
    </xf>
    <xf numFmtId="1" fontId="6" fillId="0" borderId="0" xfId="0" applyNumberFormat="1" applyFont="1" applyAlignment="1">
      <alignment horizontal="center" vertical="center"/>
    </xf>
    <xf numFmtId="2" fontId="6" fillId="0" borderId="0" xfId="0" applyNumberFormat="1" applyFont="1" applyAlignment="1">
      <alignment vertical="center"/>
    </xf>
    <xf numFmtId="171" fontId="6" fillId="0" borderId="0" xfId="6" applyNumberFormat="1" applyFont="1" applyFill="1" applyAlignment="1">
      <alignment vertical="center"/>
    </xf>
    <xf numFmtId="171" fontId="6" fillId="0" borderId="0" xfId="6" applyNumberFormat="1" applyFont="1" applyFill="1" applyBorder="1" applyAlignment="1">
      <alignment vertical="center"/>
    </xf>
    <xf numFmtId="2" fontId="5" fillId="0" borderId="3" xfId="0" applyNumberFormat="1" applyFont="1" applyBorder="1" applyAlignment="1">
      <alignment horizontal="center" vertical="center"/>
    </xf>
    <xf numFmtId="2" fontId="5" fillId="0" borderId="0" xfId="0" applyNumberFormat="1" applyFont="1" applyAlignment="1">
      <alignment horizontal="center" vertical="center"/>
    </xf>
    <xf numFmtId="2" fontId="39" fillId="0" borderId="0" xfId="0" applyNumberFormat="1" applyFont="1" applyAlignment="1">
      <alignment horizontal="center" vertical="center" wrapText="1"/>
    </xf>
    <xf numFmtId="2" fontId="40" fillId="0" borderId="0" xfId="0" applyNumberFormat="1" applyFont="1" applyAlignment="1">
      <alignment horizontal="center" vertical="center" wrapText="1"/>
    </xf>
    <xf numFmtId="0" fontId="39" fillId="0" borderId="0" xfId="0" applyFont="1" applyAlignment="1">
      <alignment horizontal="center" vertical="center" wrapText="1"/>
    </xf>
    <xf numFmtId="1"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1" fontId="16" fillId="0" borderId="0" xfId="0" applyNumberFormat="1" applyFont="1" applyAlignment="1">
      <alignment horizontal="center" vertical="center" wrapText="1"/>
    </xf>
    <xf numFmtId="2" fontId="16" fillId="0" borderId="0" xfId="0" applyNumberFormat="1" applyFont="1" applyAlignment="1">
      <alignment horizontal="center" vertical="center" wrapText="1"/>
    </xf>
    <xf numFmtId="1" fontId="41" fillId="0" borderId="1" xfId="0" applyNumberFormat="1" applyFont="1" applyBorder="1" applyAlignment="1">
      <alignment horizontal="center" vertical="center"/>
    </xf>
    <xf numFmtId="2" fontId="41" fillId="0" borderId="1" xfId="0" applyNumberFormat="1" applyFont="1" applyBorder="1" applyAlignment="1">
      <alignment vertical="center"/>
    </xf>
    <xf numFmtId="172" fontId="41" fillId="0" borderId="1" xfId="24" applyNumberFormat="1" applyFont="1" applyFill="1" applyBorder="1" applyAlignment="1">
      <alignment horizontal="right" vertical="center"/>
    </xf>
    <xf numFmtId="43" fontId="41" fillId="0" borderId="0" xfId="24" applyNumberFormat="1" applyFont="1" applyFill="1" applyBorder="1" applyAlignment="1">
      <alignment horizontal="right" vertical="center"/>
    </xf>
    <xf numFmtId="2" fontId="41" fillId="0" borderId="0" xfId="0" applyNumberFormat="1" applyFont="1" applyAlignment="1">
      <alignment vertical="center"/>
    </xf>
    <xf numFmtId="1" fontId="2" fillId="0" borderId="1" xfId="0" applyNumberFormat="1" applyFont="1" applyBorder="1" applyAlignment="1">
      <alignment horizontal="center" vertical="center"/>
    </xf>
    <xf numFmtId="2" fontId="2" fillId="0" borderId="1" xfId="0" applyNumberFormat="1" applyFont="1" applyBorder="1" applyAlignment="1">
      <alignment vertical="center"/>
    </xf>
    <xf numFmtId="172" fontId="2" fillId="0" borderId="1" xfId="24" applyNumberFormat="1" applyFont="1" applyFill="1" applyBorder="1" applyAlignment="1">
      <alignment horizontal="right" vertical="center"/>
    </xf>
    <xf numFmtId="9" fontId="2" fillId="0" borderId="0" xfId="24" applyFont="1" applyFill="1" applyBorder="1" applyAlignment="1">
      <alignment horizontal="right" vertical="center"/>
    </xf>
    <xf numFmtId="2" fontId="2" fillId="0" borderId="0" xfId="0" applyNumberFormat="1" applyFont="1" applyAlignment="1">
      <alignment vertical="center"/>
    </xf>
    <xf numFmtId="1" fontId="3" fillId="0" borderId="1" xfId="0" applyNumberFormat="1" applyFont="1" applyBorder="1" applyAlignment="1">
      <alignment horizontal="center" vertical="center"/>
    </xf>
    <xf numFmtId="2" fontId="3" fillId="0" borderId="1" xfId="0" applyNumberFormat="1" applyFont="1" applyBorder="1" applyAlignment="1">
      <alignment vertical="center"/>
    </xf>
    <xf numFmtId="171" fontId="3" fillId="0" borderId="1" xfId="8" applyNumberFormat="1" applyFont="1" applyFill="1" applyBorder="1" applyAlignment="1">
      <alignment horizontal="right" vertical="center"/>
    </xf>
    <xf numFmtId="171" fontId="3" fillId="0" borderId="1" xfId="6" applyNumberFormat="1" applyFont="1" applyFill="1" applyBorder="1" applyAlignment="1">
      <alignment horizontal="right" vertical="center"/>
    </xf>
    <xf numFmtId="172" fontId="3" fillId="0" borderId="1" xfId="24" applyNumberFormat="1" applyFont="1" applyFill="1" applyBorder="1" applyAlignment="1">
      <alignment horizontal="right" vertical="center"/>
    </xf>
    <xf numFmtId="9" fontId="3" fillId="0" borderId="0" xfId="24" applyFont="1" applyFill="1" applyBorder="1" applyAlignment="1">
      <alignment horizontal="right" vertical="center"/>
    </xf>
    <xf numFmtId="2" fontId="3" fillId="0" borderId="0" xfId="0" applyNumberFormat="1" applyFont="1" applyAlignment="1">
      <alignment vertical="center"/>
    </xf>
    <xf numFmtId="2" fontId="2" fillId="0" borderId="1" xfId="0" applyNumberFormat="1" applyFont="1" applyBorder="1" applyAlignment="1">
      <alignment vertical="center" wrapText="1"/>
    </xf>
    <xf numFmtId="43" fontId="2" fillId="0" borderId="0" xfId="3" applyFont="1" applyFill="1" applyBorder="1" applyAlignment="1">
      <alignment horizontal="right" vertical="center"/>
    </xf>
    <xf numFmtId="9" fontId="3" fillId="0" borderId="0" xfId="24" applyFont="1" applyFill="1" applyBorder="1" applyAlignment="1">
      <alignment horizontal="left" vertical="center"/>
    </xf>
    <xf numFmtId="3" fontId="3" fillId="0" borderId="0" xfId="0" applyNumberFormat="1" applyFont="1" applyAlignment="1">
      <alignment vertical="center"/>
    </xf>
    <xf numFmtId="171" fontId="41" fillId="0" borderId="0" xfId="24" applyNumberFormat="1" applyFont="1" applyFill="1" applyBorder="1" applyAlignment="1">
      <alignment horizontal="right" vertical="center"/>
    </xf>
    <xf numFmtId="171" fontId="2" fillId="0" borderId="0" xfId="24" applyNumberFormat="1" applyFont="1" applyFill="1" applyBorder="1" applyAlignment="1">
      <alignment horizontal="right" vertical="center"/>
    </xf>
    <xf numFmtId="171" fontId="3" fillId="0" borderId="0" xfId="24" applyNumberFormat="1" applyFont="1" applyFill="1" applyBorder="1" applyAlignment="1">
      <alignment horizontal="right" vertical="center"/>
    </xf>
    <xf numFmtId="1" fontId="3" fillId="0" borderId="1" xfId="0" applyNumberFormat="1" applyFont="1" applyBorder="1" applyAlignment="1">
      <alignment horizontal="center" vertical="center" wrapText="1"/>
    </xf>
    <xf numFmtId="3" fontId="3" fillId="0" borderId="1" xfId="0" applyNumberFormat="1" applyFont="1" applyBorder="1" applyAlignment="1">
      <alignment horizontal="right" vertical="center"/>
    </xf>
    <xf numFmtId="172" fontId="3" fillId="0" borderId="1" xfId="24" applyNumberFormat="1" applyFont="1" applyFill="1" applyBorder="1" applyAlignment="1">
      <alignment vertical="center"/>
    </xf>
    <xf numFmtId="3" fontId="16" fillId="0" borderId="0" xfId="0" applyNumberFormat="1" applyFont="1"/>
    <xf numFmtId="3" fontId="2" fillId="0" borderId="0" xfId="0" applyNumberFormat="1" applyFont="1" applyAlignment="1">
      <alignment vertical="center"/>
    </xf>
    <xf numFmtId="171" fontId="3" fillId="0" borderId="0" xfId="3" applyNumberFormat="1" applyFont="1" applyFill="1" applyAlignment="1">
      <alignment vertical="center"/>
    </xf>
    <xf numFmtId="3" fontId="18" fillId="0" borderId="0" xfId="0" applyNumberFormat="1" applyFont="1" applyAlignment="1">
      <alignment vertical="center"/>
    </xf>
    <xf numFmtId="0" fontId="2" fillId="0" borderId="0" xfId="0" applyFont="1" applyAlignment="1">
      <alignment horizontal="center" vertical="center"/>
    </xf>
    <xf numFmtId="0" fontId="11" fillId="0" borderId="3" xfId="0" applyFont="1" applyBorder="1" applyAlignment="1">
      <alignment vertical="center"/>
    </xf>
    <xf numFmtId="0" fontId="2"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3"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41" fillId="0" borderId="1" xfId="0" applyFont="1" applyBorder="1" applyAlignment="1">
      <alignment horizontal="center" vertical="center"/>
    </xf>
    <xf numFmtId="0" fontId="41" fillId="0" borderId="1" xfId="0" applyFont="1" applyBorder="1" applyAlignment="1">
      <alignment horizontal="left" vertical="center" wrapText="1"/>
    </xf>
    <xf numFmtId="3" fontId="41" fillId="0" borderId="0" xfId="0" applyNumberFormat="1" applyFont="1" applyAlignment="1">
      <alignment vertical="center"/>
    </xf>
    <xf numFmtId="0" fontId="41" fillId="0" borderId="0" xfId="0" applyFont="1" applyAlignment="1">
      <alignment vertical="center"/>
    </xf>
    <xf numFmtId="3" fontId="41" fillId="0" borderId="1" xfId="0" applyNumberFormat="1" applyFont="1" applyBorder="1" applyAlignment="1">
      <alignment horizontal="center" vertical="center"/>
    </xf>
    <xf numFmtId="3" fontId="41" fillId="0" borderId="1" xfId="0" applyNumberFormat="1" applyFont="1" applyBorder="1" applyAlignment="1">
      <alignment horizontal="left" vertical="center"/>
    </xf>
    <xf numFmtId="179" fontId="41" fillId="0" borderId="0" xfId="0" applyNumberFormat="1" applyFont="1" applyAlignment="1">
      <alignment vertical="center"/>
    </xf>
    <xf numFmtId="3" fontId="2" fillId="0" borderId="1" xfId="0" applyNumberFormat="1" applyFont="1" applyBorder="1" applyAlignment="1">
      <alignment horizontal="center" vertical="center"/>
    </xf>
    <xf numFmtId="3" fontId="2" fillId="0" borderId="1" xfId="0" applyNumberFormat="1" applyFont="1" applyBorder="1" applyAlignment="1">
      <alignment horizontal="left" vertical="center"/>
    </xf>
    <xf numFmtId="172" fontId="2" fillId="0" borderId="1" xfId="24" applyNumberFormat="1" applyFont="1" applyFill="1" applyBorder="1" applyAlignment="1">
      <alignment vertical="center"/>
    </xf>
    <xf numFmtId="3" fontId="3" fillId="0" borderId="1" xfId="0" applyNumberFormat="1" applyFont="1" applyBorder="1" applyAlignment="1">
      <alignment horizontal="left" vertical="center"/>
    </xf>
    <xf numFmtId="179" fontId="2" fillId="0" borderId="0" xfId="0" applyNumberFormat="1" applyFont="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horizontal="left" vertical="center" wrapText="1"/>
    </xf>
    <xf numFmtId="3" fontId="3" fillId="0" borderId="1" xfId="0" applyNumberFormat="1" applyFont="1" applyBorder="1" applyAlignment="1">
      <alignment horizontal="right" vertical="center" wrapText="1"/>
    </xf>
    <xf numFmtId="0" fontId="2" fillId="0" borderId="1" xfId="10" applyFont="1" applyBorder="1" applyAlignment="1">
      <alignment horizontal="center" vertical="center" wrapText="1"/>
    </xf>
    <xf numFmtId="0" fontId="2" fillId="0" borderId="1" xfId="10" applyFont="1" applyBorder="1" applyAlignment="1">
      <alignment vertical="center" wrapText="1"/>
    </xf>
    <xf numFmtId="180" fontId="2" fillId="0" borderId="0" xfId="0" applyNumberFormat="1" applyFont="1" applyAlignment="1">
      <alignment vertical="center"/>
    </xf>
    <xf numFmtId="0" fontId="3" fillId="0" borderId="1" xfId="10" applyFont="1" applyBorder="1" applyAlignment="1">
      <alignment horizontal="center" vertical="center" wrapText="1"/>
    </xf>
    <xf numFmtId="0" fontId="3" fillId="0" borderId="1" xfId="10" applyFont="1" applyBorder="1" applyAlignment="1">
      <alignment vertical="center" wrapText="1"/>
    </xf>
    <xf numFmtId="0" fontId="2" fillId="0" borderId="0" xfId="1" applyFont="1" applyAlignment="1">
      <alignment horizontal="center" vertical="center"/>
    </xf>
    <xf numFmtId="0" fontId="3" fillId="0" borderId="0" xfId="1" applyFont="1" applyAlignment="1">
      <alignment vertical="center"/>
    </xf>
    <xf numFmtId="3" fontId="2" fillId="0" borderId="1" xfId="0" applyNumberFormat="1" applyFont="1" applyBorder="1" applyAlignment="1">
      <alignment vertical="center" wrapText="1"/>
    </xf>
    <xf numFmtId="0" fontId="2" fillId="0" borderId="1" xfId="0" applyFont="1" applyBorder="1" applyAlignment="1">
      <alignment vertical="center" wrapText="1"/>
    </xf>
    <xf numFmtId="0" fontId="41" fillId="0" borderId="1" xfId="10" applyFont="1" applyBorder="1" applyAlignment="1">
      <alignment horizontal="center" vertical="center" wrapText="1"/>
    </xf>
    <xf numFmtId="0" fontId="41" fillId="0" borderId="1" xfId="10" applyFont="1" applyBorder="1" applyAlignment="1">
      <alignment vertical="center" wrapText="1"/>
    </xf>
    <xf numFmtId="0" fontId="62" fillId="0" borderId="0" xfId="0" applyFont="1" applyAlignment="1">
      <alignment horizontal="right" vertical="center"/>
    </xf>
    <xf numFmtId="0" fontId="62" fillId="0" borderId="0" xfId="0" applyFont="1" applyAlignment="1">
      <alignment vertical="center"/>
    </xf>
    <xf numFmtId="0" fontId="8" fillId="0" borderId="0" xfId="0" applyFont="1" applyAlignment="1">
      <alignment vertical="center"/>
    </xf>
    <xf numFmtId="3" fontId="6"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3" fontId="2" fillId="0" borderId="1" xfId="8" applyNumberFormat="1" applyFont="1" applyFill="1" applyBorder="1" applyAlignment="1">
      <alignment horizontal="right" vertical="center"/>
    </xf>
    <xf numFmtId="0" fontId="62" fillId="0" borderId="1" xfId="0" applyFont="1" applyBorder="1" applyAlignment="1">
      <alignment vertical="center"/>
    </xf>
    <xf numFmtId="166" fontId="62" fillId="0" borderId="1" xfId="0" applyNumberFormat="1" applyFont="1" applyBorder="1" applyAlignment="1">
      <alignment vertical="center"/>
    </xf>
    <xf numFmtId="0" fontId="65" fillId="0" borderId="1" xfId="0" applyFont="1" applyBorder="1" applyAlignment="1">
      <alignment vertical="center"/>
    </xf>
    <xf numFmtId="0" fontId="62" fillId="0" borderId="1" xfId="0" applyFont="1" applyBorder="1" applyAlignment="1">
      <alignment horizontal="center" vertical="center" wrapText="1"/>
    </xf>
    <xf numFmtId="3" fontId="62" fillId="0" borderId="1" xfId="0" applyNumberFormat="1" applyFont="1" applyBorder="1" applyAlignment="1">
      <alignment vertical="center" wrapText="1"/>
    </xf>
    <xf numFmtId="171" fontId="3" fillId="0" borderId="0" xfId="2" applyNumberFormat="1" applyFont="1" applyFill="1" applyAlignment="1">
      <alignment horizontal="centerContinuous" vertical="center"/>
    </xf>
    <xf numFmtId="171" fontId="6" fillId="0" borderId="0" xfId="2" applyNumberFormat="1" applyFont="1" applyFill="1" applyAlignment="1">
      <alignment vertical="center"/>
    </xf>
    <xf numFmtId="0" fontId="2" fillId="0" borderId="0" xfId="0" applyFont="1" applyAlignment="1">
      <alignment horizontal="center" vertical="center" wrapText="1"/>
    </xf>
    <xf numFmtId="0" fontId="16" fillId="0" borderId="0" xfId="0" applyFont="1" applyAlignment="1">
      <alignment horizontal="center" vertical="center"/>
    </xf>
    <xf numFmtId="0" fontId="36" fillId="0" borderId="1" xfId="0" applyFont="1" applyBorder="1" applyAlignment="1">
      <alignment vertical="center"/>
    </xf>
    <xf numFmtId="172" fontId="2" fillId="0" borderId="0" xfId="24" applyNumberFormat="1" applyFont="1" applyFill="1" applyBorder="1" applyAlignment="1">
      <alignment vertical="center"/>
    </xf>
    <xf numFmtId="171" fontId="3" fillId="0" borderId="0" xfId="0" applyNumberFormat="1" applyFont="1" applyAlignment="1">
      <alignment vertical="center"/>
    </xf>
    <xf numFmtId="172" fontId="3" fillId="0" borderId="0" xfId="24" applyNumberFormat="1" applyFont="1" applyFill="1" applyBorder="1" applyAlignment="1">
      <alignment vertical="center"/>
    </xf>
    <xf numFmtId="0" fontId="3" fillId="0" borderId="1" xfId="0" quotePrefix="1" applyFont="1" applyBorder="1" applyAlignment="1">
      <alignment horizontal="center" vertical="center"/>
    </xf>
    <xf numFmtId="4" fontId="3" fillId="0" borderId="1" xfId="0" applyNumberFormat="1" applyFont="1" applyBorder="1" applyAlignment="1">
      <alignment vertical="center"/>
    </xf>
    <xf numFmtId="171" fontId="3" fillId="0" borderId="0" xfId="2" applyNumberFormat="1" applyFont="1" applyFill="1" applyAlignment="1">
      <alignment vertical="center"/>
    </xf>
    <xf numFmtId="0" fontId="9" fillId="0" borderId="0" xfId="0" applyFont="1" applyAlignment="1">
      <alignment horizontal="centerContinuous" vertical="center"/>
    </xf>
    <xf numFmtId="0" fontId="16" fillId="0" borderId="0" xfId="0" applyFont="1" applyAlignment="1">
      <alignment horizontal="centerContinuous" vertical="center"/>
    </xf>
    <xf numFmtId="0" fontId="32" fillId="0" borderId="0" xfId="0" applyFont="1" applyAlignment="1">
      <alignment horizontal="left" vertical="center"/>
    </xf>
    <xf numFmtId="3" fontId="16" fillId="0" borderId="0" xfId="0" applyNumberFormat="1" applyFont="1" applyAlignment="1">
      <alignment vertical="center"/>
    </xf>
    <xf numFmtId="0" fontId="32" fillId="0" borderId="0" xfId="0" applyFont="1" applyAlignment="1">
      <alignment horizontal="center" vertical="center"/>
    </xf>
    <xf numFmtId="0" fontId="16" fillId="0" borderId="0" xfId="0" applyFont="1" applyAlignment="1">
      <alignment horizontal="right" vertical="center"/>
    </xf>
    <xf numFmtId="0" fontId="9" fillId="0" borderId="1" xfId="0" applyFont="1" applyBorder="1" applyAlignment="1">
      <alignment vertical="center"/>
    </xf>
    <xf numFmtId="3" fontId="9" fillId="0" borderId="1" xfId="0" applyNumberFormat="1" applyFont="1" applyBorder="1" applyAlignment="1">
      <alignment vertical="center"/>
    </xf>
    <xf numFmtId="0" fontId="9" fillId="0" borderId="0" xfId="0" applyFont="1"/>
    <xf numFmtId="0" fontId="16" fillId="0" borderId="1" xfId="0" applyFont="1" applyBorder="1" applyAlignment="1">
      <alignment vertical="center"/>
    </xf>
    <xf numFmtId="3" fontId="16" fillId="0" borderId="1" xfId="0" applyNumberFormat="1" applyFont="1" applyBorder="1" applyAlignment="1">
      <alignment vertical="center"/>
    </xf>
    <xf numFmtId="0" fontId="9" fillId="0" borderId="6" xfId="0" applyFont="1" applyBorder="1" applyAlignment="1">
      <alignment horizontal="center" vertical="center"/>
    </xf>
    <xf numFmtId="0" fontId="9" fillId="0" borderId="6" xfId="0" applyFont="1" applyBorder="1" applyAlignment="1">
      <alignment vertical="center"/>
    </xf>
    <xf numFmtId="3" fontId="9" fillId="0" borderId="6" xfId="0" applyNumberFormat="1" applyFont="1" applyBorder="1" applyAlignment="1">
      <alignment vertical="center"/>
    </xf>
    <xf numFmtId="3" fontId="16" fillId="0" borderId="6" xfId="0" applyNumberFormat="1" applyFont="1" applyBorder="1" applyAlignment="1">
      <alignment vertical="center"/>
    </xf>
    <xf numFmtId="0" fontId="3" fillId="0" borderId="0" xfId="0" applyFont="1" applyAlignment="1">
      <alignment horizontal="center" vertical="center"/>
    </xf>
    <xf numFmtId="3" fontId="2" fillId="0" borderId="1" xfId="0" applyNumberFormat="1" applyFont="1" applyBorder="1" applyAlignment="1">
      <alignment horizontal="center" vertical="center" wrapText="1"/>
    </xf>
    <xf numFmtId="0" fontId="61" fillId="0" borderId="1" xfId="0" applyFont="1" applyBorder="1" applyAlignment="1">
      <alignment horizontal="center" vertical="center"/>
    </xf>
    <xf numFmtId="0" fontId="7" fillId="0" borderId="0" xfId="0" applyFont="1" applyAlignment="1">
      <alignment horizontal="center" vertical="center"/>
    </xf>
    <xf numFmtId="3" fontId="7" fillId="0" borderId="0" xfId="0" applyNumberFormat="1" applyFont="1" applyAlignment="1">
      <alignment horizontal="center" vertical="center"/>
    </xf>
    <xf numFmtId="43" fontId="7" fillId="0" borderId="0" xfId="3" applyFont="1" applyFill="1" applyBorder="1" applyAlignment="1">
      <alignment vertical="center"/>
    </xf>
    <xf numFmtId="49" fontId="61" fillId="0" borderId="2" xfId="22" applyNumberFormat="1" applyFont="1" applyBorder="1" applyAlignment="1">
      <alignment horizontal="center" vertical="center" wrapText="1"/>
    </xf>
    <xf numFmtId="0" fontId="2" fillId="0" borderId="2"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7" fillId="0" borderId="0" xfId="0" applyFont="1" applyAlignment="1">
      <alignment vertical="center"/>
    </xf>
    <xf numFmtId="166" fontId="2" fillId="0" borderId="1" xfId="0" applyNumberFormat="1" applyFont="1" applyBorder="1" applyAlignment="1">
      <alignment horizontal="right" vertical="center" shrinkToFit="1"/>
    </xf>
    <xf numFmtId="174" fontId="2" fillId="0" borderId="1" xfId="0" applyNumberFormat="1" applyFont="1" applyBorder="1" applyAlignment="1">
      <alignment horizontal="right" vertical="center" shrinkToFit="1"/>
    </xf>
    <xf numFmtId="3" fontId="3" fillId="0" borderId="1" xfId="0" applyNumberFormat="1" applyFont="1" applyBorder="1" applyAlignment="1">
      <alignment horizontal="center" vertical="center" shrinkToFit="1"/>
    </xf>
    <xf numFmtId="3" fontId="7" fillId="0" borderId="0" xfId="0" applyNumberFormat="1" applyFont="1" applyAlignment="1">
      <alignment vertical="center"/>
    </xf>
    <xf numFmtId="0" fontId="2" fillId="0" borderId="1" xfId="0" applyFont="1" applyBorder="1" applyAlignment="1">
      <alignment horizontal="left" vertical="center"/>
    </xf>
    <xf numFmtId="174" fontId="7" fillId="0" borderId="0" xfId="0" applyNumberFormat="1" applyFont="1" applyAlignment="1">
      <alignment vertical="center"/>
    </xf>
    <xf numFmtId="166" fontId="2" fillId="0" borderId="1" xfId="0" applyNumberFormat="1" applyFont="1" applyBorder="1" applyAlignment="1">
      <alignment vertical="center" shrinkToFit="1"/>
    </xf>
    <xf numFmtId="174" fontId="2" fillId="0" borderId="1" xfId="0" applyNumberFormat="1" applyFont="1" applyBorder="1" applyAlignment="1">
      <alignment vertical="center" shrinkToFit="1"/>
    </xf>
    <xf numFmtId="0" fontId="3" fillId="0" borderId="1" xfId="0" applyFont="1" applyBorder="1" applyAlignment="1">
      <alignment horizontal="center" vertical="center" shrinkToFit="1"/>
    </xf>
    <xf numFmtId="173" fontId="2" fillId="0" borderId="1" xfId="0" applyNumberFormat="1" applyFont="1" applyBorder="1" applyAlignment="1">
      <alignment vertical="center" shrinkToFit="1"/>
    </xf>
    <xf numFmtId="0" fontId="3" fillId="0" borderId="1" xfId="17" applyFont="1" applyBorder="1" applyAlignment="1">
      <alignment horizontal="justify" vertical="center" wrapText="1"/>
    </xf>
    <xf numFmtId="166" fontId="3" fillId="0" borderId="1" xfId="17" applyNumberFormat="1" applyFont="1" applyBorder="1" applyAlignment="1">
      <alignment vertical="center" shrinkToFit="1"/>
    </xf>
    <xf numFmtId="173" fontId="3" fillId="0" borderId="1" xfId="17" applyNumberFormat="1" applyFont="1" applyBorder="1" applyAlignment="1">
      <alignment vertical="center" shrinkToFit="1"/>
    </xf>
    <xf numFmtId="174" fontId="3" fillId="0" borderId="1" xfId="0" applyNumberFormat="1" applyFont="1" applyBorder="1" applyAlignment="1">
      <alignment vertical="center" shrinkToFit="1"/>
    </xf>
    <xf numFmtId="166" fontId="2" fillId="0" borderId="1" xfId="17" applyNumberFormat="1" applyFont="1" applyBorder="1" applyAlignment="1">
      <alignment vertical="center" shrinkToFit="1"/>
    </xf>
    <xf numFmtId="174" fontId="2" fillId="0" borderId="1" xfId="17" applyNumberFormat="1" applyFont="1" applyBorder="1" applyAlignment="1">
      <alignment vertical="center" shrinkToFit="1"/>
    </xf>
    <xf numFmtId="173" fontId="2" fillId="0" borderId="1" xfId="17" applyNumberFormat="1" applyFont="1" applyBorder="1" applyAlignment="1">
      <alignment vertical="center" shrinkToFit="1"/>
    </xf>
    <xf numFmtId="174" fontId="3" fillId="0" borderId="1" xfId="17" applyNumberFormat="1" applyFont="1" applyBorder="1" applyAlignment="1">
      <alignment vertical="center" shrinkToFit="1"/>
    </xf>
    <xf numFmtId="0" fontId="2" fillId="0" borderId="1" xfId="17" applyFont="1" applyBorder="1" applyAlignment="1">
      <alignment horizontal="justify" vertical="center" wrapText="1"/>
    </xf>
    <xf numFmtId="0" fontId="3" fillId="0" borderId="1" xfId="0" applyFont="1" applyBorder="1" applyAlignment="1">
      <alignment horizontal="justify" vertical="center" wrapText="1"/>
    </xf>
    <xf numFmtId="173" fontId="8" fillId="0" borderId="0" xfId="0" applyNumberFormat="1" applyFont="1" applyAlignment="1">
      <alignment vertical="center"/>
    </xf>
    <xf numFmtId="0" fontId="8" fillId="0" borderId="0" xfId="0" applyFont="1" applyAlignment="1">
      <alignment horizontal="center" vertical="center"/>
    </xf>
    <xf numFmtId="0" fontId="53" fillId="0" borderId="0" xfId="0" applyFont="1" applyAlignment="1">
      <alignment horizontal="center" vertical="center" wrapText="1"/>
    </xf>
    <xf numFmtId="0" fontId="53" fillId="0" borderId="0" xfId="0" applyFont="1" applyAlignment="1">
      <alignment horizontal="left" vertical="center" wrapText="1"/>
    </xf>
    <xf numFmtId="3" fontId="53" fillId="0" borderId="0" xfId="0" applyNumberFormat="1" applyFont="1" applyAlignment="1">
      <alignment horizontal="right" vertical="center" wrapText="1"/>
    </xf>
    <xf numFmtId="49" fontId="2" fillId="0" borderId="2" xfId="22" applyNumberFormat="1" applyFont="1" applyBorder="1" applyAlignment="1">
      <alignment horizontal="center" vertical="center" wrapText="1"/>
    </xf>
    <xf numFmtId="3"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0" fontId="53" fillId="0" borderId="1" xfId="0" applyFont="1" applyBorder="1" applyAlignment="1">
      <alignment horizontal="center" vertical="center" wrapText="1"/>
    </xf>
    <xf numFmtId="0" fontId="3" fillId="0" borderId="1" xfId="0" quotePrefix="1" applyFont="1" applyBorder="1" applyAlignment="1">
      <alignment horizontal="left" vertical="center" wrapText="1"/>
    </xf>
    <xf numFmtId="0" fontId="3" fillId="0" borderId="1" xfId="0" quotePrefix="1" applyFont="1" applyBorder="1" applyAlignment="1">
      <alignment horizontal="center" vertical="center" wrapText="1"/>
    </xf>
    <xf numFmtId="3" fontId="3" fillId="0" borderId="1" xfId="0" quotePrefix="1" applyNumberFormat="1" applyFont="1" applyBorder="1" applyAlignment="1">
      <alignment horizontal="right" vertical="center" wrapText="1"/>
    </xf>
    <xf numFmtId="0" fontId="3" fillId="0" borderId="1" xfId="0" applyFont="1" applyBorder="1" applyAlignment="1">
      <alignment horizontal="center" vertical="center" wrapText="1"/>
    </xf>
    <xf numFmtId="0" fontId="66" fillId="0" borderId="1" xfId="0" applyFont="1" applyBorder="1" applyAlignment="1">
      <alignment horizontal="center" vertical="center" wrapText="1"/>
    </xf>
    <xf numFmtId="0" fontId="66" fillId="0" borderId="1" xfId="0" quotePrefix="1" applyFont="1" applyBorder="1" applyAlignment="1">
      <alignment horizontal="left" vertical="center" wrapText="1"/>
    </xf>
    <xf numFmtId="0" fontId="66" fillId="0" borderId="1" xfId="0" quotePrefix="1" applyFont="1" applyBorder="1" applyAlignment="1">
      <alignment horizontal="center" vertical="center" wrapText="1"/>
    </xf>
    <xf numFmtId="3" fontId="66" fillId="0" borderId="1" xfId="0" quotePrefix="1" applyNumberFormat="1" applyFont="1" applyBorder="1" applyAlignment="1">
      <alignment horizontal="right" vertical="center" wrapText="1"/>
    </xf>
    <xf numFmtId="0" fontId="66" fillId="0" borderId="0" xfId="0" applyFont="1" applyAlignment="1">
      <alignment horizontal="center" vertical="center" wrapText="1"/>
    </xf>
    <xf numFmtId="0" fontId="66" fillId="0" borderId="1" xfId="0" applyFont="1" applyBorder="1" applyAlignment="1">
      <alignment horizontal="left" vertical="center" wrapText="1"/>
    </xf>
    <xf numFmtId="0" fontId="66" fillId="0" borderId="8" xfId="0" applyFont="1" applyBorder="1" applyAlignment="1">
      <alignment horizontal="center" vertical="center" wrapText="1"/>
    </xf>
    <xf numFmtId="3" fontId="66" fillId="0" borderId="1" xfId="0" applyNumberFormat="1" applyFont="1" applyBorder="1" applyAlignment="1">
      <alignment horizontal="right" vertical="center" wrapText="1"/>
    </xf>
    <xf numFmtId="0" fontId="67" fillId="0" borderId="0" xfId="0" quotePrefix="1" applyFont="1" applyAlignment="1">
      <alignment horizontal="center" vertical="center" wrapText="1"/>
    </xf>
    <xf numFmtId="0" fontId="67" fillId="0" borderId="0" xfId="0" applyFont="1" applyAlignment="1">
      <alignment horizontal="center" vertical="center" wrapText="1"/>
    </xf>
    <xf numFmtId="0" fontId="2" fillId="0" borderId="8" xfId="0" applyFont="1" applyBorder="1" applyAlignment="1">
      <alignment horizontal="center" vertical="center" wrapText="1"/>
    </xf>
    <xf numFmtId="0" fontId="3" fillId="0" borderId="1" xfId="0" applyFont="1" applyBorder="1" applyAlignment="1">
      <alignment horizontal="left" vertical="center" wrapText="1"/>
    </xf>
    <xf numFmtId="0" fontId="56" fillId="0" borderId="0" xfId="0" applyFont="1" applyAlignment="1">
      <alignment horizontal="center" vertical="center" wrapText="1"/>
    </xf>
    <xf numFmtId="0" fontId="3" fillId="0" borderId="1" xfId="0" applyFont="1" applyBorder="1" applyAlignment="1">
      <alignment horizontal="right" vertical="center" wrapText="1"/>
    </xf>
    <xf numFmtId="0" fontId="65" fillId="0" borderId="1" xfId="0" applyFont="1" applyBorder="1" applyAlignment="1">
      <alignment horizontal="center" vertical="center" wrapText="1"/>
    </xf>
    <xf numFmtId="0" fontId="65" fillId="0" borderId="1" xfId="0" applyFont="1" applyBorder="1" applyAlignment="1">
      <alignment horizontal="left" vertical="center" wrapText="1"/>
    </xf>
    <xf numFmtId="0" fontId="65" fillId="0" borderId="1" xfId="0" applyFont="1" applyBorder="1" applyAlignment="1">
      <alignment horizontal="right" vertical="center" wrapText="1"/>
    </xf>
    <xf numFmtId="3" fontId="65" fillId="0" borderId="1" xfId="0" applyNumberFormat="1" applyFont="1" applyBorder="1" applyAlignment="1">
      <alignment horizontal="right" vertical="center" wrapText="1"/>
    </xf>
    <xf numFmtId="0" fontId="68" fillId="0" borderId="0" xfId="0" applyFont="1" applyAlignment="1">
      <alignment horizontal="center" vertical="center" wrapText="1"/>
    </xf>
    <xf numFmtId="0" fontId="62" fillId="0" borderId="0" xfId="0" applyFont="1" applyAlignment="1">
      <alignment horizontal="center" vertical="center"/>
    </xf>
    <xf numFmtId="177" fontId="62" fillId="0" borderId="0" xfId="0" applyNumberFormat="1" applyFont="1" applyAlignment="1">
      <alignment vertical="center"/>
    </xf>
    <xf numFmtId="177" fontId="62" fillId="0" borderId="0" xfId="0" applyNumberFormat="1" applyFont="1" applyAlignment="1">
      <alignment horizontal="right" vertical="center"/>
    </xf>
    <xf numFmtId="3" fontId="61" fillId="0" borderId="1" xfId="22" applyNumberFormat="1" applyFont="1" applyBorder="1" applyAlignment="1">
      <alignment horizontal="center" vertical="center" wrapText="1"/>
    </xf>
    <xf numFmtId="0" fontId="61" fillId="0" borderId="0" xfId="0" applyFont="1" applyAlignment="1">
      <alignment vertical="center"/>
    </xf>
    <xf numFmtId="166" fontId="61" fillId="0" borderId="1" xfId="7" applyNumberFormat="1" applyFont="1" applyFill="1" applyBorder="1" applyAlignment="1">
      <alignment horizontal="right" vertical="center" shrinkToFit="1"/>
    </xf>
    <xf numFmtId="181" fontId="69" fillId="0" borderId="1" xfId="7" applyNumberFormat="1" applyFont="1" applyFill="1" applyBorder="1" applyAlignment="1">
      <alignment vertical="center" wrapText="1"/>
    </xf>
    <xf numFmtId="3" fontId="61" fillId="0" borderId="1" xfId="0" applyNumberFormat="1" applyFont="1" applyBorder="1" applyAlignment="1">
      <alignment horizontal="center" vertical="center" wrapText="1"/>
    </xf>
    <xf numFmtId="3" fontId="61" fillId="0" borderId="1" xfId="0" applyNumberFormat="1" applyFont="1" applyBorder="1" applyAlignment="1">
      <alignment horizontal="left" vertical="center" wrapText="1"/>
    </xf>
    <xf numFmtId="0" fontId="62" fillId="0" borderId="1" xfId="17" applyFont="1" applyBorder="1" applyAlignment="1">
      <alignment horizontal="center" vertical="center" wrapText="1"/>
    </xf>
    <xf numFmtId="0" fontId="62" fillId="0" borderId="1" xfId="0" quotePrefix="1" applyFont="1" applyBorder="1" applyAlignment="1">
      <alignment horizontal="left" vertical="center" wrapText="1"/>
    </xf>
    <xf numFmtId="0" fontId="62" fillId="0" borderId="1" xfId="0" quotePrefix="1" applyFont="1" applyBorder="1" applyAlignment="1">
      <alignment horizontal="center" vertical="center" wrapText="1"/>
    </xf>
    <xf numFmtId="166" fontId="62" fillId="0" borderId="1" xfId="3" quotePrefix="1" applyNumberFormat="1" applyFont="1" applyFill="1" applyBorder="1" applyAlignment="1">
      <alignment horizontal="right" vertical="center" wrapText="1"/>
    </xf>
    <xf numFmtId="166" fontId="62" fillId="0" borderId="1" xfId="7" applyNumberFormat="1" applyFont="1" applyFill="1" applyBorder="1" applyAlignment="1">
      <alignment horizontal="right" vertical="center" shrinkToFit="1"/>
    </xf>
    <xf numFmtId="181" fontId="62" fillId="0" borderId="1" xfId="7" applyNumberFormat="1" applyFont="1" applyFill="1" applyBorder="1" applyAlignment="1">
      <alignment vertical="center" wrapText="1"/>
    </xf>
    <xf numFmtId="0" fontId="64" fillId="0" borderId="0" xfId="0" applyFont="1" applyAlignment="1">
      <alignment horizontal="right" vertical="center"/>
    </xf>
    <xf numFmtId="3" fontId="62" fillId="0" borderId="1" xfId="0" applyNumberFormat="1" applyFont="1" applyBorder="1" applyAlignment="1">
      <alignment horizontal="right" vertical="center" wrapText="1"/>
    </xf>
    <xf numFmtId="166" fontId="62" fillId="0" borderId="1" xfId="3" applyNumberFormat="1" applyFont="1" applyFill="1" applyBorder="1" applyAlignment="1">
      <alignment horizontal="right" vertical="center"/>
    </xf>
    <xf numFmtId="3" fontId="62" fillId="0" borderId="0" xfId="0" applyNumberFormat="1" applyFont="1" applyAlignment="1">
      <alignment vertical="center"/>
    </xf>
    <xf numFmtId="0" fontId="42" fillId="0" borderId="0" xfId="0" applyFont="1" applyAlignment="1">
      <alignment horizontal="right" vertical="center"/>
    </xf>
    <xf numFmtId="0" fontId="2" fillId="0" borderId="0" xfId="17" applyFont="1" applyAlignment="1">
      <alignment horizontal="center" vertical="center"/>
    </xf>
    <xf numFmtId="0" fontId="42" fillId="0" borderId="0" xfId="17" applyFont="1" applyAlignment="1">
      <alignment horizontal="center" vertical="center"/>
    </xf>
    <xf numFmtId="0" fontId="42" fillId="0" borderId="0" xfId="17" applyFont="1" applyAlignment="1">
      <alignment vertical="center"/>
    </xf>
    <xf numFmtId="0" fontId="11" fillId="0" borderId="3" xfId="17" applyFont="1" applyBorder="1" applyAlignment="1">
      <alignment vertical="center"/>
    </xf>
    <xf numFmtId="0" fontId="11" fillId="0" borderId="0" xfId="0" applyFont="1" applyAlignment="1">
      <alignment horizontal="right" vertical="center"/>
    </xf>
    <xf numFmtId="0" fontId="2" fillId="0" borderId="1" xfId="17" applyFont="1" applyBorder="1" applyAlignment="1">
      <alignment horizontal="left" vertical="center" wrapText="1"/>
    </xf>
    <xf numFmtId="0" fontId="3" fillId="0" borderId="0" xfId="0" applyFont="1" applyAlignment="1">
      <alignment horizontal="right" vertical="center"/>
    </xf>
    <xf numFmtId="178" fontId="3" fillId="0" borderId="0" xfId="0" applyNumberFormat="1" applyFont="1" applyAlignment="1">
      <alignment vertical="center"/>
    </xf>
    <xf numFmtId="165" fontId="3" fillId="0" borderId="0" xfId="0" applyNumberFormat="1" applyFont="1" applyAlignment="1">
      <alignment vertical="center"/>
    </xf>
    <xf numFmtId="0" fontId="62" fillId="0" borderId="1" xfId="0" applyFont="1" applyBorder="1" applyAlignment="1">
      <alignment horizontal="left" vertical="center" wrapText="1"/>
    </xf>
    <xf numFmtId="178" fontId="2" fillId="0" borderId="0" xfId="0" applyNumberFormat="1" applyFont="1" applyAlignment="1">
      <alignment horizontal="right" vertical="center"/>
    </xf>
    <xf numFmtId="173" fontId="2" fillId="0" borderId="1" xfId="0" applyNumberFormat="1" applyFont="1" applyBorder="1" applyAlignment="1">
      <alignment horizontal="right" vertical="center" shrinkToFit="1"/>
    </xf>
    <xf numFmtId="0" fontId="65" fillId="0" borderId="1" xfId="0" applyFont="1" applyBorder="1" applyAlignment="1">
      <alignment horizontal="center" vertical="center"/>
    </xf>
    <xf numFmtId="0" fontId="65" fillId="0" borderId="1" xfId="17" applyFont="1" applyBorder="1" applyAlignment="1">
      <alignment horizontal="justify" vertical="center" wrapText="1"/>
    </xf>
    <xf numFmtId="166" fontId="65" fillId="0" borderId="1" xfId="17" applyNumberFormat="1" applyFont="1" applyBorder="1" applyAlignment="1">
      <alignment vertical="center" shrinkToFit="1"/>
    </xf>
    <xf numFmtId="173" fontId="65" fillId="0" borderId="1" xfId="17" applyNumberFormat="1" applyFont="1" applyBorder="1" applyAlignment="1">
      <alignment vertical="center" shrinkToFit="1"/>
    </xf>
    <xf numFmtId="174" fontId="65" fillId="0" borderId="1" xfId="0" applyNumberFormat="1" applyFont="1" applyBorder="1" applyAlignment="1">
      <alignment vertical="center" shrinkToFit="1"/>
    </xf>
    <xf numFmtId="0" fontId="65" fillId="0" borderId="1" xfId="0" applyFont="1" applyBorder="1" applyAlignment="1">
      <alignment horizontal="center" vertical="center" shrinkToFit="1"/>
    </xf>
    <xf numFmtId="0" fontId="65" fillId="0" borderId="1" xfId="0" applyFont="1" applyBorder="1" applyAlignment="1">
      <alignment horizontal="justify" vertical="center" wrapText="1"/>
    </xf>
    <xf numFmtId="174" fontId="65" fillId="0" borderId="1" xfId="17" applyNumberFormat="1" applyFont="1" applyBorder="1" applyAlignment="1">
      <alignment vertical="center" shrinkToFit="1"/>
    </xf>
    <xf numFmtId="0" fontId="71" fillId="0" borderId="0" xfId="0" applyFont="1" applyAlignment="1">
      <alignment vertical="center"/>
    </xf>
    <xf numFmtId="2" fontId="11" fillId="0" borderId="3" xfId="0" applyNumberFormat="1" applyFont="1" applyBorder="1" applyAlignment="1">
      <alignment horizontal="right" vertical="center"/>
    </xf>
    <xf numFmtId="0" fontId="3" fillId="3" borderId="0" xfId="0" applyFont="1" applyFill="1" applyAlignment="1">
      <alignment vertical="center"/>
    </xf>
    <xf numFmtId="0" fontId="2" fillId="3" borderId="0" xfId="0" applyFont="1" applyFill="1" applyAlignment="1">
      <alignment horizontal="center" vertical="center"/>
    </xf>
    <xf numFmtId="1"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3" fontId="41" fillId="3" borderId="1"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171" fontId="3" fillId="3" borderId="1" xfId="3" applyNumberFormat="1" applyFont="1" applyFill="1" applyBorder="1" applyAlignment="1">
      <alignment horizontal="right" vertical="center"/>
    </xf>
    <xf numFmtId="171" fontId="3" fillId="3" borderId="1" xfId="0" applyNumberFormat="1" applyFont="1" applyFill="1" applyBorder="1" applyAlignment="1">
      <alignment horizontal="right" vertical="center"/>
    </xf>
    <xf numFmtId="180" fontId="41" fillId="3" borderId="1" xfId="0" applyNumberFormat="1" applyFont="1" applyFill="1" applyBorder="1" applyAlignment="1">
      <alignment horizontal="right" vertical="center"/>
    </xf>
    <xf numFmtId="180" fontId="2" fillId="3" borderId="1" xfId="0" applyNumberFormat="1" applyFont="1" applyFill="1" applyBorder="1" applyAlignment="1">
      <alignment horizontal="right" vertical="center"/>
    </xf>
    <xf numFmtId="171" fontId="2" fillId="3" borderId="1" xfId="3" applyNumberFormat="1" applyFont="1" applyFill="1" applyBorder="1" applyAlignment="1">
      <alignment horizontal="right" vertical="center"/>
    </xf>
    <xf numFmtId="171" fontId="2" fillId="3" borderId="1" xfId="1" applyNumberFormat="1" applyFont="1" applyFill="1" applyBorder="1" applyAlignment="1">
      <alignment vertical="center"/>
    </xf>
    <xf numFmtId="171" fontId="3" fillId="3" borderId="1" xfId="1" applyNumberFormat="1" applyFont="1" applyFill="1" applyBorder="1" applyAlignment="1">
      <alignment vertical="center"/>
    </xf>
    <xf numFmtId="171" fontId="2" fillId="3" borderId="1" xfId="6" applyNumberFormat="1" applyFont="1" applyFill="1" applyBorder="1" applyAlignment="1">
      <alignment vertical="center"/>
    </xf>
    <xf numFmtId="175" fontId="3" fillId="3" borderId="1" xfId="6" applyNumberFormat="1" applyFont="1" applyFill="1" applyBorder="1" applyAlignment="1">
      <alignment vertical="center"/>
    </xf>
    <xf numFmtId="180" fontId="3" fillId="3" borderId="1" xfId="0" applyNumberFormat="1" applyFont="1" applyFill="1" applyBorder="1" applyAlignment="1">
      <alignment horizontal="right" vertical="center"/>
    </xf>
    <xf numFmtId="176" fontId="3" fillId="3" borderId="1" xfId="6" applyNumberFormat="1" applyFont="1" applyFill="1" applyBorder="1" applyAlignment="1">
      <alignment vertical="center"/>
    </xf>
    <xf numFmtId="0" fontId="3" fillId="3" borderId="1" xfId="0" applyFont="1" applyFill="1" applyBorder="1" applyAlignment="1">
      <alignment vertical="center"/>
    </xf>
    <xf numFmtId="0" fontId="2" fillId="3" borderId="1" xfId="0" applyFont="1" applyFill="1" applyBorder="1" applyAlignment="1">
      <alignment vertical="center"/>
    </xf>
    <xf numFmtId="171" fontId="2" fillId="3" borderId="1" xfId="3" applyNumberFormat="1" applyFont="1" applyFill="1" applyBorder="1" applyAlignment="1">
      <alignment vertical="center"/>
    </xf>
    <xf numFmtId="171" fontId="40" fillId="0" borderId="0" xfId="2" applyNumberFormat="1" applyFont="1" applyFill="1" applyAlignment="1">
      <alignment horizontal="center" vertical="center" wrapText="1"/>
    </xf>
    <xf numFmtId="171" fontId="16" fillId="0" borderId="0" xfId="2" applyNumberFormat="1" applyFont="1" applyFill="1" applyAlignment="1">
      <alignment horizontal="center" vertical="center" wrapText="1"/>
    </xf>
    <xf numFmtId="171" fontId="41" fillId="0" borderId="0" xfId="2" applyNumberFormat="1" applyFont="1" applyFill="1" applyAlignment="1">
      <alignment vertical="center"/>
    </xf>
    <xf numFmtId="171" fontId="2" fillId="0" borderId="0" xfId="2" applyNumberFormat="1" applyFont="1" applyFill="1" applyAlignment="1">
      <alignment vertical="center"/>
    </xf>
    <xf numFmtId="2" fontId="3" fillId="0" borderId="1" xfId="0" applyNumberFormat="1" applyFont="1" applyBorder="1" applyAlignment="1">
      <alignment vertical="center" wrapText="1"/>
    </xf>
    <xf numFmtId="171" fontId="41" fillId="0" borderId="1" xfId="8" applyNumberFormat="1" applyFont="1" applyFill="1" applyBorder="1" applyAlignment="1">
      <alignment horizontal="right" vertical="center"/>
    </xf>
    <xf numFmtId="171" fontId="2" fillId="2" borderId="1" xfId="8" applyNumberFormat="1" applyFont="1" applyFill="1" applyBorder="1" applyAlignment="1">
      <alignment horizontal="right" vertical="center"/>
    </xf>
    <xf numFmtId="171" fontId="3" fillId="2" borderId="1" xfId="8" applyNumberFormat="1" applyFont="1" applyFill="1" applyBorder="1" applyAlignment="1">
      <alignment horizontal="right" vertical="center"/>
    </xf>
    <xf numFmtId="171" fontId="6" fillId="0" borderId="0" xfId="3" applyNumberFormat="1" applyFont="1" applyFill="1" applyAlignment="1">
      <alignment vertical="center"/>
    </xf>
    <xf numFmtId="171" fontId="2" fillId="0" borderId="1" xfId="8" applyNumberFormat="1" applyFont="1" applyFill="1" applyBorder="1" applyAlignment="1">
      <alignment horizontal="right" vertical="center" wrapText="1"/>
    </xf>
    <xf numFmtId="9" fontId="2" fillId="0" borderId="0" xfId="24" applyFont="1" applyFill="1" applyBorder="1" applyAlignment="1">
      <alignment horizontal="right" vertical="center" wrapText="1"/>
    </xf>
    <xf numFmtId="171" fontId="2" fillId="0" borderId="0" xfId="2" applyNumberFormat="1" applyFont="1" applyFill="1" applyAlignment="1">
      <alignment vertical="center" wrapText="1"/>
    </xf>
    <xf numFmtId="2" fontId="2" fillId="0" borderId="0" xfId="0" applyNumberFormat="1" applyFont="1" applyAlignment="1">
      <alignment vertical="center" wrapText="1"/>
    </xf>
    <xf numFmtId="173" fontId="3" fillId="0" borderId="0" xfId="0" applyNumberFormat="1" applyFont="1" applyAlignment="1">
      <alignment vertical="center"/>
    </xf>
    <xf numFmtId="3" fontId="41" fillId="0" borderId="1" xfId="0" applyNumberFormat="1" applyFont="1" applyBorder="1" applyAlignment="1">
      <alignment horizontal="right" vertical="center"/>
    </xf>
    <xf numFmtId="180" fontId="41" fillId="0" borderId="1" xfId="0" applyNumberFormat="1" applyFont="1" applyBorder="1" applyAlignment="1">
      <alignment horizontal="right" vertical="center"/>
    </xf>
    <xf numFmtId="166" fontId="2" fillId="0" borderId="1" xfId="0" applyNumberFormat="1" applyFont="1" applyBorder="1" applyAlignment="1">
      <alignment horizontal="right" vertical="center"/>
    </xf>
    <xf numFmtId="180" fontId="2" fillId="0" borderId="1" xfId="0" applyNumberFormat="1" applyFont="1" applyBorder="1" applyAlignment="1">
      <alignment horizontal="right" vertical="center"/>
    </xf>
    <xf numFmtId="180" fontId="3" fillId="0" borderId="1" xfId="0" applyNumberFormat="1" applyFont="1" applyBorder="1" applyAlignment="1">
      <alignment horizontal="right" vertical="center"/>
    </xf>
    <xf numFmtId="171" fontId="2" fillId="0" borderId="1" xfId="1" applyNumberFormat="1" applyFont="1" applyBorder="1" applyAlignment="1">
      <alignment vertical="center"/>
    </xf>
    <xf numFmtId="171" fontId="3" fillId="0" borderId="1" xfId="6" applyNumberFormat="1" applyFont="1" applyFill="1" applyBorder="1" applyAlignment="1">
      <alignment vertical="center"/>
    </xf>
    <xf numFmtId="0" fontId="3" fillId="0" borderId="1" xfId="1" applyFont="1" applyBorder="1" applyAlignment="1">
      <alignment vertical="center"/>
    </xf>
    <xf numFmtId="3" fontId="2" fillId="0" borderId="1" xfId="1" applyNumberFormat="1" applyFont="1" applyBorder="1" applyAlignment="1">
      <alignment vertical="center"/>
    </xf>
    <xf numFmtId="3" fontId="2" fillId="0" borderId="1" xfId="6" applyNumberFormat="1" applyFont="1" applyFill="1" applyBorder="1" applyAlignment="1">
      <alignment vertical="center"/>
    </xf>
    <xf numFmtId="3" fontId="3" fillId="0" borderId="1" xfId="1" applyNumberFormat="1" applyFont="1" applyBorder="1" applyAlignment="1">
      <alignment vertical="center" wrapText="1"/>
    </xf>
    <xf numFmtId="3" fontId="2" fillId="0" borderId="1" xfId="3" applyNumberFormat="1" applyFont="1" applyFill="1" applyBorder="1" applyAlignment="1">
      <alignment horizontal="right" vertical="center"/>
    </xf>
    <xf numFmtId="3" fontId="41" fillId="0" borderId="1" xfId="0" applyNumberFormat="1" applyFont="1" applyBorder="1" applyAlignment="1">
      <alignment vertical="center"/>
    </xf>
    <xf numFmtId="171" fontId="43" fillId="0" borderId="1" xfId="0" applyNumberFormat="1" applyFont="1" applyBorder="1" applyAlignment="1">
      <alignment horizontal="right" vertical="center"/>
    </xf>
    <xf numFmtId="3" fontId="2" fillId="3" borderId="0" xfId="0" applyNumberFormat="1" applyFont="1" applyFill="1" applyAlignment="1">
      <alignment horizontal="center" vertical="center"/>
    </xf>
    <xf numFmtId="171" fontId="41" fillId="3" borderId="0" xfId="2" applyNumberFormat="1" applyFont="1" applyFill="1" applyAlignment="1">
      <alignment vertical="center"/>
    </xf>
    <xf numFmtId="171" fontId="3" fillId="3" borderId="0" xfId="2" applyNumberFormat="1" applyFont="1" applyFill="1" applyAlignment="1">
      <alignment vertical="center"/>
    </xf>
    <xf numFmtId="3" fontId="16" fillId="0" borderId="0" xfId="0" applyNumberFormat="1" applyFont="1" applyAlignment="1">
      <alignment horizontal="center"/>
    </xf>
    <xf numFmtId="3" fontId="2" fillId="0" borderId="0" xfId="0" applyNumberFormat="1" applyFont="1"/>
    <xf numFmtId="171" fontId="31" fillId="0" borderId="0" xfId="3" applyNumberFormat="1" applyFont="1" applyFill="1" applyAlignment="1">
      <alignment horizontal="center" vertical="center"/>
    </xf>
    <xf numFmtId="171" fontId="43" fillId="0" borderId="0" xfId="3" applyNumberFormat="1" applyFont="1" applyFill="1" applyBorder="1" applyAlignment="1">
      <alignment vertical="center"/>
    </xf>
    <xf numFmtId="171" fontId="25" fillId="0" borderId="3" xfId="3" applyNumberFormat="1" applyFont="1" applyFill="1" applyBorder="1" applyAlignment="1">
      <alignment vertical="center"/>
    </xf>
    <xf numFmtId="171" fontId="31" fillId="0" borderId="3" xfId="3" applyNumberFormat="1" applyFont="1" applyFill="1" applyBorder="1" applyAlignment="1">
      <alignment vertical="center"/>
    </xf>
    <xf numFmtId="171" fontId="31" fillId="0" borderId="0" xfId="3" applyNumberFormat="1" applyFont="1" applyFill="1" applyAlignment="1">
      <alignment vertical="center"/>
    </xf>
    <xf numFmtId="171" fontId="31" fillId="0" borderId="0" xfId="3" applyNumberFormat="1" applyFont="1" applyFill="1"/>
    <xf numFmtId="3" fontId="43"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3" fontId="9" fillId="0" borderId="0" xfId="0" applyNumberFormat="1" applyFont="1" applyAlignment="1">
      <alignment horizontal="center"/>
    </xf>
    <xf numFmtId="3" fontId="45" fillId="0" borderId="1"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3" fontId="17" fillId="0" borderId="0" xfId="0" applyNumberFormat="1" applyFont="1" applyAlignment="1">
      <alignment horizontal="center"/>
    </xf>
    <xf numFmtId="3" fontId="47" fillId="0" borderId="1" xfId="0" applyNumberFormat="1" applyFont="1" applyBorder="1" applyAlignment="1">
      <alignment horizontal="center" vertical="center"/>
    </xf>
    <xf numFmtId="3" fontId="48" fillId="0" borderId="1" xfId="0" applyNumberFormat="1" applyFont="1" applyBorder="1" applyAlignment="1">
      <alignment horizontal="left" vertical="center"/>
    </xf>
    <xf numFmtId="171" fontId="48" fillId="0" borderId="1" xfId="0" applyNumberFormat="1" applyFont="1" applyBorder="1" applyAlignment="1">
      <alignment horizontal="right" vertical="center"/>
    </xf>
    <xf numFmtId="3" fontId="49" fillId="0" borderId="0" xfId="0" applyNumberFormat="1" applyFont="1"/>
    <xf numFmtId="3" fontId="48" fillId="0" borderId="1" xfId="0" applyNumberFormat="1" applyFont="1" applyBorder="1" applyAlignment="1">
      <alignment horizontal="center" vertical="center"/>
    </xf>
    <xf numFmtId="3" fontId="43" fillId="0" borderId="1" xfId="0" applyNumberFormat="1" applyFont="1" applyBorder="1" applyAlignment="1">
      <alignment horizontal="left" vertical="center"/>
    </xf>
    <xf numFmtId="3" fontId="31" fillId="0" borderId="1" xfId="0" applyNumberFormat="1" applyFont="1" applyBorder="1" applyAlignment="1">
      <alignment horizontal="center" vertical="center"/>
    </xf>
    <xf numFmtId="3" fontId="31" fillId="0" borderId="1" xfId="0" applyNumberFormat="1" applyFont="1" applyBorder="1" applyAlignment="1">
      <alignment horizontal="left" vertical="center"/>
    </xf>
    <xf numFmtId="171" fontId="31" fillId="0" borderId="1" xfId="0" applyNumberFormat="1" applyFont="1" applyBorder="1" applyAlignment="1">
      <alignment horizontal="right" vertical="center"/>
    </xf>
    <xf numFmtId="171" fontId="72" fillId="0" borderId="1" xfId="0" applyNumberFormat="1" applyFont="1" applyBorder="1" applyAlignment="1">
      <alignment horizontal="right" vertical="center"/>
    </xf>
    <xf numFmtId="3" fontId="31" fillId="0" borderId="1" xfId="0" applyNumberFormat="1" applyFont="1" applyBorder="1" applyAlignment="1">
      <alignment horizontal="left" vertical="center" wrapText="1"/>
    </xf>
    <xf numFmtId="3" fontId="31" fillId="0" borderId="1" xfId="0" applyNumberFormat="1" applyFont="1" applyBorder="1" applyAlignment="1">
      <alignment vertical="center"/>
    </xf>
    <xf numFmtId="3" fontId="43" fillId="0" borderId="1" xfId="0" applyNumberFormat="1" applyFont="1" applyBorder="1" applyAlignment="1">
      <alignment vertical="center"/>
    </xf>
    <xf numFmtId="3" fontId="31" fillId="0" borderId="1" xfId="0" applyNumberFormat="1" applyFont="1" applyBorder="1" applyAlignment="1">
      <alignment vertical="center" wrapText="1"/>
    </xf>
    <xf numFmtId="3" fontId="31" fillId="0" borderId="1" xfId="0" quotePrefix="1" applyNumberFormat="1" applyFont="1" applyBorder="1" applyAlignment="1">
      <alignment horizontal="center" vertical="center"/>
    </xf>
    <xf numFmtId="3" fontId="43" fillId="0" borderId="1" xfId="0" applyNumberFormat="1" applyFont="1" applyBorder="1" applyAlignment="1">
      <alignment horizontal="left" vertical="center" wrapText="1"/>
    </xf>
    <xf numFmtId="0" fontId="31" fillId="0" borderId="1" xfId="10" applyFont="1" applyBorder="1" applyAlignment="1">
      <alignment horizontal="center" vertical="center" wrapText="1"/>
    </xf>
    <xf numFmtId="0" fontId="31" fillId="0" borderId="1" xfId="10" applyFont="1" applyBorder="1" applyAlignment="1">
      <alignment vertical="center" wrapText="1"/>
    </xf>
    <xf numFmtId="171" fontId="31" fillId="0" borderId="1" xfId="3" applyNumberFormat="1" applyFont="1" applyFill="1" applyBorder="1" applyAlignment="1">
      <alignment horizontal="right" vertical="center"/>
    </xf>
    <xf numFmtId="0" fontId="48" fillId="0" borderId="1" xfId="10" applyFont="1" applyBorder="1" applyAlignment="1">
      <alignment vertical="center" wrapText="1"/>
    </xf>
    <xf numFmtId="171" fontId="48" fillId="0" borderId="1" xfId="3" applyNumberFormat="1" applyFont="1" applyFill="1" applyBorder="1" applyAlignment="1">
      <alignment horizontal="right" vertical="center"/>
    </xf>
    <xf numFmtId="3" fontId="41" fillId="0" borderId="0" xfId="0" applyNumberFormat="1" applyFont="1"/>
    <xf numFmtId="0" fontId="43" fillId="0" borderId="1" xfId="10" applyFont="1" applyBorder="1" applyAlignment="1">
      <alignment horizontal="center" vertical="center" wrapText="1"/>
    </xf>
    <xf numFmtId="0" fontId="43" fillId="0" borderId="1" xfId="10" applyFont="1" applyBorder="1" applyAlignment="1">
      <alignment vertical="center" wrapText="1"/>
    </xf>
    <xf numFmtId="171" fontId="43" fillId="0" borderId="1" xfId="3" applyNumberFormat="1" applyFont="1" applyFill="1" applyBorder="1" applyAlignment="1">
      <alignment horizontal="right" vertical="center" wrapText="1"/>
    </xf>
    <xf numFmtId="171" fontId="43" fillId="0" borderId="1" xfId="3" applyNumberFormat="1" applyFont="1" applyFill="1" applyBorder="1" applyAlignment="1">
      <alignment horizontal="right" vertical="center"/>
    </xf>
    <xf numFmtId="3" fontId="43" fillId="0" borderId="1" xfId="6" applyNumberFormat="1" applyFont="1" applyFill="1" applyBorder="1" applyAlignment="1">
      <alignment horizontal="center" vertical="center" wrapText="1"/>
    </xf>
    <xf numFmtId="43" fontId="43" fillId="0" borderId="1" xfId="6" applyFont="1" applyFill="1" applyBorder="1" applyAlignment="1">
      <alignment vertical="center" wrapText="1"/>
    </xf>
    <xf numFmtId="0" fontId="43" fillId="0" borderId="0" xfId="0" applyFont="1"/>
    <xf numFmtId="3" fontId="43" fillId="0" borderId="0" xfId="0" applyNumberFormat="1" applyFont="1"/>
    <xf numFmtId="3" fontId="25" fillId="0" borderId="0" xfId="0" applyNumberFormat="1" applyFont="1"/>
    <xf numFmtId="3" fontId="18" fillId="0" borderId="0" xfId="0" applyNumberFormat="1" applyFont="1"/>
    <xf numFmtId="171" fontId="3" fillId="0" borderId="1" xfId="0" applyNumberFormat="1" applyFont="1" applyBorder="1" applyAlignment="1">
      <alignment horizontal="right" vertical="center"/>
    </xf>
    <xf numFmtId="171" fontId="43" fillId="0" borderId="0" xfId="3" applyNumberFormat="1" applyFont="1" applyFill="1" applyBorder="1" applyAlignment="1">
      <alignment horizontal="right" vertical="center"/>
    </xf>
    <xf numFmtId="171" fontId="44" fillId="0" borderId="1" xfId="3" applyNumberFormat="1" applyFont="1" applyFill="1" applyBorder="1" applyAlignment="1">
      <alignment horizontal="right" vertical="center"/>
    </xf>
    <xf numFmtId="171" fontId="50" fillId="0" borderId="1" xfId="3" applyNumberFormat="1" applyFont="1" applyFill="1" applyBorder="1" applyAlignment="1">
      <alignment horizontal="right" vertical="center"/>
    </xf>
    <xf numFmtId="3" fontId="31" fillId="0" borderId="0" xfId="0" applyNumberFormat="1" applyFont="1" applyAlignment="1">
      <alignment vertical="center"/>
    </xf>
    <xf numFmtId="3" fontId="2" fillId="0" borderId="0" xfId="0" applyNumberFormat="1" applyFont="1" applyAlignment="1">
      <alignment horizontal="center" vertical="center"/>
    </xf>
    <xf numFmtId="43" fontId="2" fillId="3" borderId="0" xfId="2" applyFont="1" applyFill="1" applyBorder="1" applyAlignment="1">
      <alignment vertical="center"/>
    </xf>
    <xf numFmtId="43" fontId="2" fillId="0" borderId="0" xfId="2" applyFont="1" applyFill="1" applyBorder="1" applyAlignment="1">
      <alignment vertical="center"/>
    </xf>
    <xf numFmtId="3" fontId="2" fillId="3" borderId="1" xfId="0" applyNumberFormat="1" applyFont="1" applyFill="1" applyBorder="1" applyAlignment="1">
      <alignment vertical="center"/>
    </xf>
    <xf numFmtId="173" fontId="2" fillId="0" borderId="1" xfId="0" applyNumberFormat="1" applyFont="1" applyBorder="1" applyAlignment="1">
      <alignment vertical="center"/>
    </xf>
    <xf numFmtId="3" fontId="2" fillId="3" borderId="1" xfId="0" applyNumberFormat="1" applyFont="1" applyFill="1" applyBorder="1" applyAlignment="1">
      <alignment vertical="center" shrinkToFit="1"/>
    </xf>
    <xf numFmtId="3" fontId="3" fillId="3" borderId="1" xfId="17" applyNumberFormat="1" applyFont="1" applyFill="1" applyBorder="1" applyAlignment="1">
      <alignment vertical="center" shrinkToFit="1"/>
    </xf>
    <xf numFmtId="3" fontId="3" fillId="3" borderId="1" xfId="0" applyNumberFormat="1" applyFont="1" applyFill="1" applyBorder="1" applyAlignment="1">
      <alignment vertical="center" shrinkToFit="1"/>
    </xf>
    <xf numFmtId="173" fontId="3" fillId="0" borderId="1" xfId="0" applyNumberFormat="1" applyFont="1" applyBorder="1" applyAlignment="1">
      <alignment vertical="center" shrinkToFit="1"/>
    </xf>
    <xf numFmtId="0" fontId="3" fillId="2" borderId="1" xfId="0" applyFont="1" applyFill="1" applyBorder="1" applyAlignment="1">
      <alignment horizontal="justify" vertical="center" wrapText="1"/>
    </xf>
    <xf numFmtId="0" fontId="4" fillId="3" borderId="0" xfId="0" applyFont="1" applyFill="1" applyAlignment="1">
      <alignment vertical="center"/>
    </xf>
    <xf numFmtId="0" fontId="3" fillId="0" borderId="1" xfId="0" applyFont="1" applyBorder="1" applyAlignment="1">
      <alignment vertical="center" wrapText="1"/>
    </xf>
    <xf numFmtId="0" fontId="2" fillId="3" borderId="7" xfId="0" applyFont="1" applyFill="1" applyBorder="1" applyAlignment="1">
      <alignment horizontal="center" vertical="center" wrapText="1" shrinkToFit="1"/>
    </xf>
    <xf numFmtId="171" fontId="65" fillId="0" borderId="1" xfId="6" applyNumberFormat="1" applyFont="1" applyFill="1" applyBorder="1" applyAlignment="1">
      <alignment horizontal="right" vertical="center"/>
    </xf>
    <xf numFmtId="173" fontId="2" fillId="3" borderId="1" xfId="0" applyNumberFormat="1" applyFont="1" applyFill="1" applyBorder="1" applyAlignment="1">
      <alignment horizontal="right" vertical="center" shrinkToFit="1"/>
    </xf>
    <xf numFmtId="0" fontId="3" fillId="0" borderId="18" xfId="0" applyFont="1" applyBorder="1" applyAlignment="1">
      <alignment vertical="center"/>
    </xf>
    <xf numFmtId="3" fontId="2" fillId="0" borderId="1" xfId="0" applyNumberFormat="1" applyFont="1" applyBorder="1" applyAlignment="1">
      <alignment vertical="center" shrinkToFit="1"/>
    </xf>
    <xf numFmtId="171" fontId="72" fillId="0" borderId="1" xfId="3" applyNumberFormat="1" applyFont="1" applyFill="1" applyBorder="1" applyAlignment="1">
      <alignment horizontal="right" vertical="center"/>
    </xf>
    <xf numFmtId="3" fontId="31" fillId="0" borderId="0" xfId="0" applyNumberFormat="1" applyFont="1"/>
    <xf numFmtId="3" fontId="31" fillId="0" borderId="0" xfId="0" applyNumberFormat="1" applyFont="1" applyAlignment="1">
      <alignment horizontal="center"/>
    </xf>
    <xf numFmtId="0" fontId="31" fillId="0" borderId="0" xfId="0" applyFont="1"/>
    <xf numFmtId="0" fontId="2" fillId="0" borderId="1" xfId="17"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xf>
    <xf numFmtId="3" fontId="16" fillId="0" borderId="0" xfId="0" applyNumberFormat="1" applyFont="1" applyAlignment="1">
      <alignment horizontal="center" wrapText="1"/>
    </xf>
    <xf numFmtId="3" fontId="49" fillId="3" borderId="0" xfId="0" applyNumberFormat="1" applyFont="1" applyFill="1"/>
    <xf numFmtId="0" fontId="9" fillId="0" borderId="1" xfId="0" applyFont="1" applyBorder="1" applyAlignment="1">
      <alignment horizontal="center" vertical="center"/>
    </xf>
    <xf numFmtId="171" fontId="73" fillId="0" borderId="1" xfId="0" applyNumberFormat="1" applyFont="1" applyBorder="1" applyAlignment="1">
      <alignment horizontal="right" vertical="center"/>
    </xf>
    <xf numFmtId="171" fontId="74" fillId="0" borderId="1" xfId="8" applyNumberFormat="1" applyFont="1" applyFill="1" applyBorder="1" applyAlignment="1">
      <alignment horizontal="right" vertical="center"/>
    </xf>
    <xf numFmtId="178" fontId="2" fillId="0" borderId="1" xfId="2" applyNumberFormat="1" applyFont="1" applyFill="1" applyBorder="1" applyAlignment="1">
      <alignment vertical="center"/>
    </xf>
    <xf numFmtId="178" fontId="3" fillId="0" borderId="1" xfId="0" applyNumberFormat="1" applyFont="1" applyBorder="1" applyAlignment="1">
      <alignment vertical="center"/>
    </xf>
    <xf numFmtId="3" fontId="2" fillId="0" borderId="1" xfId="17" applyNumberFormat="1" applyFont="1" applyBorder="1" applyAlignment="1">
      <alignment horizontal="center" wrapText="1"/>
    </xf>
    <xf numFmtId="3" fontId="2" fillId="0" borderId="1" xfId="17" applyNumberFormat="1" applyFont="1" applyBorder="1" applyAlignment="1">
      <alignment horizontal="left" wrapText="1"/>
    </xf>
    <xf numFmtId="178" fontId="2" fillId="0" borderId="1" xfId="2" applyNumberFormat="1" applyFont="1" applyFill="1" applyBorder="1" applyAlignment="1"/>
    <xf numFmtId="0" fontId="2" fillId="0" borderId="1" xfId="0" applyFont="1" applyBorder="1"/>
    <xf numFmtId="0" fontId="4" fillId="0" borderId="1" xfId="0" applyFont="1" applyBorder="1" applyAlignment="1">
      <alignment horizontal="center" vertical="center"/>
    </xf>
    <xf numFmtId="0" fontId="75" fillId="0" borderId="1" xfId="0" applyFont="1" applyBorder="1" applyAlignment="1">
      <alignment vertical="center"/>
    </xf>
    <xf numFmtId="3" fontId="4" fillId="0" borderId="1" xfId="0" applyNumberFormat="1" applyFont="1" applyBorder="1" applyAlignment="1">
      <alignment vertical="center"/>
    </xf>
    <xf numFmtId="166" fontId="4" fillId="0" borderId="1" xfId="0" applyNumberFormat="1" applyFont="1" applyBorder="1" applyAlignment="1">
      <alignment vertical="center"/>
    </xf>
    <xf numFmtId="0" fontId="4" fillId="0" borderId="1" xfId="0" applyFont="1" applyBorder="1" applyAlignment="1">
      <alignment vertical="center"/>
    </xf>
    <xf numFmtId="0" fontId="6" fillId="0" borderId="1" xfId="0" quotePrefix="1" applyFont="1" applyBorder="1" applyAlignment="1">
      <alignment horizontal="center" vertical="center"/>
    </xf>
    <xf numFmtId="0" fontId="6" fillId="0" borderId="1" xfId="0" applyFont="1" applyBorder="1" applyAlignment="1">
      <alignment vertical="center"/>
    </xf>
    <xf numFmtId="3" fontId="6" fillId="0" borderId="1" xfId="0" applyNumberFormat="1" applyFont="1" applyBorder="1" applyAlignment="1">
      <alignment vertical="center"/>
    </xf>
    <xf numFmtId="166" fontId="6" fillId="0" borderId="1" xfId="0" applyNumberFormat="1" applyFont="1" applyBorder="1" applyAlignment="1">
      <alignment vertical="center"/>
    </xf>
    <xf numFmtId="0" fontId="6" fillId="0" borderId="1" xfId="0" applyFont="1" applyBorder="1" applyAlignment="1">
      <alignment horizontal="center" vertical="center"/>
    </xf>
    <xf numFmtId="3" fontId="41" fillId="0" borderId="1" xfId="0" applyNumberFormat="1" applyFont="1" applyBorder="1" applyAlignment="1">
      <alignment horizontal="left" vertical="center" wrapText="1"/>
    </xf>
    <xf numFmtId="171" fontId="70" fillId="0" borderId="1" xfId="8" applyNumberFormat="1" applyFont="1" applyFill="1" applyBorder="1" applyAlignment="1">
      <alignment horizontal="right" vertical="center"/>
    </xf>
    <xf numFmtId="0" fontId="4" fillId="0" borderId="0" xfId="0" applyFont="1" applyAlignment="1">
      <alignment horizontal="right" vertical="center"/>
    </xf>
    <xf numFmtId="166" fontId="2" fillId="0" borderId="1" xfId="0" applyNumberFormat="1" applyFont="1" applyBorder="1" applyAlignment="1">
      <alignment vertical="center"/>
    </xf>
    <xf numFmtId="166" fontId="3" fillId="0" borderId="1" xfId="0" applyNumberFormat="1" applyFont="1" applyBorder="1" applyAlignment="1">
      <alignment vertical="center"/>
    </xf>
    <xf numFmtId="0" fontId="76" fillId="0" borderId="1" xfId="0" applyFont="1" applyBorder="1" applyAlignment="1">
      <alignment vertical="center"/>
    </xf>
    <xf numFmtId="171" fontId="3" fillId="3" borderId="0" xfId="0" applyNumberFormat="1" applyFont="1" applyFill="1" applyAlignment="1">
      <alignment vertical="center"/>
    </xf>
    <xf numFmtId="0" fontId="5" fillId="0" borderId="0" xfId="14" applyFont="1" applyAlignment="1">
      <alignment horizontal="center" vertical="center"/>
    </xf>
    <xf numFmtId="0" fontId="2" fillId="0" borderId="0" xfId="14" applyFont="1" applyAlignment="1">
      <alignment horizontal="right" vertical="center"/>
    </xf>
    <xf numFmtId="0" fontId="2" fillId="0" borderId="1" xfId="14" applyFont="1" applyBorder="1" applyAlignment="1">
      <alignment horizontal="center" vertical="center"/>
    </xf>
    <xf numFmtId="0" fontId="9" fillId="2" borderId="1" xfId="0" applyFont="1" applyFill="1" applyBorder="1" applyAlignment="1">
      <alignment horizontal="center" vertical="center"/>
    </xf>
    <xf numFmtId="0" fontId="32" fillId="2" borderId="0" xfId="0" applyFont="1" applyFill="1" applyAlignment="1">
      <alignment horizontal="center" vertical="center"/>
    </xf>
    <xf numFmtId="182" fontId="2" fillId="3" borderId="0" xfId="0" applyNumberFormat="1" applyFont="1" applyFill="1" applyAlignment="1">
      <alignment vertical="center"/>
    </xf>
    <xf numFmtId="3" fontId="2" fillId="3" borderId="1" xfId="0" applyNumberFormat="1" applyFont="1" applyFill="1" applyBorder="1" applyAlignment="1">
      <alignment horizontal="center" vertical="center"/>
    </xf>
    <xf numFmtId="3" fontId="2" fillId="3" borderId="1" xfId="0" applyNumberFormat="1" applyFont="1" applyFill="1" applyBorder="1" applyAlignment="1">
      <alignment horizontal="left" vertical="center"/>
    </xf>
    <xf numFmtId="172" fontId="2" fillId="3" borderId="1" xfId="24" applyNumberFormat="1" applyFont="1" applyFill="1" applyBorder="1" applyAlignment="1">
      <alignment horizontal="right" vertical="center"/>
    </xf>
    <xf numFmtId="3" fontId="2" fillId="3" borderId="0" xfId="0" applyNumberFormat="1" applyFont="1" applyFill="1" applyAlignment="1">
      <alignment vertical="center"/>
    </xf>
    <xf numFmtId="0" fontId="2" fillId="3" borderId="0" xfId="0" applyFont="1" applyFill="1" applyAlignment="1">
      <alignment vertical="center"/>
    </xf>
    <xf numFmtId="3"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left" vertical="center"/>
    </xf>
    <xf numFmtId="172" fontId="3" fillId="3" borderId="1" xfId="24" applyNumberFormat="1" applyFont="1" applyFill="1" applyBorder="1" applyAlignment="1">
      <alignment horizontal="right" vertical="center"/>
    </xf>
    <xf numFmtId="3" fontId="3" fillId="3" borderId="0" xfId="0" applyNumberFormat="1" applyFont="1" applyFill="1" applyAlignment="1">
      <alignment vertical="center"/>
    </xf>
    <xf numFmtId="3" fontId="41" fillId="3" borderId="1" xfId="0" applyNumberFormat="1" applyFont="1" applyFill="1" applyBorder="1" applyAlignment="1">
      <alignment horizontal="center" vertical="center"/>
    </xf>
    <xf numFmtId="3" fontId="2" fillId="3" borderId="1" xfId="0" applyNumberFormat="1" applyFont="1" applyFill="1" applyBorder="1" applyAlignment="1">
      <alignment horizontal="left" vertical="center" wrapText="1"/>
    </xf>
    <xf numFmtId="3" fontId="41" fillId="3" borderId="0" xfId="0" applyNumberFormat="1" applyFont="1" applyFill="1" applyAlignment="1">
      <alignment vertical="center"/>
    </xf>
    <xf numFmtId="0" fontId="41" fillId="3" borderId="0" xfId="0" applyFont="1" applyFill="1" applyAlignment="1">
      <alignment vertical="center"/>
    </xf>
    <xf numFmtId="3" fontId="3" fillId="3" borderId="1" xfId="0" applyNumberFormat="1" applyFont="1" applyFill="1" applyBorder="1" applyAlignment="1">
      <alignment horizontal="left" vertical="center" wrapText="1"/>
    </xf>
    <xf numFmtId="3" fontId="3" fillId="3" borderId="1" xfId="0" applyNumberFormat="1" applyFont="1" applyFill="1" applyBorder="1" applyAlignment="1">
      <alignment vertical="center" wrapText="1"/>
    </xf>
    <xf numFmtId="0" fontId="2" fillId="2" borderId="5" xfId="0" applyFont="1" applyFill="1" applyBorder="1" applyAlignment="1">
      <alignment horizontal="center" vertical="center" wrapText="1"/>
    </xf>
    <xf numFmtId="0" fontId="5" fillId="2" borderId="0" xfId="0" applyFont="1" applyFill="1"/>
    <xf numFmtId="0" fontId="11" fillId="2" borderId="1" xfId="0" applyFont="1" applyFill="1" applyBorder="1" applyAlignment="1">
      <alignment vertical="center"/>
    </xf>
    <xf numFmtId="3" fontId="11" fillId="2" borderId="1" xfId="0" applyNumberFormat="1" applyFont="1" applyFill="1" applyBorder="1" applyAlignment="1">
      <alignment vertical="center"/>
    </xf>
    <xf numFmtId="3" fontId="6" fillId="2" borderId="0" xfId="0" applyNumberFormat="1" applyFont="1" applyFill="1"/>
    <xf numFmtId="0" fontId="76" fillId="2" borderId="1" xfId="0" applyFont="1" applyFill="1" applyBorder="1" applyAlignment="1">
      <alignment vertical="center"/>
    </xf>
    <xf numFmtId="3" fontId="3" fillId="2" borderId="1" xfId="0" applyNumberFormat="1" applyFont="1" applyFill="1" applyBorder="1" applyAlignment="1">
      <alignment horizontal="left" vertical="center" wrapText="1"/>
    </xf>
    <xf numFmtId="3" fontId="3" fillId="2" borderId="1" xfId="0" applyNumberFormat="1" applyFont="1" applyFill="1" applyBorder="1" applyAlignment="1">
      <alignment horizontal="left" vertical="center"/>
    </xf>
    <xf numFmtId="3" fontId="3" fillId="2" borderId="1" xfId="0" applyNumberFormat="1" applyFont="1" applyFill="1" applyBorder="1" applyAlignment="1">
      <alignment horizontal="right" vertical="center"/>
    </xf>
    <xf numFmtId="0" fontId="2" fillId="2" borderId="6" xfId="0" applyFont="1" applyFill="1" applyBorder="1" applyAlignment="1">
      <alignment horizontal="center" vertical="center"/>
    </xf>
    <xf numFmtId="0" fontId="2" fillId="2" borderId="6" xfId="0" applyFont="1" applyFill="1" applyBorder="1" applyAlignment="1">
      <alignment vertical="center"/>
    </xf>
    <xf numFmtId="3" fontId="41" fillId="2" borderId="6" xfId="0" applyNumberFormat="1" applyFont="1" applyFill="1" applyBorder="1" applyAlignment="1">
      <alignment vertical="center"/>
    </xf>
    <xf numFmtId="0" fontId="3" fillId="2" borderId="1" xfId="0" applyFont="1" applyFill="1" applyBorder="1" applyAlignment="1">
      <alignment vertical="center" wrapText="1"/>
    </xf>
    <xf numFmtId="171" fontId="2" fillId="0" borderId="1" xfId="3" applyNumberFormat="1" applyFont="1" applyFill="1" applyBorder="1" applyAlignment="1">
      <alignment horizontal="right" vertical="center"/>
    </xf>
    <xf numFmtId="171" fontId="3" fillId="0" borderId="1" xfId="3"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169" fontId="11" fillId="2" borderId="1" xfId="0" applyNumberFormat="1" applyFont="1" applyFill="1" applyBorder="1" applyAlignment="1">
      <alignment vertical="center"/>
    </xf>
    <xf numFmtId="169" fontId="3" fillId="2" borderId="1" xfId="23" applyNumberFormat="1" applyFont="1" applyFill="1" applyBorder="1" applyAlignment="1">
      <alignment vertical="center" wrapText="1"/>
    </xf>
    <xf numFmtId="0" fontId="2" fillId="2" borderId="1" xfId="0" applyFont="1" applyFill="1" applyBorder="1" applyAlignment="1">
      <alignment horizontal="center"/>
    </xf>
    <xf numFmtId="3" fontId="2"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3" fillId="2" borderId="1" xfId="0" applyFont="1" applyFill="1" applyBorder="1" applyAlignment="1">
      <alignment horizontal="right"/>
    </xf>
    <xf numFmtId="0" fontId="3" fillId="2" borderId="1" xfId="10" applyFont="1" applyFill="1" applyBorder="1" applyAlignment="1">
      <alignment vertical="center" wrapText="1"/>
    </xf>
    <xf numFmtId="3" fontId="3" fillId="2" borderId="1" xfId="0" applyNumberFormat="1" applyFont="1" applyFill="1" applyBorder="1" applyAlignment="1">
      <alignment vertical="center" wrapText="1"/>
    </xf>
    <xf numFmtId="0" fontId="3" fillId="2" borderId="0" xfId="0" applyFont="1" applyFill="1" applyAlignment="1">
      <alignment horizontal="right"/>
    </xf>
    <xf numFmtId="3" fontId="4" fillId="0" borderId="0" xfId="0" applyNumberFormat="1" applyFont="1" applyAlignment="1">
      <alignment vertical="center"/>
    </xf>
    <xf numFmtId="166" fontId="6" fillId="0" borderId="0" xfId="0" applyNumberFormat="1" applyFont="1" applyAlignment="1">
      <alignment vertical="center"/>
    </xf>
    <xf numFmtId="0" fontId="2" fillId="2" borderId="1" xfId="0" applyFont="1" applyFill="1" applyBorder="1" applyAlignment="1">
      <alignment vertical="center" wrapText="1"/>
    </xf>
    <xf numFmtId="3" fontId="9" fillId="0" borderId="0" xfId="0" applyNumberFormat="1" applyFont="1"/>
    <xf numFmtId="0" fontId="2" fillId="0" borderId="1" xfId="14" applyFont="1" applyBorder="1" applyAlignment="1">
      <alignment vertical="center"/>
    </xf>
    <xf numFmtId="3" fontId="3" fillId="0" borderId="6" xfId="0" applyNumberFormat="1" applyFont="1" applyBorder="1" applyAlignment="1">
      <alignment horizontal="center" vertical="center"/>
    </xf>
    <xf numFmtId="171" fontId="3" fillId="0" borderId="6" xfId="2" applyNumberFormat="1" applyFont="1" applyFill="1" applyBorder="1" applyAlignment="1">
      <alignment vertical="center"/>
    </xf>
    <xf numFmtId="3" fontId="9" fillId="0" borderId="13" xfId="0" applyNumberFormat="1" applyFont="1" applyBorder="1"/>
    <xf numFmtId="171" fontId="43" fillId="0" borderId="3" xfId="3" applyNumberFormat="1" applyFont="1" applyFill="1" applyBorder="1" applyAlignment="1">
      <alignment vertical="center"/>
    </xf>
    <xf numFmtId="3" fontId="46" fillId="0" borderId="1" xfId="0" applyNumberFormat="1" applyFont="1" applyBorder="1" applyAlignment="1">
      <alignment horizontal="center" vertical="center" wrapText="1"/>
    </xf>
    <xf numFmtId="173" fontId="3" fillId="0" borderId="1" xfId="0" applyNumberFormat="1" applyFont="1" applyBorder="1" applyAlignment="1">
      <alignment vertical="center"/>
    </xf>
    <xf numFmtId="3" fontId="8" fillId="0" borderId="0" xfId="0" applyNumberFormat="1" applyFont="1"/>
    <xf numFmtId="171" fontId="70" fillId="0" borderId="1" xfId="8" applyNumberFormat="1" applyFont="1" applyFill="1" applyBorder="1" applyAlignment="1">
      <alignment horizontal="right" vertical="center" wrapText="1"/>
    </xf>
    <xf numFmtId="171" fontId="65" fillId="0" borderId="1" xfId="8" applyNumberFormat="1" applyFont="1" applyFill="1" applyBorder="1" applyAlignment="1">
      <alignment horizontal="right" vertical="center" wrapText="1"/>
    </xf>
    <xf numFmtId="0" fontId="11" fillId="0" borderId="0" xfId="0" applyFont="1" applyAlignment="1">
      <alignment horizontal="centerContinuous" vertical="center"/>
    </xf>
    <xf numFmtId="0" fontId="42" fillId="0" borderId="0" xfId="0" quotePrefix="1" applyFont="1" applyAlignment="1">
      <alignment horizontal="centerContinuous" vertical="center"/>
    </xf>
    <xf numFmtId="0" fontId="11" fillId="0" borderId="0" xfId="0" applyFont="1"/>
    <xf numFmtId="0" fontId="11" fillId="0" borderId="0" xfId="0" applyFont="1" applyAlignment="1">
      <alignment horizontal="left" vertical="center"/>
    </xf>
    <xf numFmtId="0" fontId="2" fillId="0" borderId="1" xfId="0" quotePrefix="1" applyFont="1" applyBorder="1" applyAlignment="1">
      <alignment horizontal="center" vertical="center"/>
    </xf>
    <xf numFmtId="0" fontId="3" fillId="0" borderId="1" xfId="0" applyFont="1" applyBorder="1" applyAlignment="1">
      <alignment horizontal="center"/>
    </xf>
    <xf numFmtId="171" fontId="2" fillId="0" borderId="1" xfId="3" applyNumberFormat="1" applyFont="1" applyFill="1" applyBorder="1" applyAlignment="1">
      <alignment vertical="center"/>
    </xf>
    <xf numFmtId="171" fontId="3" fillId="0" borderId="1" xfId="3" applyNumberFormat="1" applyFont="1" applyFill="1" applyBorder="1" applyAlignment="1">
      <alignment vertical="center"/>
    </xf>
    <xf numFmtId="0" fontId="4" fillId="0" borderId="0" xfId="0" applyFont="1" applyAlignment="1">
      <alignment horizontal="center" vertical="center" wrapText="1"/>
    </xf>
    <xf numFmtId="0" fontId="38" fillId="0" borderId="0" xfId="0" applyFont="1" applyAlignment="1">
      <alignment horizontal="center" vertical="center" wrapText="1"/>
    </xf>
    <xf numFmtId="1" fontId="2" fillId="0" borderId="1" xfId="0" applyNumberFormat="1" applyFont="1" applyBorder="1" applyAlignment="1">
      <alignment horizontal="center" vertical="center" wrapText="1"/>
    </xf>
    <xf numFmtId="3" fontId="43" fillId="0" borderId="0" xfId="0" applyNumberFormat="1" applyFont="1" applyAlignment="1">
      <alignment vertical="center"/>
    </xf>
    <xf numFmtId="3" fontId="43" fillId="0" borderId="1" xfId="0" applyNumberFormat="1" applyFont="1" applyBorder="1" applyAlignment="1">
      <alignment vertical="center" wrapText="1"/>
    </xf>
    <xf numFmtId="3" fontId="3" fillId="0" borderId="0" xfId="6" applyNumberFormat="1" applyFont="1" applyFill="1" applyAlignment="1">
      <alignment horizontal="center" vertical="center" wrapText="1"/>
    </xf>
    <xf numFmtId="43" fontId="3" fillId="0" borderId="0" xfId="6" applyFont="1" applyFill="1" applyAlignment="1">
      <alignment vertical="center" wrapText="1"/>
    </xf>
    <xf numFmtId="4" fontId="3" fillId="0" borderId="0" xfId="6" applyNumberFormat="1" applyFont="1" applyFill="1" applyAlignment="1">
      <alignment horizontal="right" vertical="center" wrapText="1"/>
    </xf>
    <xf numFmtId="176" fontId="2" fillId="0" borderId="0" xfId="6" applyNumberFormat="1" applyFont="1" applyFill="1" applyBorder="1" applyAlignment="1">
      <alignment horizontal="center" wrapText="1"/>
    </xf>
    <xf numFmtId="176" fontId="11" fillId="0" borderId="0" xfId="6" applyNumberFormat="1" applyFont="1" applyFill="1" applyBorder="1" applyAlignment="1">
      <alignment horizontal="center" wrapText="1"/>
    </xf>
    <xf numFmtId="3" fontId="2" fillId="0" borderId="0" xfId="6" applyNumberFormat="1" applyFont="1" applyFill="1" applyAlignment="1">
      <alignment horizontal="center" vertical="center" wrapText="1"/>
    </xf>
    <xf numFmtId="43" fontId="2" fillId="0" borderId="0" xfId="6" applyFont="1" applyFill="1" applyAlignment="1">
      <alignment horizontal="center" vertical="center" wrapText="1"/>
    </xf>
    <xf numFmtId="4" fontId="2" fillId="0" borderId="0" xfId="6" applyNumberFormat="1" applyFont="1" applyFill="1" applyAlignment="1">
      <alignment horizontal="right" vertical="center" wrapText="1"/>
    </xf>
    <xf numFmtId="3" fontId="2" fillId="0" borderId="1" xfId="8" applyNumberFormat="1" applyFont="1" applyFill="1" applyBorder="1" applyAlignment="1">
      <alignment horizontal="center" vertical="center" wrapText="1"/>
    </xf>
    <xf numFmtId="43" fontId="2" fillId="0" borderId="1" xfId="8" applyFont="1" applyFill="1" applyBorder="1" applyAlignment="1">
      <alignment horizontal="center" vertical="center" wrapText="1"/>
    </xf>
    <xf numFmtId="4" fontId="2" fillId="0" borderId="1" xfId="8" applyNumberFormat="1" applyFont="1" applyFill="1" applyBorder="1" applyAlignment="1">
      <alignment horizontal="center" vertical="center" wrapText="1"/>
    </xf>
    <xf numFmtId="4" fontId="9" fillId="0" borderId="1" xfId="8" applyNumberFormat="1" applyFont="1" applyFill="1" applyBorder="1" applyAlignment="1">
      <alignment horizontal="center" vertical="center" wrapText="1"/>
    </xf>
    <xf numFmtId="43" fontId="2" fillId="0" borderId="0" xfId="8" applyFont="1" applyFill="1" applyAlignment="1">
      <alignment horizontal="left" vertical="center"/>
    </xf>
    <xf numFmtId="43" fontId="2" fillId="0" borderId="0" xfId="8" applyFont="1" applyFill="1" applyAlignment="1">
      <alignment horizontal="center" vertical="center" wrapText="1"/>
    </xf>
    <xf numFmtId="43" fontId="2" fillId="0" borderId="1" xfId="8" applyFont="1" applyFill="1" applyBorder="1" applyAlignment="1">
      <alignment vertical="center" wrapText="1"/>
    </xf>
    <xf numFmtId="171" fontId="2" fillId="0" borderId="1" xfId="8" applyNumberFormat="1" applyFont="1" applyFill="1" applyBorder="1" applyAlignment="1">
      <alignment vertical="center" wrapText="1"/>
    </xf>
    <xf numFmtId="43" fontId="2" fillId="0" borderId="1" xfId="8" applyFont="1" applyFill="1" applyBorder="1" applyAlignment="1">
      <alignment horizontal="left" vertical="center" wrapText="1"/>
    </xf>
    <xf numFmtId="171" fontId="2" fillId="0" borderId="1" xfId="8" applyNumberFormat="1" applyFont="1" applyFill="1" applyBorder="1" applyAlignment="1">
      <alignment horizontal="left" vertical="center" wrapText="1"/>
    </xf>
    <xf numFmtId="43" fontId="2" fillId="0" borderId="0" xfId="8" applyFont="1" applyFill="1" applyAlignment="1">
      <alignment vertical="center" wrapText="1"/>
    </xf>
    <xf numFmtId="3" fontId="3" fillId="0" borderId="1" xfId="8" quotePrefix="1" applyNumberFormat="1" applyFont="1" applyFill="1" applyBorder="1" applyAlignment="1">
      <alignment horizontal="center" vertical="center" wrapText="1"/>
    </xf>
    <xf numFmtId="43" fontId="3" fillId="0" borderId="1" xfId="8" applyFont="1" applyFill="1" applyBorder="1" applyAlignment="1">
      <alignment vertical="center" wrapText="1"/>
    </xf>
    <xf numFmtId="171" fontId="3" fillId="0" borderId="1" xfId="8" applyNumberFormat="1" applyFont="1" applyFill="1" applyBorder="1" applyAlignment="1">
      <alignment vertical="center" wrapText="1"/>
    </xf>
    <xf numFmtId="171" fontId="3" fillId="0" borderId="1" xfId="8" applyNumberFormat="1" applyFont="1" applyFill="1" applyBorder="1" applyAlignment="1">
      <alignment horizontal="right" vertical="center" wrapText="1"/>
    </xf>
    <xf numFmtId="43" fontId="3" fillId="0" borderId="0" xfId="8" applyFont="1" applyFill="1" applyAlignment="1">
      <alignment horizontal="center" vertical="center" wrapText="1"/>
    </xf>
    <xf numFmtId="171" fontId="2" fillId="0" borderId="1" xfId="2" applyNumberFormat="1" applyFont="1" applyFill="1" applyBorder="1" applyAlignment="1">
      <alignment horizontal="right" vertical="center" wrapText="1"/>
    </xf>
    <xf numFmtId="3" fontId="3" fillId="0" borderId="1" xfId="5" quotePrefix="1" applyNumberFormat="1" applyFont="1" applyFill="1" applyBorder="1" applyAlignment="1">
      <alignment horizontal="center" vertical="center" wrapText="1"/>
    </xf>
    <xf numFmtId="171" fontId="3" fillId="0" borderId="1" xfId="5" applyNumberFormat="1" applyFont="1" applyFill="1" applyBorder="1" applyAlignment="1">
      <alignment horizontal="left" vertical="center" wrapText="1"/>
    </xf>
    <xf numFmtId="43" fontId="3" fillId="0" borderId="0" xfId="8" applyFont="1" applyFill="1" applyAlignment="1">
      <alignment vertical="center" wrapText="1"/>
    </xf>
    <xf numFmtId="1" fontId="2" fillId="0" borderId="1" xfId="5" applyNumberFormat="1" applyFont="1" applyFill="1" applyBorder="1" applyAlignment="1">
      <alignment horizontal="center" vertical="center" wrapText="1"/>
    </xf>
    <xf numFmtId="171" fontId="2" fillId="0" borderId="1" xfId="5" applyNumberFormat="1" applyFont="1" applyFill="1" applyBorder="1" applyAlignment="1">
      <alignment horizontal="left" vertical="center" wrapText="1"/>
    </xf>
    <xf numFmtId="43" fontId="3" fillId="0" borderId="1" xfId="8" applyFont="1" applyFill="1" applyBorder="1" applyAlignment="1">
      <alignment horizontal="left" vertical="center" wrapText="1"/>
    </xf>
    <xf numFmtId="171" fontId="3" fillId="0" borderId="1" xfId="8" applyNumberFormat="1" applyFont="1" applyFill="1" applyBorder="1" applyAlignment="1">
      <alignment horizontal="left" vertical="center" wrapText="1"/>
    </xf>
    <xf numFmtId="3" fontId="2" fillId="0" borderId="1" xfId="5" applyNumberFormat="1" applyFont="1" applyFill="1" applyBorder="1" applyAlignment="1">
      <alignment horizontal="center" vertical="center" wrapText="1"/>
    </xf>
    <xf numFmtId="3" fontId="3" fillId="0" borderId="1" xfId="8" applyNumberFormat="1" applyFont="1" applyFill="1" applyBorder="1" applyAlignment="1">
      <alignment horizontal="center" vertical="center" wrapText="1"/>
    </xf>
    <xf numFmtId="3" fontId="2" fillId="0" borderId="1" xfId="8" quotePrefix="1" applyNumberFormat="1" applyFont="1" applyFill="1" applyBorder="1" applyAlignment="1">
      <alignment horizontal="center" vertical="center" wrapText="1"/>
    </xf>
    <xf numFmtId="1" fontId="3" fillId="0" borderId="1" xfId="5" applyNumberFormat="1" applyFont="1" applyFill="1" applyBorder="1" applyAlignment="1">
      <alignment horizontal="center" vertical="center" wrapText="1"/>
    </xf>
    <xf numFmtId="3" fontId="2" fillId="3" borderId="1" xfId="8" applyNumberFormat="1" applyFont="1" applyFill="1" applyBorder="1" applyAlignment="1">
      <alignment horizontal="center" vertical="center" wrapText="1"/>
    </xf>
    <xf numFmtId="43" fontId="2" fillId="3" borderId="1" xfId="8" applyFont="1" applyFill="1" applyBorder="1" applyAlignment="1">
      <alignment horizontal="left" vertical="center" wrapText="1"/>
    </xf>
    <xf numFmtId="171" fontId="2" fillId="3" borderId="1" xfId="8" applyNumberFormat="1" applyFont="1" applyFill="1" applyBorder="1" applyAlignment="1">
      <alignment horizontal="left" vertical="center" wrapText="1"/>
    </xf>
    <xf numFmtId="43" fontId="2" fillId="3" borderId="0" xfId="8" applyFont="1" applyFill="1" applyAlignment="1">
      <alignment horizontal="left" vertical="center"/>
    </xf>
    <xf numFmtId="43" fontId="2" fillId="3" borderId="0" xfId="8" applyFont="1" applyFill="1" applyAlignment="1">
      <alignment horizontal="center" vertical="center" wrapText="1"/>
    </xf>
    <xf numFmtId="171" fontId="2" fillId="0" borderId="1" xfId="10" applyNumberFormat="1" applyFont="1" applyBorder="1" applyAlignment="1">
      <alignment vertical="center" wrapText="1"/>
    </xf>
    <xf numFmtId="171" fontId="2" fillId="0" borderId="1" xfId="8" applyNumberFormat="1" applyFont="1" applyFill="1" applyBorder="1" applyAlignment="1">
      <alignment vertical="center"/>
    </xf>
    <xf numFmtId="171" fontId="3" fillId="0" borderId="1" xfId="10" applyNumberFormat="1" applyFont="1" applyBorder="1" applyAlignment="1">
      <alignment vertical="center" wrapText="1"/>
    </xf>
    <xf numFmtId="171" fontId="3" fillId="0" borderId="1" xfId="8" applyNumberFormat="1" applyFont="1" applyFill="1" applyBorder="1" applyAlignment="1">
      <alignment vertical="center"/>
    </xf>
    <xf numFmtId="3" fontId="3" fillId="0" borderId="0" xfId="2" applyNumberFormat="1" applyFont="1" applyFill="1" applyAlignment="1">
      <alignment horizontal="center" vertical="center" wrapText="1"/>
    </xf>
    <xf numFmtId="43" fontId="3" fillId="0" borderId="0" xfId="2" applyFont="1" applyFill="1" applyAlignment="1">
      <alignment vertical="center" wrapText="1"/>
    </xf>
    <xf numFmtId="4" fontId="3" fillId="0" borderId="0" xfId="2" applyNumberFormat="1" applyFont="1" applyFill="1" applyAlignment="1">
      <alignment horizontal="right" vertical="center" wrapText="1"/>
    </xf>
    <xf numFmtId="3" fontId="3" fillId="3" borderId="0" xfId="8" applyNumberFormat="1" applyFont="1" applyFill="1" applyAlignment="1">
      <alignment horizontal="center" vertical="center" wrapText="1"/>
    </xf>
    <xf numFmtId="43" fontId="3" fillId="3" borderId="0" xfId="8" applyFont="1" applyFill="1" applyAlignment="1">
      <alignment vertical="center" wrapText="1"/>
    </xf>
    <xf numFmtId="4" fontId="3" fillId="3" borderId="0" xfId="8" applyNumberFormat="1" applyFont="1" applyFill="1" applyAlignment="1">
      <alignment horizontal="right" vertical="center" wrapText="1"/>
    </xf>
    <xf numFmtId="171" fontId="70" fillId="0" borderId="1" xfId="6" applyNumberFormat="1" applyFont="1" applyFill="1" applyBorder="1" applyAlignment="1">
      <alignment horizontal="right" vertical="center"/>
    </xf>
    <xf numFmtId="3" fontId="77" fillId="0" borderId="1" xfId="0" applyNumberFormat="1" applyFont="1" applyBorder="1" applyAlignment="1">
      <alignment vertical="center"/>
    </xf>
    <xf numFmtId="173" fontId="3" fillId="0" borderId="0" xfId="0" applyNumberFormat="1" applyFont="1"/>
    <xf numFmtId="0" fontId="2" fillId="2" borderId="0" xfId="20" applyFont="1" applyFill="1" applyAlignment="1">
      <alignment horizontal="left" vertical="center"/>
    </xf>
    <xf numFmtId="0" fontId="4" fillId="0" borderId="0" xfId="0" applyFont="1" applyAlignment="1">
      <alignment horizontal="center" vertical="center" wrapText="1"/>
    </xf>
    <xf numFmtId="0" fontId="38" fillId="0" borderId="0" xfId="0" applyFont="1" applyAlignment="1">
      <alignment horizontal="center" vertical="center" wrapText="1"/>
    </xf>
    <xf numFmtId="1" fontId="39" fillId="0" borderId="1" xfId="0" applyNumberFormat="1" applyFont="1" applyBorder="1" applyAlignment="1">
      <alignment horizontal="center" vertical="center" wrapText="1"/>
    </xf>
    <xf numFmtId="2" fontId="39" fillId="0" borderId="1" xfId="0" applyNumberFormat="1" applyFont="1" applyBorder="1" applyAlignment="1">
      <alignment horizontal="center" vertical="center" wrapText="1"/>
    </xf>
    <xf numFmtId="2" fontId="39" fillId="0" borderId="2" xfId="0" applyNumberFormat="1" applyFont="1" applyBorder="1" applyAlignment="1">
      <alignment horizontal="center" vertical="center" wrapText="1"/>
    </xf>
    <xf numFmtId="2" fontId="39" fillId="0" borderId="5" xfId="0" applyNumberFormat="1" applyFont="1" applyBorder="1" applyAlignment="1">
      <alignment horizontal="center" vertical="center" wrapText="1"/>
    </xf>
    <xf numFmtId="2" fontId="39" fillId="0" borderId="7" xfId="0" applyNumberFormat="1" applyFont="1" applyBorder="1" applyAlignment="1">
      <alignment horizontal="center" vertical="center" wrapText="1"/>
    </xf>
    <xf numFmtId="2" fontId="39" fillId="0" borderId="9" xfId="0" applyNumberFormat="1" applyFont="1" applyBorder="1" applyAlignment="1">
      <alignment horizontal="center" vertical="center" wrapText="1"/>
    </xf>
    <xf numFmtId="2" fontId="39" fillId="0" borderId="10" xfId="0" applyNumberFormat="1" applyFont="1" applyBorder="1" applyAlignment="1">
      <alignment horizontal="center" vertical="center" wrapText="1"/>
    </xf>
    <xf numFmtId="2" fontId="39" fillId="0" borderId="11" xfId="0" applyNumberFormat="1" applyFont="1" applyBorder="1" applyAlignment="1">
      <alignment horizontal="center" vertical="center" wrapText="1"/>
    </xf>
    <xf numFmtId="171" fontId="39" fillId="0" borderId="12" xfId="6" applyNumberFormat="1" applyFont="1" applyFill="1" applyBorder="1" applyAlignment="1">
      <alignment horizontal="center" vertical="center" wrapText="1"/>
    </xf>
    <xf numFmtId="171" fontId="39" fillId="0" borderId="13" xfId="6" applyNumberFormat="1" applyFont="1" applyFill="1" applyBorder="1" applyAlignment="1">
      <alignment horizontal="center" vertical="center" wrapText="1"/>
    </xf>
    <xf numFmtId="171" fontId="39" fillId="0" borderId="14" xfId="6" applyNumberFormat="1" applyFont="1" applyFill="1" applyBorder="1" applyAlignment="1">
      <alignment horizontal="center" vertical="center" wrapText="1"/>
    </xf>
    <xf numFmtId="2" fontId="39" fillId="0" borderId="12" xfId="0" applyNumberFormat="1" applyFont="1" applyBorder="1" applyAlignment="1">
      <alignment horizontal="center" vertical="center" wrapText="1"/>
    </xf>
    <xf numFmtId="2" fontId="39" fillId="0" borderId="15"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7" xfId="0" applyFont="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3" fontId="4" fillId="0" borderId="0" xfId="21" applyNumberFormat="1" applyFont="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171" fontId="2" fillId="0" borderId="1" xfId="3" applyNumberFormat="1" applyFont="1" applyFill="1" applyBorder="1" applyAlignment="1">
      <alignment horizontal="center" vertical="center" wrapText="1"/>
    </xf>
    <xf numFmtId="2" fontId="2" fillId="0" borderId="16" xfId="0" applyNumberFormat="1" applyFont="1" applyBorder="1" applyAlignment="1">
      <alignment horizontal="center" vertical="center" wrapText="1"/>
    </xf>
    <xf numFmtId="2" fontId="2" fillId="0" borderId="17"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0" fontId="3" fillId="0" borderId="0" xfId="0" applyFont="1" applyAlignment="1">
      <alignment horizontal="center"/>
    </xf>
    <xf numFmtId="3" fontId="4" fillId="0" borderId="0" xfId="0" applyNumberFormat="1" applyFont="1" applyAlignment="1">
      <alignment horizontal="center" vertical="center"/>
    </xf>
    <xf numFmtId="3" fontId="38" fillId="0" borderId="0" xfId="0" applyNumberFormat="1" applyFont="1" applyAlignment="1">
      <alignment horizontal="center" vertical="center"/>
    </xf>
    <xf numFmtId="171" fontId="44" fillId="0" borderId="3" xfId="3" applyNumberFormat="1" applyFont="1" applyFill="1" applyBorder="1" applyAlignment="1">
      <alignment horizontal="center" vertical="center"/>
    </xf>
    <xf numFmtId="43" fontId="38" fillId="0" borderId="0" xfId="6" applyFont="1" applyFill="1" applyAlignment="1">
      <alignment horizontal="center" wrapText="1"/>
    </xf>
    <xf numFmtId="43" fontId="4" fillId="0" borderId="0" xfId="6" applyFont="1" applyFill="1" applyAlignment="1">
      <alignment horizontal="center" wrapText="1"/>
    </xf>
    <xf numFmtId="0" fontId="3" fillId="2" borderId="0" xfId="0" applyFont="1" applyFill="1" applyAlignment="1">
      <alignment horizont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7" xfId="0" applyFont="1" applyBorder="1" applyAlignment="1">
      <alignment horizontal="center" vertical="center" wrapText="1" shrinkToFit="1"/>
    </xf>
    <xf numFmtId="3" fontId="11" fillId="0" borderId="3" xfId="0" applyNumberFormat="1" applyFont="1" applyBorder="1" applyAlignment="1">
      <alignment horizontal="center" vertical="center"/>
    </xf>
    <xf numFmtId="0" fontId="5" fillId="0" borderId="0" xfId="0" applyFont="1" applyAlignment="1">
      <alignment horizontal="center" vertical="center" wrapText="1"/>
    </xf>
    <xf numFmtId="0" fontId="7" fillId="0" borderId="0" xfId="17" applyFont="1" applyAlignment="1">
      <alignment horizontal="center"/>
    </xf>
    <xf numFmtId="1" fontId="11" fillId="0" borderId="0" xfId="0" applyNumberFormat="1" applyFont="1" applyAlignment="1">
      <alignment horizontal="center"/>
    </xf>
    <xf numFmtId="0" fontId="11" fillId="0" borderId="0" xfId="0" applyFont="1" applyAlignment="1">
      <alignment horizontal="center"/>
    </xf>
    <xf numFmtId="0" fontId="2" fillId="0" borderId="1" xfId="17" applyFont="1" applyBorder="1" applyAlignment="1">
      <alignment horizontal="center" vertical="center" wrapText="1"/>
    </xf>
    <xf numFmtId="3" fontId="2" fillId="0" borderId="1" xfId="22" applyNumberFormat="1" applyFont="1" applyBorder="1" applyAlignment="1">
      <alignment horizontal="center" vertical="center" wrapText="1"/>
    </xf>
    <xf numFmtId="3" fontId="2" fillId="0" borderId="2" xfId="22" applyNumberFormat="1" applyFont="1" applyBorder="1" applyAlignment="1">
      <alignment horizontal="center" vertical="center" wrapText="1"/>
    </xf>
    <xf numFmtId="3" fontId="2" fillId="0" borderId="7" xfId="22" applyNumberFormat="1" applyFont="1" applyBorder="1" applyAlignment="1">
      <alignment horizontal="center" vertical="center" wrapText="1"/>
    </xf>
    <xf numFmtId="0" fontId="3" fillId="0" borderId="0" xfId="0" applyFont="1" applyAlignment="1">
      <alignment horizontal="right"/>
    </xf>
    <xf numFmtId="0" fontId="7" fillId="0" borderId="0" xfId="0" applyFont="1" applyAlignment="1">
      <alignment horizontal="center" wrapText="1"/>
    </xf>
    <xf numFmtId="0" fontId="11" fillId="0" borderId="0" xfId="0" applyFont="1" applyAlignment="1">
      <alignment horizontal="center" wrapText="1"/>
    </xf>
    <xf numFmtId="43" fontId="38" fillId="0" borderId="3" xfId="3" applyFont="1" applyFill="1" applyBorder="1" applyAlignment="1">
      <alignment horizontal="right" vertical="center"/>
    </xf>
    <xf numFmtId="0" fontId="53" fillId="0" borderId="0" xfId="0" applyFont="1" applyAlignment="1">
      <alignment horizontal="right" wrapText="1"/>
    </xf>
    <xf numFmtId="0" fontId="54" fillId="0" borderId="0" xfId="0" applyFont="1" applyAlignment="1">
      <alignment horizontal="center" wrapText="1"/>
    </xf>
    <xf numFmtId="0" fontId="62" fillId="0" borderId="0" xfId="0" applyFont="1" applyAlignment="1">
      <alignment horizontal="right"/>
    </xf>
    <xf numFmtId="0" fontId="63" fillId="0" borderId="0" xfId="0" applyFont="1" applyAlignment="1">
      <alignment horizontal="center" wrapText="1"/>
    </xf>
    <xf numFmtId="0" fontId="63" fillId="0" borderId="0" xfId="0" applyFont="1" applyAlignment="1">
      <alignment horizontal="center"/>
    </xf>
    <xf numFmtId="1" fontId="64" fillId="0" borderId="0" xfId="0" applyNumberFormat="1" applyFont="1" applyAlignment="1">
      <alignment horizont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4" fillId="0" borderId="1" xfId="0" applyFont="1" applyBorder="1" applyAlignment="1">
      <alignment horizontal="center" vertical="center"/>
    </xf>
    <xf numFmtId="0" fontId="11" fillId="0" borderId="0" xfId="0" applyFont="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4" fillId="2" borderId="0" xfId="0" applyFont="1" applyFill="1" applyAlignment="1">
      <alignment horizontal="center"/>
    </xf>
    <xf numFmtId="0" fontId="2" fillId="2" borderId="1" xfId="0" applyFont="1" applyFill="1" applyBorder="1" applyAlignment="1">
      <alignment horizontal="center" vertical="center"/>
    </xf>
    <xf numFmtId="0" fontId="1" fillId="2" borderId="1" xfId="0" applyFont="1" applyFill="1" applyBorder="1" applyAlignment="1">
      <alignment vertical="center"/>
    </xf>
    <xf numFmtId="0" fontId="11" fillId="2" borderId="0" xfId="0" applyFont="1" applyFill="1" applyAlignment="1">
      <alignment horizont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3" xfId="0" applyFont="1" applyBorder="1" applyAlignment="1">
      <alignment horizontal="right" vertical="center"/>
    </xf>
    <xf numFmtId="171" fontId="2" fillId="0" borderId="1" xfId="2" applyNumberFormat="1" applyFont="1" applyFill="1" applyBorder="1" applyAlignment="1">
      <alignment horizontal="center" vertical="center" wrapText="1"/>
    </xf>
    <xf numFmtId="0" fontId="25" fillId="2" borderId="0" xfId="0" applyFont="1" applyFill="1" applyAlignment="1">
      <alignment horizontal="left" vertical="center" wrapText="1"/>
    </xf>
    <xf numFmtId="0" fontId="18" fillId="2" borderId="0" xfId="0" applyFont="1" applyFill="1" applyAlignment="1">
      <alignment horizontal="left" vertical="center" wrapText="1"/>
    </xf>
    <xf numFmtId="0" fontId="3" fillId="2" borderId="3" xfId="0" applyFont="1" applyFill="1" applyBorder="1" applyAlignment="1">
      <alignment horizontal="center" vertical="center"/>
    </xf>
    <xf numFmtId="0" fontId="2" fillId="2" borderId="0" xfId="0" applyFont="1" applyFill="1" applyAlignment="1">
      <alignment horizontal="right" vertical="center"/>
    </xf>
    <xf numFmtId="0" fontId="4" fillId="2" borderId="0" xfId="0" applyFont="1" applyFill="1" applyAlignment="1">
      <alignment horizontal="center" vertical="center"/>
    </xf>
    <xf numFmtId="0" fontId="11" fillId="2" borderId="0" xfId="0" applyFont="1" applyFill="1" applyAlignment="1">
      <alignment horizontal="center" vertical="center"/>
    </xf>
    <xf numFmtId="0" fontId="3" fillId="0" borderId="0" xfId="0" applyFont="1" applyAlignment="1">
      <alignment horizontal="righ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2" borderId="0" xfId="0" applyFont="1" applyFill="1" applyAlignment="1">
      <alignment horizontal="center" vertical="center"/>
    </xf>
    <xf numFmtId="0" fontId="3" fillId="2" borderId="0" xfId="0" applyFont="1" applyFill="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14" applyFont="1" applyBorder="1" applyAlignment="1">
      <alignment horizontal="center" vertical="center" wrapText="1"/>
    </xf>
    <xf numFmtId="0" fontId="2" fillId="0" borderId="1" xfId="14" applyFont="1" applyBorder="1" applyAlignment="1">
      <alignment horizontal="center" vertical="center" wrapText="1"/>
    </xf>
    <xf numFmtId="0" fontId="5" fillId="0" borderId="0" xfId="14" applyFont="1" applyAlignment="1">
      <alignment horizontal="center" vertical="center"/>
    </xf>
    <xf numFmtId="0" fontId="2" fillId="0" borderId="0" xfId="14" applyFont="1" applyAlignment="1">
      <alignment horizontal="right" vertical="center"/>
    </xf>
    <xf numFmtId="0" fontId="3" fillId="0" borderId="0" xfId="14" applyFont="1" applyAlignment="1">
      <alignment horizontal="right" vertical="center"/>
    </xf>
    <xf numFmtId="0" fontId="11" fillId="0" borderId="0" xfId="18" applyFont="1" applyAlignment="1">
      <alignment horizontal="center" vertical="center" wrapText="1"/>
    </xf>
    <xf numFmtId="0" fontId="1" fillId="0" borderId="1" xfId="0" applyFont="1" applyBorder="1" applyAlignment="1">
      <alignment vertical="center"/>
    </xf>
    <xf numFmtId="0" fontId="7" fillId="0" borderId="0" xfId="14" applyFont="1" applyAlignment="1">
      <alignment horizontal="center" vertical="center"/>
    </xf>
    <xf numFmtId="0" fontId="2" fillId="0" borderId="2" xfId="14" applyFont="1" applyBorder="1" applyAlignment="1">
      <alignment horizontal="center" vertical="center" wrapText="1"/>
    </xf>
    <xf numFmtId="0" fontId="2" fillId="0" borderId="5" xfId="14" applyFont="1" applyBorder="1" applyAlignment="1">
      <alignment horizontal="center" vertical="center" wrapText="1"/>
    </xf>
    <xf numFmtId="0" fontId="2" fillId="0" borderId="7" xfId="14" applyFont="1" applyBorder="1" applyAlignment="1">
      <alignment horizontal="center" vertical="center" wrapText="1"/>
    </xf>
    <xf numFmtId="0" fontId="2" fillId="0" borderId="1" xfId="14" applyFont="1" applyBorder="1" applyAlignment="1">
      <alignment horizontal="center" vertical="center"/>
    </xf>
    <xf numFmtId="0" fontId="9" fillId="2" borderId="1" xfId="0" applyFont="1" applyFill="1" applyBorder="1" applyAlignment="1">
      <alignment horizontal="center" vertical="center" wrapText="1"/>
    </xf>
    <xf numFmtId="168" fontId="9" fillId="0" borderId="1" xfId="19" applyNumberFormat="1" applyFont="1" applyBorder="1" applyAlignment="1">
      <alignment horizontal="center" vertical="center" wrapText="1"/>
    </xf>
    <xf numFmtId="168" fontId="9" fillId="2" borderId="1" xfId="19"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32" fillId="2" borderId="0" xfId="0" applyFont="1" applyFill="1" applyAlignment="1">
      <alignment horizontal="center" vertical="center"/>
    </xf>
    <xf numFmtId="0" fontId="2" fillId="2" borderId="0" xfId="0" applyFont="1" applyFill="1" applyAlignment="1">
      <alignment horizontal="right"/>
    </xf>
    <xf numFmtId="0" fontId="4" fillId="2" borderId="0" xfId="0" applyFont="1" applyFill="1" applyAlignment="1">
      <alignment horizontal="center" wrapText="1"/>
    </xf>
    <xf numFmtId="0" fontId="11" fillId="2" borderId="0" xfId="0" applyFont="1" applyFill="1" applyAlignment="1">
      <alignment horizontal="center" wrapText="1"/>
    </xf>
    <xf numFmtId="0" fontId="3" fillId="2" borderId="0" xfId="0" applyFont="1" applyFill="1" applyAlignment="1">
      <alignment horizontal="right"/>
    </xf>
    <xf numFmtId="0" fontId="35" fillId="2" borderId="0" xfId="0" applyFont="1" applyFill="1" applyAlignment="1">
      <alignment horizontal="left" vertical="center" wrapText="1"/>
    </xf>
    <xf numFmtId="0" fontId="25" fillId="2" borderId="0" xfId="0" applyFont="1" applyFill="1" applyAlignment="1">
      <alignment horizontal="right" vertical="center"/>
    </xf>
    <xf numFmtId="0" fontId="4" fillId="2" borderId="0" xfId="20" applyFont="1" applyFill="1" applyAlignment="1">
      <alignment horizontal="center" vertical="center" wrapText="1"/>
    </xf>
    <xf numFmtId="0" fontId="3" fillId="2" borderId="3" xfId="15" applyFont="1" applyFill="1" applyBorder="1" applyAlignment="1">
      <alignment horizontal="right" vertical="center"/>
    </xf>
    <xf numFmtId="0" fontId="2" fillId="2" borderId="2" xfId="20" applyFont="1" applyFill="1" applyBorder="1" applyAlignment="1">
      <alignment horizontal="center" vertical="center" wrapText="1"/>
    </xf>
    <xf numFmtId="0" fontId="2" fillId="2" borderId="5" xfId="20" applyFont="1" applyFill="1" applyBorder="1" applyAlignment="1">
      <alignment horizontal="center" vertical="center" wrapText="1"/>
    </xf>
    <xf numFmtId="0" fontId="2" fillId="2" borderId="1" xfId="20" applyFont="1" applyFill="1" applyBorder="1" applyAlignment="1">
      <alignment horizontal="center" vertical="center"/>
    </xf>
    <xf numFmtId="0" fontId="2" fillId="2" borderId="1" xfId="20" applyFont="1" applyFill="1" applyBorder="1" applyAlignment="1">
      <alignment horizontal="center" vertical="center" wrapText="1"/>
    </xf>
    <xf numFmtId="0" fontId="2" fillId="2" borderId="16" xfId="20" applyFont="1" applyFill="1" applyBorder="1" applyAlignment="1">
      <alignment horizontal="center" vertical="center" wrapText="1"/>
    </xf>
    <xf numFmtId="0" fontId="2" fillId="2" borderId="17" xfId="20" applyFont="1" applyFill="1" applyBorder="1" applyAlignment="1">
      <alignment horizontal="center" vertical="center" wrapText="1"/>
    </xf>
    <xf numFmtId="0" fontId="2" fillId="2" borderId="8" xfId="20" applyFont="1" applyFill="1" applyBorder="1" applyAlignment="1">
      <alignment horizontal="center" vertical="center" wrapText="1"/>
    </xf>
    <xf numFmtId="0" fontId="2" fillId="2" borderId="7" xfId="20" applyFont="1" applyFill="1" applyBorder="1" applyAlignment="1">
      <alignment horizontal="center" vertical="center" wrapText="1"/>
    </xf>
    <xf numFmtId="0" fontId="11" fillId="2" borderId="0" xfId="20" applyFont="1"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3" xfId="0" applyFont="1" applyBorder="1" applyAlignment="1">
      <alignment horizontal="center" vertical="center" wrapText="1"/>
    </xf>
  </cellXfs>
  <cellStyles count="26">
    <cellStyle name="_x000d__x000a_JournalTemplate=C:\COMFO\CTALK\JOURSTD.TPL_x000d__x000a_LbStateAddress=3 3 0 251 1 89 2 311_x000d__x000a_LbStateJou" xfId="1" xr:uid="{00000000-0005-0000-0000-000000000000}"/>
    <cellStyle name="Comma" xfId="2" builtinId="3"/>
    <cellStyle name="Comma 12" xfId="3" xr:uid="{00000000-0005-0000-0000-000002000000}"/>
    <cellStyle name="Comma 2" xfId="25" xr:uid="{00000000-0005-0000-0000-000003000000}"/>
    <cellStyle name="Comma 28" xfId="4" xr:uid="{00000000-0005-0000-0000-000004000000}"/>
    <cellStyle name="Comma 3" xfId="5" xr:uid="{00000000-0005-0000-0000-000005000000}"/>
    <cellStyle name="Comma 3 2" xfId="6" xr:uid="{00000000-0005-0000-0000-000006000000}"/>
    <cellStyle name="Comma 3 2 2" xfId="7" xr:uid="{00000000-0005-0000-0000-000007000000}"/>
    <cellStyle name="Comma 4" xfId="8" xr:uid="{00000000-0005-0000-0000-000008000000}"/>
    <cellStyle name="HAI" xfId="9" xr:uid="{00000000-0005-0000-0000-000009000000}"/>
    <cellStyle name="Normal" xfId="0" builtinId="0"/>
    <cellStyle name="Normal 11" xfId="10" xr:uid="{00000000-0005-0000-0000-00000B000000}"/>
    <cellStyle name="Normal 11 2" xfId="11" xr:uid="{00000000-0005-0000-0000-00000C000000}"/>
    <cellStyle name="Normal 11 3" xfId="12" xr:uid="{00000000-0005-0000-0000-00000D000000}"/>
    <cellStyle name="Normal 16" xfId="13" xr:uid="{00000000-0005-0000-0000-00000E000000}"/>
    <cellStyle name="Normal 2" xfId="14" xr:uid="{00000000-0005-0000-0000-00000F000000}"/>
    <cellStyle name="Normal 2 2" xfId="15" xr:uid="{00000000-0005-0000-0000-000010000000}"/>
    <cellStyle name="Normal 22" xfId="16" xr:uid="{00000000-0005-0000-0000-000011000000}"/>
    <cellStyle name="Normal 3" xfId="17" xr:uid="{00000000-0005-0000-0000-000012000000}"/>
    <cellStyle name="Normal 3 4" xfId="18" xr:uid="{00000000-0005-0000-0000-000013000000}"/>
    <cellStyle name="Normal 4" xfId="19" xr:uid="{00000000-0005-0000-0000-000014000000}"/>
    <cellStyle name="Normal 5" xfId="20" xr:uid="{00000000-0005-0000-0000-000015000000}"/>
    <cellStyle name="Normal 5 3" xfId="21" xr:uid="{00000000-0005-0000-0000-000016000000}"/>
    <cellStyle name="Normal_Bieu mau (CV )" xfId="22" xr:uid="{00000000-0005-0000-0000-000017000000}"/>
    <cellStyle name="Normal_Chi NSTW NSDP 2002 - PL" xfId="23" xr:uid="{00000000-0005-0000-0000-000018000000}"/>
    <cellStyle name="Percent" xfId="2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neDrive%20-%20VIP\GIU%20LIEU%20DANG%20LAM\PHAN%20BO%20DU%20TOAN\Giao%20DTNS%20nam%202025\NSX\01.%20DT%202022_X&#227;%20Qu&#224;i%20T&#79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neDrive%20-%20VIP\GIU%20LIEU%20DANG%20LAM\PHAN%20BO%20DU%20TOAN\Giao%20DTNS%20nam%202025\NSX\Chi%20kh&#225;c%2020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MAY%20TINH%20DAT%20HONG\Downloads\QUYET%20DINH%20GIAO%20DU%20TOAN%202024_BAN%20CUOI\0.%20QD%20GIAO%20DU%20TOAN%202024_BIEU%20T&#7892;NG%20H&#7906;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Quài Tở"/>
      <sheetName val="B1.TĐDT"/>
      <sheetName val="B2.TĐDT"/>
      <sheetName val="B3.TĐDT"/>
      <sheetName val="B4.TĐDT"/>
      <sheetName val="B5.TĐDT"/>
      <sheetName val="B6.TĐDT"/>
      <sheetName val="B7.Hưu xã"/>
      <sheetName val="B8. ĐTQP"/>
    </sheetNames>
    <sheetDataSet>
      <sheetData sheetId="0" refreshError="1">
        <row r="3">
          <cell r="C3" t="str">
            <v>Xã Quài Tở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ừng thọ"/>
      <sheetName val="TT 121"/>
      <sheetName val="HL DQTV 2023 (Xã HL)"/>
      <sheetName val="Đội dân phòng"/>
      <sheetName val="Công an viên BCT"/>
      <sheetName val="Đội văn nghệ quần chúng"/>
      <sheetName val="SN Đào tạo (TTHTCĐ)"/>
    </sheetNames>
    <sheetDataSet>
      <sheetData sheetId="0" refreshError="1"/>
      <sheetData sheetId="1" refreshError="1"/>
      <sheetData sheetId="2" refreshError="1"/>
      <sheetData sheetId="3" refreshError="1"/>
      <sheetData sheetId="4" refreshError="1"/>
      <sheetData sheetId="5" refreshError="1">
        <row r="7">
          <cell r="E7">
            <v>76</v>
          </cell>
        </row>
        <row r="8">
          <cell r="E8">
            <v>52</v>
          </cell>
        </row>
        <row r="9">
          <cell r="E9">
            <v>48</v>
          </cell>
        </row>
        <row r="10">
          <cell r="E10">
            <v>20</v>
          </cell>
        </row>
        <row r="11">
          <cell r="E11">
            <v>28</v>
          </cell>
        </row>
        <row r="12">
          <cell r="E12">
            <v>40</v>
          </cell>
        </row>
        <row r="13">
          <cell r="E13">
            <v>24</v>
          </cell>
        </row>
        <row r="14">
          <cell r="E14">
            <v>28</v>
          </cell>
        </row>
        <row r="15">
          <cell r="E15">
            <v>32</v>
          </cell>
        </row>
        <row r="16">
          <cell r="E16">
            <v>48</v>
          </cell>
        </row>
        <row r="17">
          <cell r="E17">
            <v>40</v>
          </cell>
        </row>
        <row r="18">
          <cell r="E18">
            <v>36</v>
          </cell>
        </row>
        <row r="19">
          <cell r="E19">
            <v>24</v>
          </cell>
        </row>
        <row r="20">
          <cell r="E20">
            <v>40</v>
          </cell>
        </row>
        <row r="21">
          <cell r="E21">
            <v>28</v>
          </cell>
        </row>
        <row r="22">
          <cell r="E22">
            <v>24</v>
          </cell>
        </row>
        <row r="23">
          <cell r="E23">
            <v>32</v>
          </cell>
        </row>
        <row r="24">
          <cell r="E24">
            <v>28</v>
          </cell>
        </row>
        <row r="25">
          <cell r="E25">
            <v>60</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2024"/>
      <sheetName val="Chi 2024"/>
      <sheetName val="Chi xã, TT 2024"/>
      <sheetName val="Trả nợ"/>
      <sheetName val="SNKT"/>
      <sheetName val="Đất lúa"/>
      <sheetName val="SNGD"/>
    </sheetNames>
    <sheetDataSet>
      <sheetData sheetId="0" refreshError="1"/>
      <sheetData sheetId="1" refreshError="1"/>
      <sheetData sheetId="2">
        <row r="3">
          <cell r="A3" t="str">
            <v>(Kèm theo Quyết đinh số 1929/QĐ-UBND ngày 20 tháng 12 năm 2023 của UBND huyện Tuần Giáo)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O12"/>
  <sheetViews>
    <sheetView workbookViewId="0">
      <selection activeCell="F26" sqref="F26"/>
    </sheetView>
  </sheetViews>
  <sheetFormatPr defaultColWidth="0" defaultRowHeight="15.75"/>
  <cols>
    <col min="1" max="1" width="4.88671875" style="394" customWidth="1"/>
    <col min="2" max="2" width="45.44140625" style="295" customWidth="1"/>
    <col min="3" max="3" width="3" style="295" hidden="1" customWidth="1"/>
    <col min="4" max="4" width="10.21875" style="294" customWidth="1"/>
    <col min="5" max="5" width="12.88671875" style="412" customWidth="1"/>
    <col min="6" max="6" width="11.77734375" style="295" customWidth="1"/>
    <col min="7" max="7" width="10.77734375" style="295" customWidth="1"/>
    <col min="8" max="205" width="8" style="295" customWidth="1"/>
    <col min="206" max="206" width="7.44140625" style="295" customWidth="1"/>
    <col min="207" max="207" width="55.21875" style="295" customWidth="1"/>
    <col min="208" max="208" width="16.109375" style="295" customWidth="1"/>
    <col min="209" max="248" width="0" style="295" hidden="1"/>
    <col min="249" max="249" width="4.88671875" style="295" customWidth="1"/>
    <col min="250" max="250" width="52.88671875" style="295" customWidth="1"/>
    <col min="251" max="251" width="0" style="295" hidden="1" customWidth="1"/>
    <col min="252" max="252" width="11.88671875" style="295" customWidth="1"/>
    <col min="253" max="253" width="14.109375" style="295" customWidth="1"/>
    <col min="254" max="254" width="31.21875" style="295" customWidth="1"/>
    <col min="255" max="16384" width="0" style="295" hidden="1"/>
  </cols>
  <sheetData>
    <row r="1" spans="1:223" ht="21.75" customHeight="1">
      <c r="A1" s="780" t="s">
        <v>673</v>
      </c>
      <c r="B1" s="780"/>
      <c r="C1" s="780"/>
      <c r="D1" s="780"/>
      <c r="E1" s="780"/>
      <c r="F1" s="780"/>
    </row>
    <row r="2" spans="1:223" ht="22.5" customHeight="1">
      <c r="A2" s="781" t="s">
        <v>663</v>
      </c>
      <c r="B2" s="782"/>
      <c r="C2" s="782"/>
      <c r="D2" s="782"/>
      <c r="E2" s="782"/>
      <c r="F2" s="782"/>
    </row>
    <row r="3" spans="1:223" ht="21" customHeight="1">
      <c r="A3" s="783" t="str">
        <f>SNKT!A3</f>
        <v>(Kèm theo Quyết đinh số 1929/QĐ-UBND ngày 20 tháng 12 năm 2023 của UBND huyện Tuần Giáo)</v>
      </c>
      <c r="B3" s="783"/>
      <c r="C3" s="783"/>
      <c r="D3" s="783"/>
      <c r="E3" s="783"/>
      <c r="F3" s="783"/>
    </row>
    <row r="4" spans="1:223" ht="25.5" customHeight="1">
      <c r="B4" s="395"/>
      <c r="C4" s="395"/>
      <c r="D4" s="396"/>
      <c r="E4" s="777" t="s">
        <v>87</v>
      </c>
      <c r="F4" s="777"/>
    </row>
    <row r="5" spans="1:223" ht="48.75" customHeight="1">
      <c r="A5" s="338" t="s">
        <v>664</v>
      </c>
      <c r="B5" s="338" t="s">
        <v>580</v>
      </c>
      <c r="C5" s="338" t="s">
        <v>665</v>
      </c>
      <c r="D5" s="338" t="s">
        <v>581</v>
      </c>
      <c r="E5" s="397" t="s">
        <v>666</v>
      </c>
      <c r="F5" s="338" t="s">
        <v>585</v>
      </c>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K5" s="398"/>
      <c r="BL5" s="398"/>
      <c r="BM5" s="398"/>
      <c r="BN5" s="398"/>
      <c r="BO5" s="398"/>
      <c r="BP5" s="398"/>
      <c r="BQ5" s="398"/>
      <c r="BR5" s="398"/>
      <c r="BS5" s="398"/>
      <c r="BT5" s="398"/>
      <c r="BU5" s="398"/>
      <c r="BV5" s="398"/>
      <c r="BW5" s="398"/>
      <c r="BX5" s="398"/>
      <c r="BY5" s="398"/>
      <c r="BZ5" s="398"/>
      <c r="CA5" s="398"/>
      <c r="CB5" s="398"/>
      <c r="CC5" s="398"/>
      <c r="CD5" s="398"/>
      <c r="CE5" s="398"/>
      <c r="CF5" s="398"/>
      <c r="CG5" s="398"/>
      <c r="CH5" s="398"/>
      <c r="CI5" s="398"/>
      <c r="CJ5" s="398"/>
      <c r="CK5" s="398"/>
      <c r="CL5" s="398"/>
      <c r="CM5" s="398"/>
      <c r="CN5" s="398"/>
      <c r="CO5" s="398"/>
      <c r="CP5" s="398"/>
      <c r="CQ5" s="398"/>
      <c r="CR5" s="398"/>
      <c r="CS5" s="398"/>
      <c r="CT5" s="398"/>
      <c r="CU5" s="398"/>
      <c r="CV5" s="398"/>
      <c r="CW5" s="398"/>
      <c r="CX5" s="398"/>
      <c r="CY5" s="398"/>
      <c r="CZ5" s="398"/>
      <c r="DA5" s="398"/>
      <c r="DB5" s="398"/>
      <c r="DC5" s="398"/>
      <c r="DD5" s="398"/>
      <c r="DE5" s="398"/>
      <c r="DF5" s="398"/>
      <c r="DG5" s="398"/>
      <c r="DH5" s="398"/>
      <c r="DI5" s="398"/>
      <c r="DJ5" s="398"/>
      <c r="DK5" s="398"/>
      <c r="DL5" s="398"/>
      <c r="DM5" s="398"/>
      <c r="DN5" s="398"/>
      <c r="DO5" s="398"/>
      <c r="DP5" s="398"/>
      <c r="DQ5" s="398"/>
      <c r="DR5" s="398"/>
      <c r="DS5" s="398"/>
      <c r="DT5" s="398"/>
      <c r="DU5" s="398"/>
      <c r="DV5" s="398"/>
      <c r="DW5" s="398"/>
      <c r="DX5" s="398"/>
      <c r="DY5" s="398"/>
      <c r="DZ5" s="398"/>
      <c r="EA5" s="398"/>
      <c r="EB5" s="398"/>
      <c r="EC5" s="398"/>
      <c r="ED5" s="398"/>
      <c r="EE5" s="398"/>
      <c r="EF5" s="398"/>
      <c r="EG5" s="398"/>
      <c r="EH5" s="398"/>
      <c r="EI5" s="398"/>
      <c r="EJ5" s="398"/>
      <c r="EK5" s="398"/>
      <c r="EL5" s="398"/>
      <c r="EM5" s="398"/>
      <c r="EN5" s="398"/>
      <c r="EO5" s="398"/>
      <c r="EP5" s="398"/>
      <c r="EQ5" s="398"/>
      <c r="ER5" s="398"/>
      <c r="ES5" s="398"/>
      <c r="ET5" s="398"/>
      <c r="EU5" s="398"/>
      <c r="EV5" s="398"/>
      <c r="EW5" s="398"/>
      <c r="EX5" s="398"/>
      <c r="EY5" s="398"/>
      <c r="EZ5" s="398"/>
      <c r="FA5" s="398"/>
      <c r="FB5" s="398"/>
      <c r="FC5" s="398"/>
      <c r="FD5" s="398"/>
      <c r="FE5" s="398"/>
      <c r="FF5" s="398"/>
      <c r="FG5" s="398"/>
      <c r="FH5" s="398"/>
      <c r="FI5" s="398"/>
      <c r="FJ5" s="398"/>
      <c r="FK5" s="398"/>
      <c r="FL5" s="398"/>
      <c r="FM5" s="398"/>
      <c r="FN5" s="398"/>
      <c r="FO5" s="398"/>
      <c r="FP5" s="398"/>
      <c r="FQ5" s="398"/>
      <c r="FR5" s="398"/>
      <c r="FS5" s="398"/>
      <c r="FT5" s="398"/>
      <c r="FU5" s="398"/>
      <c r="FV5" s="398"/>
      <c r="FW5" s="398"/>
      <c r="FX5" s="398"/>
      <c r="FY5" s="398"/>
      <c r="FZ5" s="398"/>
      <c r="GA5" s="398"/>
      <c r="GB5" s="398"/>
      <c r="GC5" s="398"/>
      <c r="GD5" s="398"/>
      <c r="GE5" s="398"/>
      <c r="GF5" s="398"/>
      <c r="GG5" s="398"/>
      <c r="GH5" s="398"/>
      <c r="GI5" s="398"/>
      <c r="GJ5" s="398"/>
      <c r="GK5" s="398"/>
      <c r="GL5" s="398"/>
      <c r="GM5" s="398"/>
      <c r="GN5" s="398"/>
      <c r="GO5" s="398"/>
      <c r="GP5" s="398"/>
      <c r="GQ5" s="398"/>
      <c r="GR5" s="398"/>
      <c r="GS5" s="398"/>
      <c r="GT5" s="398"/>
      <c r="GU5" s="398"/>
      <c r="GV5" s="398"/>
      <c r="GW5" s="398"/>
      <c r="GX5" s="398"/>
      <c r="GY5" s="398"/>
      <c r="GZ5" s="398"/>
      <c r="HA5" s="398"/>
      <c r="HB5" s="398"/>
      <c r="HC5" s="398"/>
      <c r="HD5" s="398"/>
      <c r="HE5" s="398"/>
      <c r="HF5" s="398"/>
      <c r="HG5" s="398"/>
      <c r="HH5" s="398"/>
      <c r="HI5" s="398"/>
      <c r="HJ5" s="398"/>
      <c r="HK5" s="398"/>
      <c r="HL5" s="398"/>
      <c r="HM5" s="398"/>
      <c r="HN5" s="398"/>
      <c r="HO5" s="398"/>
    </row>
    <row r="6" spans="1:223" ht="28.5" customHeight="1">
      <c r="A6" s="334"/>
      <c r="B6" s="334" t="s">
        <v>615</v>
      </c>
      <c r="C6" s="334"/>
      <c r="D6" s="399">
        <f>D7</f>
        <v>5200</v>
      </c>
      <c r="E6" s="399">
        <f>E7</f>
        <v>2534</v>
      </c>
      <c r="F6" s="400"/>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c r="AV6" s="398"/>
      <c r="AW6" s="398"/>
      <c r="AX6" s="398"/>
      <c r="AY6" s="398"/>
      <c r="AZ6" s="398"/>
      <c r="BA6" s="398"/>
      <c r="BB6" s="398"/>
      <c r="BC6" s="398"/>
      <c r="BD6" s="398"/>
      <c r="BE6" s="398"/>
      <c r="BF6" s="398"/>
      <c r="BG6" s="398"/>
      <c r="BH6" s="398"/>
      <c r="BI6" s="398"/>
      <c r="BJ6" s="398"/>
      <c r="BK6" s="398"/>
      <c r="BL6" s="398"/>
      <c r="BM6" s="398"/>
      <c r="BN6" s="398"/>
      <c r="BO6" s="398"/>
      <c r="BP6" s="398"/>
      <c r="BQ6" s="398"/>
      <c r="BR6" s="398"/>
      <c r="BS6" s="398"/>
      <c r="BT6" s="398"/>
      <c r="BU6" s="398"/>
      <c r="BV6" s="398"/>
      <c r="BW6" s="398"/>
      <c r="BX6" s="398"/>
      <c r="BY6" s="398"/>
      <c r="BZ6" s="398"/>
      <c r="CA6" s="398"/>
      <c r="CB6" s="398"/>
      <c r="CC6" s="398"/>
      <c r="CD6" s="398"/>
      <c r="CE6" s="398"/>
      <c r="CF6" s="398"/>
      <c r="CG6" s="398"/>
      <c r="CH6" s="398"/>
      <c r="CI6" s="398"/>
      <c r="CJ6" s="398"/>
      <c r="CK6" s="398"/>
      <c r="CL6" s="398"/>
      <c r="CM6" s="398"/>
      <c r="CN6" s="398"/>
      <c r="CO6" s="398"/>
      <c r="CP6" s="398"/>
      <c r="CQ6" s="398"/>
      <c r="CR6" s="398"/>
      <c r="CS6" s="398"/>
      <c r="CT6" s="398"/>
      <c r="CU6" s="398"/>
      <c r="CV6" s="398"/>
      <c r="CW6" s="398"/>
      <c r="CX6" s="398"/>
      <c r="CY6" s="398"/>
      <c r="CZ6" s="398"/>
      <c r="DA6" s="398"/>
      <c r="DB6" s="398"/>
      <c r="DC6" s="398"/>
      <c r="DD6" s="398"/>
      <c r="DE6" s="398"/>
      <c r="DF6" s="398"/>
      <c r="DG6" s="398"/>
      <c r="DH6" s="398"/>
      <c r="DI6" s="398"/>
      <c r="DJ6" s="398"/>
      <c r="DK6" s="398"/>
      <c r="DL6" s="398"/>
      <c r="DM6" s="398"/>
      <c r="DN6" s="398"/>
      <c r="DO6" s="398"/>
      <c r="DP6" s="398"/>
      <c r="DQ6" s="398"/>
      <c r="DR6" s="398"/>
      <c r="DS6" s="398"/>
      <c r="DT6" s="398"/>
      <c r="DU6" s="398"/>
      <c r="DV6" s="398"/>
      <c r="DW6" s="398"/>
      <c r="DX6" s="398"/>
      <c r="DY6" s="398"/>
      <c r="DZ6" s="398"/>
      <c r="EA6" s="398"/>
      <c r="EB6" s="398"/>
      <c r="EC6" s="398"/>
      <c r="ED6" s="398"/>
      <c r="EE6" s="398"/>
      <c r="EF6" s="398"/>
      <c r="EG6" s="398"/>
      <c r="EH6" s="398"/>
      <c r="EI6" s="398"/>
      <c r="EJ6" s="398"/>
      <c r="EK6" s="398"/>
      <c r="EL6" s="398"/>
      <c r="EM6" s="398"/>
      <c r="EN6" s="398"/>
      <c r="EO6" s="398"/>
      <c r="EP6" s="398"/>
      <c r="EQ6" s="398"/>
      <c r="ER6" s="398"/>
      <c r="ES6" s="398"/>
      <c r="ET6" s="398"/>
      <c r="EU6" s="398"/>
      <c r="EV6" s="398"/>
      <c r="EW6" s="398"/>
      <c r="EX6" s="398"/>
      <c r="EY6" s="398"/>
      <c r="EZ6" s="398"/>
      <c r="FA6" s="398"/>
      <c r="FB6" s="398"/>
      <c r="FC6" s="398"/>
      <c r="FD6" s="398"/>
      <c r="FE6" s="398"/>
      <c r="FF6" s="398"/>
      <c r="FG6" s="398"/>
      <c r="FH6" s="398"/>
      <c r="FI6" s="398"/>
      <c r="FJ6" s="398"/>
      <c r="FK6" s="398"/>
      <c r="FL6" s="398"/>
      <c r="FM6" s="398"/>
      <c r="FN6" s="398"/>
      <c r="FO6" s="398"/>
      <c r="FP6" s="398"/>
      <c r="FQ6" s="398"/>
      <c r="FR6" s="398"/>
      <c r="FS6" s="398"/>
      <c r="FT6" s="398"/>
      <c r="FU6" s="398"/>
      <c r="FV6" s="398"/>
      <c r="FW6" s="398"/>
      <c r="FX6" s="398"/>
      <c r="FY6" s="398"/>
      <c r="FZ6" s="398"/>
      <c r="GA6" s="398"/>
      <c r="GB6" s="398"/>
      <c r="GC6" s="398"/>
      <c r="GD6" s="398"/>
      <c r="GE6" s="398"/>
      <c r="GF6" s="398"/>
      <c r="GG6" s="398"/>
      <c r="GH6" s="398"/>
      <c r="GI6" s="398"/>
      <c r="GJ6" s="398"/>
      <c r="GK6" s="398"/>
      <c r="GL6" s="398"/>
      <c r="GM6" s="398"/>
      <c r="GN6" s="398"/>
      <c r="GO6" s="398"/>
      <c r="GP6" s="398"/>
      <c r="GQ6" s="398"/>
      <c r="GR6" s="398"/>
      <c r="GS6" s="398"/>
      <c r="GT6" s="398"/>
      <c r="GU6" s="398"/>
      <c r="GV6" s="398"/>
      <c r="GW6" s="398"/>
      <c r="GX6" s="398"/>
      <c r="GY6" s="398"/>
      <c r="GZ6" s="398"/>
      <c r="HA6" s="398"/>
      <c r="HB6" s="398"/>
      <c r="HC6" s="398"/>
      <c r="HD6" s="398"/>
      <c r="HE6" s="398"/>
      <c r="HF6" s="398"/>
      <c r="HG6" s="398"/>
      <c r="HH6" s="398"/>
      <c r="HI6" s="398"/>
      <c r="HJ6" s="398"/>
      <c r="HK6" s="398"/>
      <c r="HL6" s="398"/>
      <c r="HM6" s="398"/>
      <c r="HN6" s="398"/>
      <c r="HO6" s="398"/>
    </row>
    <row r="7" spans="1:223" ht="28.5" customHeight="1">
      <c r="A7" s="401" t="s">
        <v>18</v>
      </c>
      <c r="B7" s="402" t="s">
        <v>667</v>
      </c>
      <c r="C7" s="403"/>
      <c r="D7" s="399">
        <f>D8</f>
        <v>5200</v>
      </c>
      <c r="E7" s="399">
        <f>E8</f>
        <v>2534</v>
      </c>
      <c r="F7" s="400"/>
    </row>
    <row r="8" spans="1:223" ht="28.5" customHeight="1">
      <c r="A8" s="401" t="s">
        <v>451</v>
      </c>
      <c r="B8" s="402" t="s">
        <v>668</v>
      </c>
      <c r="C8" s="403"/>
      <c r="D8" s="399">
        <f>SUM(D9:D12)</f>
        <v>5200</v>
      </c>
      <c r="E8" s="399">
        <f>SUM(E9:E12)</f>
        <v>2534</v>
      </c>
      <c r="F8" s="400"/>
    </row>
    <row r="9" spans="1:223" ht="28.5" customHeight="1">
      <c r="A9" s="304">
        <v>1</v>
      </c>
      <c r="B9" s="404" t="s">
        <v>669</v>
      </c>
      <c r="C9" s="405"/>
      <c r="D9" s="406">
        <v>900</v>
      </c>
      <c r="E9" s="407">
        <v>500</v>
      </c>
      <c r="F9" s="408"/>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c r="BR9" s="409"/>
      <c r="BS9" s="409"/>
      <c r="BT9" s="409"/>
      <c r="BU9" s="409"/>
      <c r="BV9" s="409"/>
      <c r="BW9" s="409"/>
      <c r="BX9" s="409"/>
      <c r="BY9" s="409"/>
      <c r="BZ9" s="409"/>
      <c r="CA9" s="409"/>
      <c r="CB9" s="409"/>
      <c r="CC9" s="409"/>
      <c r="CD9" s="409"/>
      <c r="CE9" s="409"/>
      <c r="CF9" s="409"/>
      <c r="CG9" s="409"/>
      <c r="CH9" s="409"/>
      <c r="CI9" s="409"/>
      <c r="CJ9" s="409"/>
      <c r="CK9" s="409"/>
      <c r="CL9" s="409"/>
      <c r="CM9" s="409"/>
      <c r="CN9" s="409"/>
      <c r="CO9" s="409"/>
      <c r="CP9" s="409"/>
      <c r="CQ9" s="409"/>
      <c r="CR9" s="409"/>
      <c r="CS9" s="409"/>
      <c r="CT9" s="409"/>
      <c r="CU9" s="409"/>
      <c r="CV9" s="409"/>
      <c r="CW9" s="409"/>
      <c r="CX9" s="409"/>
      <c r="CY9" s="409"/>
      <c r="CZ9" s="409"/>
      <c r="DA9" s="409"/>
      <c r="DB9" s="409"/>
      <c r="DC9" s="409"/>
      <c r="DD9" s="409"/>
      <c r="DE9" s="409"/>
      <c r="DF9" s="409"/>
      <c r="DG9" s="409"/>
      <c r="DH9" s="409"/>
      <c r="DI9" s="409"/>
      <c r="DJ9" s="409"/>
      <c r="DK9" s="409"/>
      <c r="DL9" s="409"/>
      <c r="DM9" s="409"/>
      <c r="DN9" s="409"/>
      <c r="DO9" s="409"/>
      <c r="DP9" s="409"/>
      <c r="DQ9" s="409"/>
      <c r="DR9" s="409"/>
      <c r="DS9" s="409"/>
      <c r="DT9" s="409"/>
      <c r="DU9" s="409"/>
      <c r="DV9" s="409"/>
      <c r="DW9" s="409"/>
      <c r="DX9" s="409"/>
      <c r="DY9" s="409"/>
      <c r="DZ9" s="409"/>
      <c r="EA9" s="409"/>
      <c r="EB9" s="409"/>
      <c r="EC9" s="409"/>
      <c r="ED9" s="409"/>
      <c r="EE9" s="409"/>
      <c r="EF9" s="409"/>
      <c r="EG9" s="409"/>
      <c r="EH9" s="409"/>
      <c r="EI9" s="409"/>
      <c r="EJ9" s="409"/>
      <c r="EK9" s="409"/>
      <c r="EL9" s="409"/>
      <c r="EM9" s="409"/>
      <c r="EN9" s="409"/>
      <c r="EO9" s="409"/>
      <c r="EP9" s="409"/>
      <c r="EQ9" s="409"/>
      <c r="ER9" s="409"/>
      <c r="ES9" s="409"/>
      <c r="ET9" s="409"/>
      <c r="EU9" s="409"/>
      <c r="EV9" s="409"/>
      <c r="EW9" s="409"/>
      <c r="EX9" s="409"/>
      <c r="EY9" s="409"/>
      <c r="EZ9" s="409"/>
      <c r="FA9" s="409"/>
      <c r="FB9" s="409"/>
      <c r="FC9" s="409"/>
      <c r="FD9" s="409"/>
      <c r="FE9" s="409"/>
      <c r="FF9" s="409"/>
      <c r="FG9" s="409"/>
      <c r="FH9" s="409"/>
      <c r="FI9" s="409"/>
      <c r="FJ9" s="409"/>
      <c r="FK9" s="409"/>
      <c r="FL9" s="409"/>
      <c r="FM9" s="409"/>
      <c r="FN9" s="409"/>
      <c r="FO9" s="409"/>
      <c r="FP9" s="409"/>
      <c r="FQ9" s="409"/>
      <c r="FR9" s="409"/>
      <c r="FS9" s="409"/>
      <c r="FT9" s="409"/>
      <c r="FU9" s="409"/>
      <c r="FV9" s="409"/>
      <c r="FW9" s="409"/>
      <c r="FX9" s="409"/>
      <c r="FY9" s="409"/>
      <c r="FZ9" s="409"/>
      <c r="GA9" s="409"/>
      <c r="GB9" s="409"/>
      <c r="GC9" s="409"/>
      <c r="GD9" s="409"/>
      <c r="GE9" s="409"/>
      <c r="GF9" s="409"/>
      <c r="GG9" s="409"/>
      <c r="GH9" s="409"/>
      <c r="GI9" s="409"/>
      <c r="GJ9" s="409"/>
      <c r="GK9" s="409"/>
      <c r="GL9" s="409"/>
      <c r="GM9" s="409"/>
      <c r="GN9" s="409"/>
      <c r="GO9" s="409"/>
      <c r="GP9" s="409"/>
      <c r="GQ9" s="409"/>
      <c r="GR9" s="409"/>
      <c r="GS9" s="409"/>
      <c r="GT9" s="409"/>
      <c r="GU9" s="409"/>
      <c r="GV9" s="409"/>
      <c r="GW9" s="409"/>
      <c r="GX9" s="409"/>
      <c r="GY9" s="409"/>
      <c r="GZ9" s="409"/>
      <c r="HA9" s="409"/>
      <c r="HB9" s="409"/>
      <c r="HC9" s="409"/>
      <c r="HD9" s="409"/>
      <c r="HE9" s="409"/>
      <c r="HF9" s="409"/>
      <c r="HG9" s="409"/>
      <c r="HH9" s="409"/>
      <c r="HI9" s="409"/>
      <c r="HJ9" s="409"/>
      <c r="HK9" s="409"/>
      <c r="HL9" s="409"/>
      <c r="HM9" s="409"/>
      <c r="HN9" s="409"/>
      <c r="HO9" s="409"/>
    </row>
    <row r="10" spans="1:223" ht="28.5" customHeight="1">
      <c r="A10" s="304">
        <v>2</v>
      </c>
      <c r="B10" s="404" t="s">
        <v>670</v>
      </c>
      <c r="C10" s="405"/>
      <c r="D10" s="410">
        <v>700</v>
      </c>
      <c r="E10" s="407">
        <v>400</v>
      </c>
      <c r="F10" s="408"/>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c r="BG10" s="409"/>
      <c r="BH10" s="409"/>
      <c r="BI10" s="409"/>
      <c r="BJ10" s="409"/>
      <c r="BK10" s="409"/>
      <c r="BL10" s="409"/>
      <c r="BM10" s="409"/>
      <c r="BN10" s="409"/>
      <c r="BO10" s="409"/>
      <c r="BP10" s="409"/>
      <c r="BQ10" s="409"/>
      <c r="BR10" s="409"/>
      <c r="BS10" s="409"/>
      <c r="BT10" s="409"/>
      <c r="BU10" s="409"/>
      <c r="BV10" s="409"/>
      <c r="BW10" s="409"/>
      <c r="BX10" s="409"/>
      <c r="BY10" s="409"/>
      <c r="BZ10" s="409"/>
      <c r="CA10" s="409"/>
      <c r="CB10" s="409"/>
      <c r="CC10" s="409"/>
      <c r="CD10" s="409"/>
      <c r="CE10" s="409"/>
      <c r="CF10" s="409"/>
      <c r="CG10" s="409"/>
      <c r="CH10" s="409"/>
      <c r="CI10" s="409"/>
      <c r="CJ10" s="409"/>
      <c r="CK10" s="409"/>
      <c r="CL10" s="409"/>
      <c r="CM10" s="409"/>
      <c r="CN10" s="409"/>
      <c r="CO10" s="409"/>
      <c r="CP10" s="409"/>
      <c r="CQ10" s="409"/>
      <c r="CR10" s="409"/>
      <c r="CS10" s="409"/>
      <c r="CT10" s="409"/>
      <c r="CU10" s="409"/>
      <c r="CV10" s="409"/>
      <c r="CW10" s="409"/>
      <c r="CX10" s="409"/>
      <c r="CY10" s="409"/>
      <c r="CZ10" s="409"/>
      <c r="DA10" s="409"/>
      <c r="DB10" s="409"/>
      <c r="DC10" s="409"/>
      <c r="DD10" s="409"/>
      <c r="DE10" s="409"/>
      <c r="DF10" s="409"/>
      <c r="DG10" s="409"/>
      <c r="DH10" s="409"/>
      <c r="DI10" s="409"/>
      <c r="DJ10" s="409"/>
      <c r="DK10" s="409"/>
      <c r="DL10" s="409"/>
      <c r="DM10" s="409"/>
      <c r="DN10" s="409"/>
      <c r="DO10" s="409"/>
      <c r="DP10" s="409"/>
      <c r="DQ10" s="409"/>
      <c r="DR10" s="409"/>
      <c r="DS10" s="409"/>
      <c r="DT10" s="409"/>
      <c r="DU10" s="409"/>
      <c r="DV10" s="409"/>
      <c r="DW10" s="409"/>
      <c r="DX10" s="409"/>
      <c r="DY10" s="409"/>
      <c r="DZ10" s="409"/>
      <c r="EA10" s="409"/>
      <c r="EB10" s="409"/>
      <c r="EC10" s="409"/>
      <c r="ED10" s="409"/>
      <c r="EE10" s="409"/>
      <c r="EF10" s="409"/>
      <c r="EG10" s="409"/>
      <c r="EH10" s="409"/>
      <c r="EI10" s="409"/>
      <c r="EJ10" s="409"/>
      <c r="EK10" s="409"/>
      <c r="EL10" s="409"/>
      <c r="EM10" s="409"/>
      <c r="EN10" s="409"/>
      <c r="EO10" s="409"/>
      <c r="EP10" s="409"/>
      <c r="EQ10" s="409"/>
      <c r="ER10" s="409"/>
      <c r="ES10" s="409"/>
      <c r="ET10" s="409"/>
      <c r="EU10" s="409"/>
      <c r="EV10" s="409"/>
      <c r="EW10" s="409"/>
      <c r="EX10" s="409"/>
      <c r="EY10" s="409"/>
      <c r="EZ10" s="409"/>
      <c r="FA10" s="409"/>
      <c r="FB10" s="409"/>
      <c r="FC10" s="409"/>
      <c r="FD10" s="409"/>
      <c r="FE10" s="409"/>
      <c r="FF10" s="409"/>
      <c r="FG10" s="409"/>
      <c r="FH10" s="409"/>
      <c r="FI10" s="409"/>
      <c r="FJ10" s="409"/>
      <c r="FK10" s="409"/>
      <c r="FL10" s="409"/>
      <c r="FM10" s="409"/>
      <c r="FN10" s="409"/>
      <c r="FO10" s="409"/>
      <c r="FP10" s="409"/>
      <c r="FQ10" s="409"/>
      <c r="FR10" s="409"/>
      <c r="FS10" s="409"/>
      <c r="FT10" s="409"/>
      <c r="FU10" s="409"/>
      <c r="FV10" s="409"/>
      <c r="FW10" s="409"/>
      <c r="FX10" s="409"/>
      <c r="FY10" s="409"/>
      <c r="FZ10" s="409"/>
      <c r="GA10" s="409"/>
      <c r="GB10" s="409"/>
      <c r="GC10" s="409"/>
      <c r="GD10" s="409"/>
      <c r="GE10" s="409"/>
      <c r="GF10" s="409"/>
      <c r="GG10" s="409"/>
      <c r="GH10" s="409"/>
      <c r="GI10" s="409"/>
      <c r="GJ10" s="409"/>
      <c r="GK10" s="409"/>
      <c r="GL10" s="409"/>
      <c r="GM10" s="409"/>
      <c r="GN10" s="409"/>
      <c r="GO10" s="409"/>
      <c r="GP10" s="409"/>
      <c r="GQ10" s="409"/>
      <c r="GR10" s="409"/>
      <c r="GS10" s="409"/>
      <c r="GT10" s="409"/>
      <c r="GU10" s="409"/>
      <c r="GV10" s="409"/>
      <c r="GW10" s="409"/>
      <c r="GX10" s="409"/>
      <c r="GY10" s="409"/>
      <c r="GZ10" s="409"/>
      <c r="HA10" s="409"/>
      <c r="HB10" s="409"/>
      <c r="HC10" s="409"/>
      <c r="HD10" s="409"/>
      <c r="HE10" s="409"/>
      <c r="HF10" s="409"/>
      <c r="HG10" s="409"/>
      <c r="HH10" s="409"/>
      <c r="HI10" s="409"/>
      <c r="HJ10" s="409"/>
      <c r="HK10" s="409"/>
      <c r="HL10" s="409"/>
      <c r="HM10" s="409"/>
      <c r="HN10" s="409"/>
      <c r="HO10" s="409"/>
    </row>
    <row r="11" spans="1:223" ht="28.5" customHeight="1">
      <c r="A11" s="304">
        <v>3</v>
      </c>
      <c r="B11" s="301" t="s">
        <v>671</v>
      </c>
      <c r="C11" s="301"/>
      <c r="D11" s="411">
        <v>1000</v>
      </c>
      <c r="E11" s="302">
        <v>600</v>
      </c>
      <c r="F11" s="301"/>
    </row>
    <row r="12" spans="1:223" ht="28.5" customHeight="1">
      <c r="A12" s="304">
        <v>4</v>
      </c>
      <c r="B12" s="301" t="s">
        <v>672</v>
      </c>
      <c r="C12" s="301"/>
      <c r="D12" s="411">
        <v>2600</v>
      </c>
      <c r="E12" s="302">
        <v>1034</v>
      </c>
      <c r="F12" s="408"/>
    </row>
  </sheetData>
  <mergeCells count="4">
    <mergeCell ref="A1:F1"/>
    <mergeCell ref="A2:F2"/>
    <mergeCell ref="A3:F3"/>
    <mergeCell ref="E4:F4"/>
  </mergeCells>
  <pageMargins left="0.7" right="0.31"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FF00"/>
    <pageSetUpPr fitToPage="1"/>
  </sheetPr>
  <dimension ref="A1:I46"/>
  <sheetViews>
    <sheetView tabSelected="1" view="pageBreakPreview" zoomScale="80" zoomScaleNormal="80" zoomScaleSheetLayoutView="80" workbookViewId="0">
      <selection activeCell="A3" sqref="A3:G3"/>
    </sheetView>
  </sheetViews>
  <sheetFormatPr defaultColWidth="9" defaultRowHeight="15.75"/>
  <cols>
    <col min="1" max="1" width="6" style="79" customWidth="1"/>
    <col min="2" max="2" width="48.33203125" style="79" customWidth="1"/>
    <col min="3" max="3" width="11.21875" style="79" customWidth="1"/>
    <col min="4" max="4" width="11.88671875" style="79" customWidth="1"/>
    <col min="5" max="5" width="12.109375" style="79" customWidth="1"/>
    <col min="6" max="6" width="10.77734375" style="79" customWidth="1"/>
    <col min="7" max="7" width="10.88671875" style="79" customWidth="1"/>
    <col min="8" max="8" width="10.109375" style="79" customWidth="1"/>
    <col min="9" max="16384" width="9" style="79"/>
  </cols>
  <sheetData>
    <row r="1" spans="1:9" ht="27.75" customHeight="1">
      <c r="A1" s="77"/>
      <c r="B1" s="420"/>
      <c r="C1" s="78"/>
      <c r="D1" s="78"/>
      <c r="E1" s="78"/>
      <c r="G1" s="81" t="s">
        <v>198</v>
      </c>
    </row>
    <row r="2" spans="1:9" ht="24.75" customHeight="1">
      <c r="A2" s="785" t="s">
        <v>834</v>
      </c>
      <c r="B2" s="785"/>
      <c r="C2" s="785"/>
      <c r="D2" s="785"/>
      <c r="E2" s="785"/>
      <c r="F2" s="785"/>
      <c r="G2" s="785"/>
    </row>
    <row r="3" spans="1:9" ht="21.75" customHeight="1">
      <c r="A3" s="788" t="s">
        <v>875</v>
      </c>
      <c r="B3" s="788"/>
      <c r="C3" s="788"/>
      <c r="D3" s="788"/>
      <c r="E3" s="788"/>
      <c r="F3" s="788"/>
      <c r="G3" s="788"/>
      <c r="I3" s="212"/>
    </row>
    <row r="4" spans="1:9" ht="27" customHeight="1">
      <c r="A4" s="82"/>
      <c r="B4" s="82"/>
      <c r="C4" s="83"/>
      <c r="D4" s="83"/>
      <c r="E4" s="786" t="s">
        <v>87</v>
      </c>
      <c r="F4" s="786"/>
      <c r="G4" s="786"/>
    </row>
    <row r="5" spans="1:9" s="296" customFormat="1" ht="21.75" customHeight="1">
      <c r="A5" s="787" t="s">
        <v>58</v>
      </c>
      <c r="B5" s="787" t="s">
        <v>5</v>
      </c>
      <c r="C5" s="784" t="s">
        <v>313</v>
      </c>
      <c r="D5" s="784" t="s">
        <v>707</v>
      </c>
      <c r="E5" s="784" t="s">
        <v>708</v>
      </c>
      <c r="F5" s="787" t="s">
        <v>197</v>
      </c>
      <c r="G5" s="787"/>
    </row>
    <row r="6" spans="1:9" s="296" customFormat="1" ht="21.75" customHeight="1">
      <c r="A6" s="787"/>
      <c r="B6" s="787"/>
      <c r="C6" s="784"/>
      <c r="D6" s="784"/>
      <c r="E6" s="784"/>
      <c r="F6" s="784" t="s">
        <v>88</v>
      </c>
      <c r="G6" s="784" t="s">
        <v>134</v>
      </c>
    </row>
    <row r="7" spans="1:9" s="296" customFormat="1" ht="26.25" customHeight="1">
      <c r="A7" s="787"/>
      <c r="B7" s="787"/>
      <c r="C7" s="784"/>
      <c r="D7" s="784"/>
      <c r="E7" s="784"/>
      <c r="F7" s="784"/>
      <c r="G7" s="784"/>
    </row>
    <row r="8" spans="1:9" s="210" customFormat="1" ht="17.25" customHeight="1">
      <c r="A8" s="165" t="s">
        <v>8</v>
      </c>
      <c r="B8" s="165" t="s">
        <v>9</v>
      </c>
      <c r="C8" s="165">
        <v>1</v>
      </c>
      <c r="D8" s="165">
        <f>C8+1</f>
        <v>2</v>
      </c>
      <c r="E8" s="165">
        <f>D8+1</f>
        <v>3</v>
      </c>
      <c r="F8" s="165">
        <f>E8+1</f>
        <v>4</v>
      </c>
      <c r="G8" s="165">
        <f>F8+1</f>
        <v>5</v>
      </c>
    </row>
    <row r="9" spans="1:9" s="83" customFormat="1" ht="41.25" customHeight="1">
      <c r="A9" s="577" t="s">
        <v>8</v>
      </c>
      <c r="B9" s="578" t="s">
        <v>97</v>
      </c>
      <c r="C9" s="579">
        <f>C10+C13+C19+C17+C18</f>
        <v>1101150</v>
      </c>
      <c r="D9" s="579">
        <f>D10+D13+D19+D17+D18</f>
        <v>1382877</v>
      </c>
      <c r="E9" s="579">
        <f>E10+E13+E19+E17+E18</f>
        <v>1136041</v>
      </c>
      <c r="F9" s="579">
        <f t="shared" ref="F9:F14" si="0">E9-D9</f>
        <v>-246836</v>
      </c>
      <c r="G9" s="580">
        <f t="shared" ref="G9:G14" si="1">E9/D9*100</f>
        <v>82.150545565513056</v>
      </c>
    </row>
    <row r="10" spans="1:9" s="83" customFormat="1" ht="30.75" customHeight="1">
      <c r="A10" s="577" t="s">
        <v>18</v>
      </c>
      <c r="B10" s="581" t="s">
        <v>314</v>
      </c>
      <c r="C10" s="579">
        <f>'Thu 2024'!D39</f>
        <v>51000</v>
      </c>
      <c r="D10" s="579">
        <f>'Thu 2024'!E39</f>
        <v>64935</v>
      </c>
      <c r="E10" s="579">
        <f>'Thu 2024'!F39</f>
        <v>57300</v>
      </c>
      <c r="F10" s="579">
        <f t="shared" si="0"/>
        <v>-7635</v>
      </c>
      <c r="G10" s="580">
        <f t="shared" si="1"/>
        <v>88.242088242088244</v>
      </c>
    </row>
    <row r="11" spans="1:9" s="83" customFormat="1" ht="30.75" hidden="1" customHeight="1">
      <c r="A11" s="582" t="s">
        <v>15</v>
      </c>
      <c r="B11" s="583" t="s">
        <v>54</v>
      </c>
      <c r="C11" s="584"/>
      <c r="D11" s="584"/>
      <c r="E11" s="584"/>
      <c r="F11" s="584"/>
      <c r="G11" s="585"/>
    </row>
    <row r="12" spans="1:9" s="83" customFormat="1" ht="30.75" hidden="1" customHeight="1">
      <c r="A12" s="582" t="s">
        <v>15</v>
      </c>
      <c r="B12" s="583" t="s">
        <v>130</v>
      </c>
      <c r="C12" s="584"/>
      <c r="D12" s="584"/>
      <c r="E12" s="584"/>
      <c r="F12" s="584"/>
      <c r="G12" s="585"/>
    </row>
    <row r="13" spans="1:9" s="83" customFormat="1" ht="30.75" customHeight="1">
      <c r="A13" s="577" t="s">
        <v>19</v>
      </c>
      <c r="B13" s="581" t="s">
        <v>44</v>
      </c>
      <c r="C13" s="579">
        <f>C14+C16+C15</f>
        <v>1050150</v>
      </c>
      <c r="D13" s="579">
        <f>D14+D16+D15</f>
        <v>1163420</v>
      </c>
      <c r="E13" s="579">
        <f>E14+E16+E15</f>
        <v>1078741</v>
      </c>
      <c r="F13" s="579">
        <f t="shared" si="0"/>
        <v>-84679</v>
      </c>
      <c r="G13" s="580">
        <f t="shared" si="1"/>
        <v>92.721545099791996</v>
      </c>
    </row>
    <row r="14" spans="1:9" s="83" customFormat="1" ht="30.75" customHeight="1">
      <c r="A14" s="586">
        <v>1</v>
      </c>
      <c r="B14" s="583" t="s">
        <v>75</v>
      </c>
      <c r="C14" s="584">
        <f>+'Thu 2024'!D41</f>
        <v>778482</v>
      </c>
      <c r="D14" s="584">
        <f>+'Thu 2024'!E41</f>
        <v>778482</v>
      </c>
      <c r="E14" s="584">
        <f>+'Thu 2024'!F41</f>
        <v>976761</v>
      </c>
      <c r="F14" s="584">
        <f t="shared" si="0"/>
        <v>198279</v>
      </c>
      <c r="G14" s="585">
        <f t="shared" si="1"/>
        <v>125.46995306249855</v>
      </c>
    </row>
    <row r="15" spans="1:9" s="83" customFormat="1" ht="30.75" hidden="1" customHeight="1">
      <c r="A15" s="586"/>
      <c r="B15" s="583" t="s">
        <v>204</v>
      </c>
      <c r="C15" s="584"/>
      <c r="D15" s="584"/>
      <c r="E15" s="584"/>
      <c r="F15" s="584"/>
      <c r="G15" s="585"/>
    </row>
    <row r="16" spans="1:9" s="83" customFormat="1" ht="30.75" customHeight="1">
      <c r="A16" s="586">
        <v>2</v>
      </c>
      <c r="B16" s="583" t="s">
        <v>85</v>
      </c>
      <c r="C16" s="584">
        <f>+'Thu 2024'!D42</f>
        <v>271668</v>
      </c>
      <c r="D16" s="584">
        <f>+'Thu 2024'!E42</f>
        <v>384938</v>
      </c>
      <c r="E16" s="584">
        <f>+'Thu 2024'!F42</f>
        <v>101980</v>
      </c>
      <c r="F16" s="584">
        <f>E16-D16</f>
        <v>-282958</v>
      </c>
      <c r="G16" s="585">
        <f>E16/D16*100</f>
        <v>26.492578025552167</v>
      </c>
    </row>
    <row r="17" spans="1:9" s="83" customFormat="1" ht="30.75" customHeight="1">
      <c r="A17" s="577" t="s">
        <v>20</v>
      </c>
      <c r="B17" s="581" t="s">
        <v>294</v>
      </c>
      <c r="C17" s="579"/>
      <c r="D17" s="579"/>
      <c r="E17" s="579"/>
      <c r="F17" s="579">
        <f t="shared" ref="F17:F28" si="2">E17-D17</f>
        <v>0</v>
      </c>
      <c r="G17" s="580"/>
    </row>
    <row r="18" spans="1:9" s="83" customFormat="1" ht="30.75" customHeight="1">
      <c r="A18" s="577" t="s">
        <v>21</v>
      </c>
      <c r="B18" s="581" t="s">
        <v>70</v>
      </c>
      <c r="C18" s="579"/>
      <c r="D18" s="579">
        <f>+'Thu 2024'!E44</f>
        <v>144366</v>
      </c>
      <c r="E18" s="579"/>
      <c r="F18" s="579">
        <f t="shared" si="2"/>
        <v>-144366</v>
      </c>
      <c r="G18" s="580">
        <f t="shared" ref="G18:G28" si="3">E18/D18*100</f>
        <v>0</v>
      </c>
    </row>
    <row r="19" spans="1:9" s="83" customFormat="1" ht="30.75" customHeight="1">
      <c r="A19" s="577" t="s">
        <v>835</v>
      </c>
      <c r="B19" s="581" t="s">
        <v>42</v>
      </c>
      <c r="C19" s="579"/>
      <c r="D19" s="579">
        <f>+'Thu 2024'!E45</f>
        <v>10156</v>
      </c>
      <c r="E19" s="579"/>
      <c r="F19" s="579"/>
      <c r="G19" s="580"/>
    </row>
    <row r="20" spans="1:9" s="83" customFormat="1" ht="41.25" customHeight="1">
      <c r="A20" s="577" t="s">
        <v>9</v>
      </c>
      <c r="B20" s="581" t="s">
        <v>96</v>
      </c>
      <c r="C20" s="579">
        <f>C21+C26+C30</f>
        <v>1101150</v>
      </c>
      <c r="D20" s="579">
        <f>D21+D26+D29+D30</f>
        <v>1225927</v>
      </c>
      <c r="E20" s="579">
        <f>E21+E26+E30</f>
        <v>1136041</v>
      </c>
      <c r="F20" s="579">
        <f t="shared" si="2"/>
        <v>-89886</v>
      </c>
      <c r="G20" s="580">
        <f t="shared" si="3"/>
        <v>92.667915789439334</v>
      </c>
    </row>
    <row r="21" spans="1:9" s="83" customFormat="1" ht="30.75" customHeight="1">
      <c r="A21" s="577" t="s">
        <v>18</v>
      </c>
      <c r="B21" s="581" t="s">
        <v>56</v>
      </c>
      <c r="C21" s="579">
        <f>SUM(C22:C25)</f>
        <v>829482</v>
      </c>
      <c r="D21" s="579">
        <f>SUM(D22:D25)</f>
        <v>897590</v>
      </c>
      <c r="E21" s="579">
        <f>SUM(E22:E25)</f>
        <v>1034061</v>
      </c>
      <c r="F21" s="579">
        <f t="shared" si="2"/>
        <v>136471</v>
      </c>
      <c r="G21" s="580">
        <f t="shared" si="3"/>
        <v>115.204157800332</v>
      </c>
    </row>
    <row r="22" spans="1:9" s="83" customFormat="1" ht="30.75" customHeight="1">
      <c r="A22" s="586">
        <v>1</v>
      </c>
      <c r="B22" s="583" t="s">
        <v>22</v>
      </c>
      <c r="C22" s="584">
        <f>+'Chi 2024'!D11</f>
        <v>36645</v>
      </c>
      <c r="D22" s="584">
        <f>+'Chi 2024'!K11</f>
        <v>39051</v>
      </c>
      <c r="E22" s="584">
        <f>+'Chi 2024'!L11</f>
        <v>41932</v>
      </c>
      <c r="F22" s="584">
        <f>E22-D22</f>
        <v>2881</v>
      </c>
      <c r="G22" s="585">
        <f>E22/D22*100</f>
        <v>107.37753194540474</v>
      </c>
      <c r="H22" s="297"/>
      <c r="I22" s="297"/>
    </row>
    <row r="23" spans="1:9" s="83" customFormat="1" ht="30.75" customHeight="1">
      <c r="A23" s="586">
        <f>A22+1</f>
        <v>2</v>
      </c>
      <c r="B23" s="583" t="s">
        <v>24</v>
      </c>
      <c r="C23" s="584">
        <f>+'Chi 2024'!D17</f>
        <v>776247</v>
      </c>
      <c r="D23" s="584">
        <f>+'Chi 2024'!K17</f>
        <v>858539</v>
      </c>
      <c r="E23" s="584">
        <f>+'Chi 2024'!L17</f>
        <v>971444</v>
      </c>
      <c r="F23" s="584">
        <f t="shared" si="2"/>
        <v>112905</v>
      </c>
      <c r="G23" s="585">
        <f t="shared" si="3"/>
        <v>113.15082949056479</v>
      </c>
      <c r="H23" s="297"/>
      <c r="I23" s="297"/>
    </row>
    <row r="24" spans="1:9" s="83" customFormat="1" ht="30.75" customHeight="1">
      <c r="A24" s="586">
        <v>3</v>
      </c>
      <c r="B24" s="583" t="s">
        <v>27</v>
      </c>
      <c r="C24" s="584">
        <f>+'Chi 2024'!D62</f>
        <v>16590</v>
      </c>
      <c r="D24" s="584">
        <f>+'Chi 2024'!K62</f>
        <v>0</v>
      </c>
      <c r="E24" s="584">
        <f>+'Chi 2024'!L62</f>
        <v>20685</v>
      </c>
      <c r="F24" s="584">
        <f t="shared" si="2"/>
        <v>20685</v>
      </c>
      <c r="G24" s="585"/>
      <c r="H24" s="297"/>
      <c r="I24" s="297"/>
    </row>
    <row r="25" spans="1:9" s="83" customFormat="1" ht="30.75" hidden="1" customHeight="1">
      <c r="A25" s="586">
        <v>4</v>
      </c>
      <c r="B25" s="583" t="s">
        <v>73</v>
      </c>
      <c r="C25" s="584">
        <v>0</v>
      </c>
      <c r="D25" s="584"/>
      <c r="E25" s="584"/>
      <c r="F25" s="584">
        <f>E25-D25</f>
        <v>0</v>
      </c>
      <c r="G25" s="585"/>
    </row>
    <row r="26" spans="1:9" s="83" customFormat="1" ht="30.75" customHeight="1">
      <c r="A26" s="577" t="s">
        <v>19</v>
      </c>
      <c r="B26" s="581" t="s">
        <v>98</v>
      </c>
      <c r="C26" s="579">
        <f>SUM(C27:C28)</f>
        <v>271668</v>
      </c>
      <c r="D26" s="579">
        <f>SUM(D27:D28)</f>
        <v>328337</v>
      </c>
      <c r="E26" s="579">
        <f>SUM(E27:E28)</f>
        <v>101980</v>
      </c>
      <c r="F26" s="579">
        <f t="shared" si="2"/>
        <v>-226357</v>
      </c>
      <c r="G26" s="580">
        <f t="shared" si="3"/>
        <v>31.059551619220493</v>
      </c>
    </row>
    <row r="27" spans="1:9" s="83" customFormat="1" ht="30.75" customHeight="1">
      <c r="A27" s="586">
        <v>1</v>
      </c>
      <c r="B27" s="583" t="s">
        <v>99</v>
      </c>
      <c r="C27" s="584">
        <f>+'Chi 2024'!D86</f>
        <v>269834</v>
      </c>
      <c r="D27" s="584">
        <f>+'Chi 2024'!K86</f>
        <v>326503</v>
      </c>
      <c r="E27" s="584">
        <f>+'Chi 2024'!L86</f>
        <v>101314</v>
      </c>
      <c r="F27" s="584">
        <f t="shared" si="2"/>
        <v>-225189</v>
      </c>
      <c r="G27" s="585">
        <f t="shared" si="3"/>
        <v>31.030036477459628</v>
      </c>
    </row>
    <row r="28" spans="1:9" s="83" customFormat="1" ht="30.75" customHeight="1">
      <c r="A28" s="586">
        <f>A27+1</f>
        <v>2</v>
      </c>
      <c r="B28" s="583" t="s">
        <v>185</v>
      </c>
      <c r="C28" s="584">
        <f>+'Chi 2024'!D148</f>
        <v>1834</v>
      </c>
      <c r="D28" s="584">
        <f>+'Chi 2024'!K148</f>
        <v>1834</v>
      </c>
      <c r="E28" s="584">
        <f>+'Chi 2024'!L148</f>
        <v>666</v>
      </c>
      <c r="F28" s="584">
        <f t="shared" si="2"/>
        <v>-1168</v>
      </c>
      <c r="G28" s="585">
        <f t="shared" si="3"/>
        <v>36.314067611777531</v>
      </c>
      <c r="H28" s="297"/>
    </row>
    <row r="29" spans="1:9" s="298" customFormat="1" ht="30.75" customHeight="1">
      <c r="A29" s="577" t="s">
        <v>20</v>
      </c>
      <c r="B29" s="581" t="s">
        <v>201</v>
      </c>
      <c r="C29" s="579"/>
      <c r="D29" s="579"/>
      <c r="E29" s="579"/>
      <c r="F29" s="584">
        <f>E29-D29</f>
        <v>0</v>
      </c>
      <c r="G29" s="585"/>
    </row>
    <row r="30" spans="1:9" s="83" customFormat="1" ht="33" customHeight="1">
      <c r="A30" s="577" t="s">
        <v>21</v>
      </c>
      <c r="B30" s="581" t="s">
        <v>64</v>
      </c>
      <c r="C30" s="579"/>
      <c r="D30" s="579"/>
      <c r="E30" s="579"/>
      <c r="F30" s="584">
        <f>E30-D30</f>
        <v>0</v>
      </c>
      <c r="G30" s="585"/>
    </row>
    <row r="31" spans="1:9" s="83" customFormat="1" ht="33" customHeight="1">
      <c r="A31" s="564"/>
      <c r="B31" s="298"/>
      <c r="C31" s="640"/>
      <c r="D31" s="640"/>
      <c r="E31" s="640"/>
      <c r="F31" s="297"/>
      <c r="G31" s="641"/>
    </row>
    <row r="32" spans="1:9" ht="29.25" customHeight="1">
      <c r="A32" s="83"/>
      <c r="B32" s="299"/>
      <c r="C32" s="297">
        <f>C9-C20</f>
        <v>0</v>
      </c>
      <c r="D32" s="297">
        <f t="shared" ref="D32:E32" si="4">D9-D20</f>
        <v>156950</v>
      </c>
      <c r="E32" s="297">
        <f t="shared" si="4"/>
        <v>0</v>
      </c>
      <c r="F32" s="83"/>
      <c r="G32" s="83"/>
    </row>
    <row r="33" spans="1:7" ht="11.25" customHeight="1">
      <c r="A33" s="83"/>
      <c r="B33" s="83"/>
      <c r="C33" s="83"/>
      <c r="D33" s="83"/>
      <c r="E33" s="83"/>
      <c r="F33" s="83"/>
      <c r="G33" s="83"/>
    </row>
    <row r="34" spans="1:7" ht="18.75">
      <c r="A34" s="83"/>
      <c r="B34" s="83"/>
      <c r="C34" s="83"/>
      <c r="D34" s="83"/>
      <c r="E34" s="83"/>
      <c r="F34" s="83"/>
      <c r="G34" s="83"/>
    </row>
    <row r="35" spans="1:7" ht="18.75">
      <c r="A35" s="83"/>
      <c r="B35" s="83"/>
      <c r="C35" s="83"/>
      <c r="D35" s="83"/>
      <c r="E35" s="83"/>
      <c r="F35" s="83"/>
      <c r="G35" s="83"/>
    </row>
    <row r="36" spans="1:7" ht="18.75">
      <c r="A36" s="83"/>
      <c r="B36" s="83"/>
      <c r="C36" s="83"/>
      <c r="D36" s="83"/>
      <c r="E36" s="83"/>
      <c r="F36" s="83"/>
      <c r="G36" s="83"/>
    </row>
    <row r="37" spans="1:7" ht="18.75">
      <c r="A37" s="83"/>
      <c r="B37" s="83"/>
      <c r="C37" s="83"/>
      <c r="D37" s="83"/>
      <c r="E37" s="83"/>
      <c r="F37" s="83"/>
      <c r="G37" s="83"/>
    </row>
    <row r="38" spans="1:7" ht="18.75">
      <c r="A38" s="83"/>
      <c r="B38" s="83"/>
      <c r="C38" s="83"/>
      <c r="D38" s="83"/>
      <c r="E38" s="83"/>
      <c r="F38" s="83"/>
      <c r="G38" s="83"/>
    </row>
    <row r="39" spans="1:7" ht="18.75">
      <c r="A39" s="83"/>
      <c r="B39" s="83"/>
      <c r="C39" s="83"/>
      <c r="D39" s="83"/>
      <c r="E39" s="83"/>
      <c r="F39" s="83"/>
      <c r="G39" s="83"/>
    </row>
    <row r="40" spans="1:7" ht="18.75">
      <c r="A40" s="83"/>
      <c r="B40" s="83"/>
      <c r="C40" s="83"/>
      <c r="D40" s="83"/>
      <c r="E40" s="83"/>
      <c r="F40" s="83"/>
      <c r="G40" s="83"/>
    </row>
    <row r="41" spans="1:7" ht="18.75">
      <c r="A41" s="83"/>
      <c r="B41" s="83"/>
      <c r="C41" s="83"/>
      <c r="D41" s="83"/>
      <c r="E41" s="83"/>
      <c r="F41" s="83"/>
      <c r="G41" s="83"/>
    </row>
    <row r="42" spans="1:7" ht="22.5" customHeight="1">
      <c r="A42" s="83"/>
      <c r="B42" s="83"/>
      <c r="C42" s="83"/>
      <c r="D42" s="83"/>
      <c r="E42" s="83"/>
      <c r="F42" s="83"/>
      <c r="G42" s="83"/>
    </row>
    <row r="43" spans="1:7" ht="18.75">
      <c r="A43" s="83"/>
      <c r="B43" s="83"/>
      <c r="C43" s="83"/>
      <c r="D43" s="83"/>
      <c r="E43" s="83"/>
      <c r="F43" s="83"/>
      <c r="G43" s="83"/>
    </row>
    <row r="44" spans="1:7" ht="18.75">
      <c r="A44" s="83"/>
      <c r="B44" s="83"/>
      <c r="C44" s="83"/>
      <c r="D44" s="83"/>
      <c r="E44" s="83"/>
      <c r="F44" s="83"/>
      <c r="G44" s="83"/>
    </row>
    <row r="45" spans="1:7" ht="18.75">
      <c r="A45" s="83"/>
      <c r="B45" s="83"/>
      <c r="C45" s="83"/>
      <c r="D45" s="83"/>
      <c r="E45" s="83"/>
      <c r="F45" s="83"/>
      <c r="G45" s="83"/>
    </row>
    <row r="46" spans="1:7" ht="18.75">
      <c r="A46" s="83"/>
      <c r="B46" s="83"/>
      <c r="C46" s="83"/>
      <c r="D46" s="83"/>
      <c r="E46" s="83"/>
      <c r="F46" s="83"/>
      <c r="G46" s="83"/>
    </row>
  </sheetData>
  <mergeCells count="11">
    <mergeCell ref="F6:F7"/>
    <mergeCell ref="G6:G7"/>
    <mergeCell ref="A2:G2"/>
    <mergeCell ref="E4:G4"/>
    <mergeCell ref="F5:G5"/>
    <mergeCell ref="B5:B7"/>
    <mergeCell ref="A3:G3"/>
    <mergeCell ref="A5:A7"/>
    <mergeCell ref="C5:C7"/>
    <mergeCell ref="D5:D7"/>
    <mergeCell ref="E5:E7"/>
  </mergeCells>
  <phoneticPr fontId="15" type="noConversion"/>
  <printOptions horizontalCentered="1"/>
  <pageMargins left="0.56000000000000005" right="0.25" top="0.69" bottom="0.17" header="0.17" footer="0.2"/>
  <pageSetup paperSize="9" scale="71" fitToHeight="0" orientation="portrait" r:id="rId1"/>
  <headerFooter alignWithMargins="0">
    <oddHeader xml:space="preserve">&amp;C                                                                                                                                  </oddHeader>
    <oddFooter xml:space="preserve">&amp;C&amp;".VnTime,Italic"&amp;8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FF00"/>
    <pageSetUpPr fitToPage="1"/>
  </sheetPr>
  <dimension ref="A1:J38"/>
  <sheetViews>
    <sheetView view="pageBreakPreview" zoomScale="90" zoomScaleNormal="100" zoomScaleSheetLayoutView="90" workbookViewId="0">
      <selection activeCell="E10" sqref="E10"/>
    </sheetView>
  </sheetViews>
  <sheetFormatPr defaultColWidth="9" defaultRowHeight="15.75"/>
  <cols>
    <col min="1" max="1" width="5.44140625" style="41" customWidth="1"/>
    <col min="2" max="2" width="41.44140625" style="41" customWidth="1"/>
    <col min="3" max="4" width="12.33203125" style="79" customWidth="1"/>
    <col min="5" max="6" width="9.77734375" style="41" customWidth="1"/>
    <col min="7" max="8" width="9.88671875" style="41" customWidth="1"/>
    <col min="9" max="9" width="6" style="41" customWidth="1"/>
    <col min="10" max="16384" width="9" style="41"/>
  </cols>
  <sheetData>
    <row r="1" spans="1:10" ht="26.25" customHeight="1">
      <c r="A1" s="54"/>
      <c r="B1" s="55"/>
      <c r="C1" s="78"/>
      <c r="D1" s="78"/>
      <c r="E1" s="56"/>
      <c r="F1" s="56"/>
      <c r="H1" s="57" t="s">
        <v>188</v>
      </c>
    </row>
    <row r="2" spans="1:10" s="22" customFormat="1" ht="20.25" customHeight="1">
      <c r="A2" s="791" t="s">
        <v>837</v>
      </c>
      <c r="B2" s="791"/>
      <c r="C2" s="791"/>
      <c r="D2" s="791"/>
      <c r="E2" s="791"/>
      <c r="F2" s="791"/>
      <c r="G2" s="791"/>
      <c r="H2" s="791"/>
    </row>
    <row r="3" spans="1:10" s="22" customFormat="1" ht="20.25" customHeight="1">
      <c r="A3" s="794" t="str">
        <f>'PL15'!A3</f>
        <v xml:space="preserve"> Biểu kèm theo Báo cáo số 99/BC-BKTXH ngày 12/12/2024 của Ban KT-XH,HĐND huyện Tuần Giáo</v>
      </c>
      <c r="B3" s="794"/>
      <c r="C3" s="794"/>
      <c r="D3" s="794"/>
      <c r="E3" s="794"/>
      <c r="F3" s="794"/>
      <c r="G3" s="794"/>
      <c r="H3" s="794"/>
    </row>
    <row r="4" spans="1:10" ht="27" customHeight="1">
      <c r="A4" s="70"/>
      <c r="B4" s="70"/>
      <c r="G4" s="71"/>
      <c r="H4" s="55" t="s">
        <v>87</v>
      </c>
    </row>
    <row r="5" spans="1:10" ht="21.75" customHeight="1">
      <c r="A5" s="795" t="s">
        <v>58</v>
      </c>
      <c r="B5" s="792" t="s">
        <v>5</v>
      </c>
      <c r="C5" s="796" t="s">
        <v>707</v>
      </c>
      <c r="D5" s="796"/>
      <c r="E5" s="792" t="s">
        <v>708</v>
      </c>
      <c r="F5" s="793"/>
      <c r="G5" s="792" t="s">
        <v>91</v>
      </c>
      <c r="H5" s="792"/>
    </row>
    <row r="6" spans="1:10" ht="21.75" customHeight="1">
      <c r="A6" s="795"/>
      <c r="B6" s="792"/>
      <c r="C6" s="789" t="s">
        <v>690</v>
      </c>
      <c r="D6" s="789" t="s">
        <v>691</v>
      </c>
      <c r="E6" s="789" t="s">
        <v>690</v>
      </c>
      <c r="F6" s="789" t="s">
        <v>691</v>
      </c>
      <c r="G6" s="789" t="s">
        <v>690</v>
      </c>
      <c r="H6" s="789" t="s">
        <v>691</v>
      </c>
    </row>
    <row r="7" spans="1:10" ht="21.75" customHeight="1">
      <c r="A7" s="795"/>
      <c r="B7" s="792"/>
      <c r="C7" s="790"/>
      <c r="D7" s="790" t="s">
        <v>7</v>
      </c>
      <c r="E7" s="790" t="s">
        <v>4</v>
      </c>
      <c r="F7" s="790" t="s">
        <v>7</v>
      </c>
      <c r="G7" s="790" t="s">
        <v>4</v>
      </c>
      <c r="H7" s="790" t="s">
        <v>7</v>
      </c>
    </row>
    <row r="8" spans="1:10" ht="20.25" customHeight="1">
      <c r="A8" s="40" t="s">
        <v>8</v>
      </c>
      <c r="B8" s="40" t="s">
        <v>9</v>
      </c>
      <c r="C8" s="34">
        <v>1</v>
      </c>
      <c r="D8" s="34">
        <f>C8+1</f>
        <v>2</v>
      </c>
      <c r="E8" s="40">
        <f>D8+1</f>
        <v>3</v>
      </c>
      <c r="F8" s="40">
        <f>E8+1</f>
        <v>4</v>
      </c>
      <c r="G8" s="40" t="s">
        <v>61</v>
      </c>
      <c r="H8" s="40" t="s">
        <v>62</v>
      </c>
    </row>
    <row r="9" spans="1:10" ht="20.25" customHeight="1">
      <c r="A9" s="50"/>
      <c r="B9" s="66" t="s">
        <v>100</v>
      </c>
      <c r="C9" s="197">
        <f>C10+C39</f>
        <v>70000</v>
      </c>
      <c r="D9" s="197">
        <f>D10+D39</f>
        <v>64935</v>
      </c>
      <c r="E9" s="63">
        <f>E10+E39</f>
        <v>62000</v>
      </c>
      <c r="F9" s="63">
        <f>F10+F39</f>
        <v>57300</v>
      </c>
      <c r="G9" s="68">
        <f t="shared" ref="G9:G14" si="0">E9/C9*100</f>
        <v>88.571428571428569</v>
      </c>
      <c r="H9" s="68">
        <f t="shared" ref="H9:H14" si="1">F9/D9*100</f>
        <v>88.242088242088244</v>
      </c>
      <c r="I9" s="72"/>
      <c r="J9" s="72"/>
    </row>
    <row r="10" spans="1:10" ht="20.25" customHeight="1">
      <c r="A10" s="50" t="s">
        <v>18</v>
      </c>
      <c r="B10" s="66" t="s">
        <v>10</v>
      </c>
      <c r="C10" s="197">
        <f>C15+C26+C25+C27+C34+C32+C31+C20+C36+C35+C11</f>
        <v>70000</v>
      </c>
      <c r="D10" s="197">
        <f>D15+D26+D25+D27+D34+D32+D31+D20+D36+D35+D11</f>
        <v>64935</v>
      </c>
      <c r="E10" s="63">
        <f>E15+E26+E25+E27+E34+E32+E31+E20+E36+E35+E11</f>
        <v>62000</v>
      </c>
      <c r="F10" s="63">
        <f>F15+F26+F25+F27+F34+F32+F31+F20+F36+F35+F11</f>
        <v>57300</v>
      </c>
      <c r="G10" s="68">
        <f t="shared" si="0"/>
        <v>88.571428571428569</v>
      </c>
      <c r="H10" s="68">
        <f t="shared" si="1"/>
        <v>88.242088242088244</v>
      </c>
    </row>
    <row r="11" spans="1:10" ht="20.25" customHeight="1">
      <c r="A11" s="40">
        <v>1</v>
      </c>
      <c r="B11" s="64" t="s">
        <v>255</v>
      </c>
      <c r="C11" s="300">
        <f>SUM(C12:C14)</f>
        <v>1335</v>
      </c>
      <c r="D11" s="300">
        <f>SUM(D12:D14)</f>
        <v>1335</v>
      </c>
      <c r="E11" s="159">
        <f>SUM(E12:E14)</f>
        <v>1050</v>
      </c>
      <c r="F11" s="159">
        <f>SUM(F12:F14)</f>
        <v>1050</v>
      </c>
      <c r="G11" s="69">
        <f t="shared" si="0"/>
        <v>78.651685393258433</v>
      </c>
      <c r="H11" s="69">
        <f t="shared" si="1"/>
        <v>78.651685393258433</v>
      </c>
    </row>
    <row r="12" spans="1:10" s="71" customFormat="1" ht="20.25" customHeight="1">
      <c r="A12" s="40"/>
      <c r="B12" s="64" t="s">
        <v>256</v>
      </c>
      <c r="C12" s="161">
        <f>+'Thu 2024'!E11</f>
        <v>100</v>
      </c>
      <c r="D12" s="161">
        <f>C12</f>
        <v>100</v>
      </c>
      <c r="E12" s="160">
        <f>'Thu 2024'!F11</f>
        <v>0</v>
      </c>
      <c r="F12" s="160">
        <f>E12</f>
        <v>0</v>
      </c>
      <c r="G12" s="69">
        <f t="shared" si="0"/>
        <v>0</v>
      </c>
      <c r="H12" s="69">
        <f t="shared" si="1"/>
        <v>0</v>
      </c>
    </row>
    <row r="13" spans="1:10" s="71" customFormat="1" ht="20.25" customHeight="1">
      <c r="A13" s="40"/>
      <c r="B13" s="64" t="s">
        <v>183</v>
      </c>
      <c r="C13" s="161">
        <f>+'Thu 2024'!E12</f>
        <v>45</v>
      </c>
      <c r="D13" s="161">
        <f t="shared" ref="D13:D14" si="2">C13</f>
        <v>45</v>
      </c>
      <c r="E13" s="160">
        <f>'Thu 2024'!F12</f>
        <v>0</v>
      </c>
      <c r="F13" s="160">
        <f t="shared" ref="F13:F14" si="3">E13</f>
        <v>0</v>
      </c>
      <c r="G13" s="69">
        <f t="shared" si="0"/>
        <v>0</v>
      </c>
      <c r="H13" s="69">
        <f t="shared" si="1"/>
        <v>0</v>
      </c>
    </row>
    <row r="14" spans="1:10" s="71" customFormat="1" ht="20.25" customHeight="1">
      <c r="A14" s="40"/>
      <c r="B14" s="64" t="s">
        <v>184</v>
      </c>
      <c r="C14" s="161">
        <f>+'Thu 2024'!E13</f>
        <v>1190</v>
      </c>
      <c r="D14" s="161">
        <f t="shared" si="2"/>
        <v>1190</v>
      </c>
      <c r="E14" s="160">
        <f>'Thu 2024'!F13</f>
        <v>1050</v>
      </c>
      <c r="F14" s="160">
        <f t="shared" si="3"/>
        <v>1050</v>
      </c>
      <c r="G14" s="69">
        <f t="shared" si="0"/>
        <v>88.235294117647058</v>
      </c>
      <c r="H14" s="69">
        <f t="shared" si="1"/>
        <v>88.235294117647058</v>
      </c>
    </row>
    <row r="15" spans="1:10" s="71" customFormat="1" ht="20.25" customHeight="1">
      <c r="A15" s="40">
        <v>2</v>
      </c>
      <c r="B15" s="64" t="s">
        <v>3</v>
      </c>
      <c r="C15" s="300">
        <f>SUM(C16:C19)</f>
        <v>30175</v>
      </c>
      <c r="D15" s="300">
        <f>SUM(D16:D19)</f>
        <v>30175</v>
      </c>
      <c r="E15" s="159">
        <f>SUM(E16:E19)</f>
        <v>21400</v>
      </c>
      <c r="F15" s="159">
        <f>SUM(F16:F19)</f>
        <v>21400</v>
      </c>
      <c r="G15" s="69">
        <f t="shared" ref="G15:H17" si="4">E15/C15*100</f>
        <v>70.919635459817727</v>
      </c>
      <c r="H15" s="69">
        <f t="shared" si="4"/>
        <v>70.919635459817727</v>
      </c>
    </row>
    <row r="16" spans="1:10" ht="20.25" customHeight="1">
      <c r="A16" s="65"/>
      <c r="B16" s="64" t="s">
        <v>182</v>
      </c>
      <c r="C16" s="161">
        <f>+'Thu 2024'!E15</f>
        <v>11400</v>
      </c>
      <c r="D16" s="161">
        <f>C16</f>
        <v>11400</v>
      </c>
      <c r="E16" s="160">
        <f>'Thu 2024'!F15</f>
        <v>7480</v>
      </c>
      <c r="F16" s="160">
        <f>E16</f>
        <v>7480</v>
      </c>
      <c r="G16" s="69">
        <f t="shared" si="4"/>
        <v>65.614035087719301</v>
      </c>
      <c r="H16" s="69">
        <f t="shared" si="4"/>
        <v>65.614035087719301</v>
      </c>
    </row>
    <row r="17" spans="1:8" ht="20.25" customHeight="1">
      <c r="A17" s="65"/>
      <c r="B17" s="64" t="s">
        <v>183</v>
      </c>
      <c r="C17" s="161">
        <f>+'Thu 2024'!E16</f>
        <v>2155</v>
      </c>
      <c r="D17" s="161">
        <f t="shared" ref="D17:D19" si="5">C17</f>
        <v>2155</v>
      </c>
      <c r="E17" s="160">
        <f>'Thu 2024'!F16</f>
        <v>1400</v>
      </c>
      <c r="F17" s="160">
        <f t="shared" ref="F17:F19" si="6">E17</f>
        <v>1400</v>
      </c>
      <c r="G17" s="69">
        <f t="shared" si="4"/>
        <v>64.965197215777266</v>
      </c>
      <c r="H17" s="69">
        <f t="shared" si="4"/>
        <v>64.965197215777266</v>
      </c>
    </row>
    <row r="18" spans="1:8" ht="20.25" customHeight="1">
      <c r="A18" s="65"/>
      <c r="B18" s="64" t="s">
        <v>315</v>
      </c>
      <c r="C18" s="161">
        <f>+'Thu 2024'!E17</f>
        <v>10</v>
      </c>
      <c r="D18" s="161">
        <f t="shared" si="5"/>
        <v>10</v>
      </c>
      <c r="E18" s="160">
        <f>'Thu 2024'!F17</f>
        <v>20</v>
      </c>
      <c r="F18" s="160">
        <f t="shared" si="6"/>
        <v>20</v>
      </c>
      <c r="G18" s="69">
        <f t="shared" ref="G18" si="7">E18/C18*100</f>
        <v>200</v>
      </c>
      <c r="H18" s="69">
        <f t="shared" ref="H18" si="8">F18/D18*100</f>
        <v>200</v>
      </c>
    </row>
    <row r="19" spans="1:8" ht="20.25" customHeight="1">
      <c r="A19" s="65"/>
      <c r="B19" s="64" t="s">
        <v>184</v>
      </c>
      <c r="C19" s="161">
        <f>+'Thu 2024'!E18</f>
        <v>16610</v>
      </c>
      <c r="D19" s="161">
        <f t="shared" si="5"/>
        <v>16610</v>
      </c>
      <c r="E19" s="160">
        <f>'Thu 2024'!F18</f>
        <v>12500</v>
      </c>
      <c r="F19" s="160">
        <f t="shared" si="6"/>
        <v>12500</v>
      </c>
      <c r="G19" s="69">
        <f t="shared" ref="G19:H21" si="9">E19/C19*100</f>
        <v>75.255869957856717</v>
      </c>
      <c r="H19" s="69">
        <f t="shared" si="9"/>
        <v>75.255869957856717</v>
      </c>
    </row>
    <row r="20" spans="1:8" ht="20.25" customHeight="1">
      <c r="A20" s="40">
        <v>3</v>
      </c>
      <c r="B20" s="64" t="s">
        <v>257</v>
      </c>
      <c r="C20" s="300">
        <f>+C21+C24</f>
        <v>3000</v>
      </c>
      <c r="D20" s="300">
        <f>+D21+D24</f>
        <v>1005</v>
      </c>
      <c r="E20" s="159">
        <f>+E21+E24</f>
        <v>3000</v>
      </c>
      <c r="F20" s="159">
        <f>+F21+F24</f>
        <v>1180</v>
      </c>
      <c r="G20" s="69">
        <f t="shared" si="9"/>
        <v>100</v>
      </c>
      <c r="H20" s="69">
        <f t="shared" si="9"/>
        <v>117.41293532338308</v>
      </c>
    </row>
    <row r="21" spans="1:8" ht="20.25" customHeight="1">
      <c r="A21" s="40"/>
      <c r="B21" s="73" t="s">
        <v>258</v>
      </c>
      <c r="C21" s="161">
        <f>C22+C23</f>
        <v>2850</v>
      </c>
      <c r="D21" s="161">
        <f>D22+D23</f>
        <v>855</v>
      </c>
      <c r="E21" s="160">
        <f>E22+E23</f>
        <v>2600</v>
      </c>
      <c r="F21" s="160">
        <f>F22+F23</f>
        <v>780</v>
      </c>
      <c r="G21" s="69">
        <f t="shared" si="9"/>
        <v>91.228070175438589</v>
      </c>
      <c r="H21" s="69">
        <f t="shared" si="9"/>
        <v>91.228070175438589</v>
      </c>
    </row>
    <row r="22" spans="1:8" s="71" customFormat="1" ht="20.25" customHeight="1">
      <c r="A22" s="40"/>
      <c r="B22" s="73" t="s">
        <v>259</v>
      </c>
      <c r="C22" s="161">
        <f>+'Thu 2024'!E21</f>
        <v>1995</v>
      </c>
      <c r="D22" s="161"/>
      <c r="E22" s="160">
        <f>'Thu 2024'!F21</f>
        <v>1820</v>
      </c>
      <c r="F22" s="160"/>
      <c r="G22" s="69">
        <f t="shared" ref="G22:G23" si="10">E22/C22*100</f>
        <v>91.228070175438589</v>
      </c>
      <c r="H22" s="69"/>
    </row>
    <row r="23" spans="1:8" s="71" customFormat="1" ht="20.25" customHeight="1">
      <c r="A23" s="40"/>
      <c r="B23" s="73" t="s">
        <v>260</v>
      </c>
      <c r="C23" s="161">
        <f>+'Thu 2024'!E22</f>
        <v>855</v>
      </c>
      <c r="D23" s="161">
        <f>+C23</f>
        <v>855</v>
      </c>
      <c r="E23" s="160">
        <f>'Thu 2024'!F22</f>
        <v>780</v>
      </c>
      <c r="F23" s="160">
        <f>E23</f>
        <v>780</v>
      </c>
      <c r="G23" s="69">
        <f t="shared" si="10"/>
        <v>91.228070175438589</v>
      </c>
      <c r="H23" s="69">
        <f t="shared" ref="H23" si="11">F23/D23*100</f>
        <v>91.228070175438589</v>
      </c>
    </row>
    <row r="24" spans="1:8" s="71" customFormat="1" ht="20.25" customHeight="1">
      <c r="A24" s="40"/>
      <c r="B24" s="73" t="s">
        <v>261</v>
      </c>
      <c r="C24" s="161">
        <f>+'Thu 2024'!E23</f>
        <v>150</v>
      </c>
      <c r="D24" s="161">
        <f>+C24</f>
        <v>150</v>
      </c>
      <c r="E24" s="160">
        <f>'Thu 2024'!F23</f>
        <v>400</v>
      </c>
      <c r="F24" s="160">
        <f>E24</f>
        <v>400</v>
      </c>
      <c r="G24" s="69">
        <f t="shared" ref="G24:H27" si="12">E24/C24*100</f>
        <v>266.66666666666663</v>
      </c>
      <c r="H24" s="69">
        <f t="shared" si="12"/>
        <v>266.66666666666663</v>
      </c>
    </row>
    <row r="25" spans="1:8" ht="20.25" customHeight="1">
      <c r="A25" s="40">
        <v>4</v>
      </c>
      <c r="B25" s="64" t="s">
        <v>11</v>
      </c>
      <c r="C25" s="300">
        <f>+'Thu 2024'!E24</f>
        <v>8000</v>
      </c>
      <c r="D25" s="300">
        <f>+C25</f>
        <v>8000</v>
      </c>
      <c r="E25" s="159">
        <f>'Thu 2024'!F24</f>
        <v>7000</v>
      </c>
      <c r="F25" s="159">
        <f>+E25</f>
        <v>7000</v>
      </c>
      <c r="G25" s="69">
        <f t="shared" si="12"/>
        <v>87.5</v>
      </c>
      <c r="H25" s="69">
        <f t="shared" si="12"/>
        <v>87.5</v>
      </c>
    </row>
    <row r="26" spans="1:8" ht="20.25" customHeight="1">
      <c r="A26" s="40">
        <v>5</v>
      </c>
      <c r="B26" s="64" t="s">
        <v>13</v>
      </c>
      <c r="C26" s="300">
        <f>+'Thu 2024'!E25</f>
        <v>2500</v>
      </c>
      <c r="D26" s="300">
        <f t="shared" ref="D26" si="13">+C26</f>
        <v>2500</v>
      </c>
      <c r="E26" s="159">
        <f>'Thu 2024'!F25</f>
        <v>2460</v>
      </c>
      <c r="F26" s="159">
        <f t="shared" ref="F26" si="14">+E26</f>
        <v>2460</v>
      </c>
      <c r="G26" s="69">
        <f t="shared" si="12"/>
        <v>98.4</v>
      </c>
      <c r="H26" s="69">
        <f t="shared" si="12"/>
        <v>98.4</v>
      </c>
    </row>
    <row r="27" spans="1:8" s="71" customFormat="1" ht="20.25" customHeight="1">
      <c r="A27" s="40">
        <v>6</v>
      </c>
      <c r="B27" s="64" t="s">
        <v>14</v>
      </c>
      <c r="C27" s="300">
        <f>+'Thu 2024'!E26</f>
        <v>1600</v>
      </c>
      <c r="D27" s="300">
        <f>C27-C28</f>
        <v>1500</v>
      </c>
      <c r="E27" s="159">
        <f>'Thu 2024'!F26</f>
        <v>1600</v>
      </c>
      <c r="F27" s="159">
        <f>E27-E28</f>
        <v>1500</v>
      </c>
      <c r="G27" s="69">
        <f t="shared" si="12"/>
        <v>100</v>
      </c>
      <c r="H27" s="69">
        <f t="shared" si="12"/>
        <v>100</v>
      </c>
    </row>
    <row r="28" spans="1:8" s="71" customFormat="1" ht="20.25" customHeight="1">
      <c r="A28" s="40"/>
      <c r="B28" s="73" t="s">
        <v>336</v>
      </c>
      <c r="C28" s="161">
        <f>+'Thu 2024'!E27</f>
        <v>100</v>
      </c>
      <c r="D28" s="161"/>
      <c r="E28" s="160">
        <f>'Thu 2024'!F27</f>
        <v>100</v>
      </c>
      <c r="F28" s="160"/>
      <c r="G28" s="69">
        <f t="shared" ref="G28:G30" si="15">E28/C28*100</f>
        <v>100</v>
      </c>
      <c r="H28" s="69" t="e">
        <f t="shared" ref="H28:H30" si="16">F28/D28*100</f>
        <v>#DIV/0!</v>
      </c>
    </row>
    <row r="29" spans="1:8" s="71" customFormat="1" ht="20.25" customHeight="1">
      <c r="A29" s="40"/>
      <c r="B29" s="73" t="s">
        <v>335</v>
      </c>
      <c r="C29" s="161">
        <f>+'Thu 2024'!E28</f>
        <v>500</v>
      </c>
      <c r="D29" s="161">
        <f>+C29</f>
        <v>500</v>
      </c>
      <c r="E29" s="160">
        <f>'Thu 2024'!F28</f>
        <v>500</v>
      </c>
      <c r="F29" s="161">
        <f>+E29</f>
        <v>500</v>
      </c>
      <c r="G29" s="69">
        <f t="shared" si="15"/>
        <v>100</v>
      </c>
      <c r="H29" s="69">
        <f t="shared" si="16"/>
        <v>100</v>
      </c>
    </row>
    <row r="30" spans="1:8" s="71" customFormat="1" ht="20.25" customHeight="1">
      <c r="A30" s="40"/>
      <c r="B30" s="73" t="s">
        <v>316</v>
      </c>
      <c r="C30" s="161">
        <f>+'Thu 2024'!E29</f>
        <v>300</v>
      </c>
      <c r="D30" s="161">
        <f>+C30</f>
        <v>300</v>
      </c>
      <c r="E30" s="160">
        <f>'Thu 2024'!F29</f>
        <v>400</v>
      </c>
      <c r="F30" s="161">
        <f>+E30</f>
        <v>400</v>
      </c>
      <c r="G30" s="69">
        <f t="shared" si="15"/>
        <v>133.33333333333331</v>
      </c>
      <c r="H30" s="69">
        <f t="shared" si="16"/>
        <v>133.33333333333331</v>
      </c>
    </row>
    <row r="31" spans="1:8" ht="20.25" customHeight="1">
      <c r="A31" s="40">
        <v>7</v>
      </c>
      <c r="B31" s="64" t="s">
        <v>16</v>
      </c>
      <c r="C31" s="300">
        <f>+'Thu 2024'!E30</f>
        <v>16000</v>
      </c>
      <c r="D31" s="300">
        <f>+C31</f>
        <v>16000</v>
      </c>
      <c r="E31" s="160">
        <f>'Thu 2024'!F30</f>
        <v>18000</v>
      </c>
      <c r="F31" s="159">
        <f>+E31</f>
        <v>18000</v>
      </c>
      <c r="G31" s="69">
        <f>E31/C31*100</f>
        <v>112.5</v>
      </c>
      <c r="H31" s="69">
        <f>F31/D31*100</f>
        <v>112.5</v>
      </c>
    </row>
    <row r="32" spans="1:8" ht="20.25" customHeight="1">
      <c r="A32" s="40">
        <v>8</v>
      </c>
      <c r="B32" s="64" t="s">
        <v>31</v>
      </c>
      <c r="C32" s="300">
        <f>+'Thu 2024'!E31</f>
        <v>3500</v>
      </c>
      <c r="D32" s="300">
        <f t="shared" ref="D32:D35" si="17">+C32</f>
        <v>3500</v>
      </c>
      <c r="E32" s="160">
        <f>'Thu 2024'!F31</f>
        <v>3500</v>
      </c>
      <c r="F32" s="159">
        <f t="shared" ref="F32:F35" si="18">+E32</f>
        <v>3500</v>
      </c>
      <c r="G32" s="69">
        <f t="shared" ref="G32:G33" si="19">E32/C32*100</f>
        <v>100</v>
      </c>
      <c r="H32" s="69">
        <f t="shared" ref="H32:H33" si="20">F32/D32*100</f>
        <v>100</v>
      </c>
    </row>
    <row r="33" spans="1:8" ht="39.75" customHeight="1">
      <c r="A33" s="40"/>
      <c r="B33" s="461" t="s">
        <v>838</v>
      </c>
      <c r="C33" s="161">
        <f>+'Thu 2024'!E32</f>
        <v>1206</v>
      </c>
      <c r="D33" s="161">
        <f t="shared" si="17"/>
        <v>1206</v>
      </c>
      <c r="E33" s="160">
        <f>'Thu 2024'!F32</f>
        <v>1206</v>
      </c>
      <c r="F33" s="160">
        <f t="shared" si="18"/>
        <v>1206</v>
      </c>
      <c r="G33" s="69">
        <f t="shared" si="19"/>
        <v>100</v>
      </c>
      <c r="H33" s="69">
        <f t="shared" si="20"/>
        <v>100</v>
      </c>
    </row>
    <row r="34" spans="1:8" ht="20.25" customHeight="1">
      <c r="A34" s="40">
        <v>9</v>
      </c>
      <c r="B34" s="64" t="s">
        <v>12</v>
      </c>
      <c r="C34" s="300">
        <f>+'Thu 2024'!E33</f>
        <v>270</v>
      </c>
      <c r="D34" s="300">
        <f t="shared" si="17"/>
        <v>270</v>
      </c>
      <c r="E34" s="159">
        <f>'Thu 2024'!F33</f>
        <v>290</v>
      </c>
      <c r="F34" s="159">
        <f t="shared" si="18"/>
        <v>290</v>
      </c>
      <c r="G34" s="69">
        <f t="shared" ref="G34:H36" si="21">E34/C34*100</f>
        <v>107.40740740740742</v>
      </c>
      <c r="H34" s="69">
        <f t="shared" si="21"/>
        <v>107.40740740740742</v>
      </c>
    </row>
    <row r="35" spans="1:8" ht="20.25" customHeight="1">
      <c r="A35" s="40">
        <v>10</v>
      </c>
      <c r="B35" s="64" t="s">
        <v>71</v>
      </c>
      <c r="C35" s="300">
        <f>+'Thu 2024'!E34</f>
        <v>100</v>
      </c>
      <c r="D35" s="300">
        <f t="shared" si="17"/>
        <v>100</v>
      </c>
      <c r="E35" s="159">
        <f>'Thu 2024'!F34</f>
        <v>100</v>
      </c>
      <c r="F35" s="159">
        <f t="shared" si="18"/>
        <v>100</v>
      </c>
      <c r="G35" s="69">
        <f t="shared" si="21"/>
        <v>100</v>
      </c>
      <c r="H35" s="69">
        <f t="shared" si="21"/>
        <v>100</v>
      </c>
    </row>
    <row r="36" spans="1:8" ht="20.25" customHeight="1">
      <c r="A36" s="40">
        <v>11</v>
      </c>
      <c r="B36" s="64" t="s">
        <v>17</v>
      </c>
      <c r="C36" s="300">
        <f>SUM(C37,C38)</f>
        <v>3520</v>
      </c>
      <c r="D36" s="300">
        <f>C36-C37</f>
        <v>550</v>
      </c>
      <c r="E36" s="159">
        <f>SUM(E37,E38)</f>
        <v>3600</v>
      </c>
      <c r="F36" s="300">
        <f>E36-E37</f>
        <v>820</v>
      </c>
      <c r="G36" s="69">
        <f t="shared" si="21"/>
        <v>102.27272727272727</v>
      </c>
      <c r="H36" s="69">
        <f t="shared" si="21"/>
        <v>149.09090909090909</v>
      </c>
    </row>
    <row r="37" spans="1:8" ht="20.25" customHeight="1">
      <c r="A37" s="65" t="s">
        <v>15</v>
      </c>
      <c r="B37" s="64" t="s">
        <v>202</v>
      </c>
      <c r="C37" s="161">
        <f>+'Thu 2024'!E36</f>
        <v>2970</v>
      </c>
      <c r="D37" s="161"/>
      <c r="E37" s="160">
        <f>+'Thu 2024'!F36</f>
        <v>2780</v>
      </c>
      <c r="F37" s="160"/>
      <c r="G37" s="69">
        <f>E37/C37*100</f>
        <v>93.602693602693591</v>
      </c>
      <c r="H37" s="69"/>
    </row>
    <row r="38" spans="1:8" ht="20.25" customHeight="1">
      <c r="A38" s="65" t="s">
        <v>15</v>
      </c>
      <c r="B38" s="64" t="s">
        <v>314</v>
      </c>
      <c r="C38" s="161">
        <f>+'Thu 2024'!E37</f>
        <v>550</v>
      </c>
      <c r="D38" s="161">
        <v>550</v>
      </c>
      <c r="E38" s="160">
        <f>+'Thu 2024'!F37</f>
        <v>820</v>
      </c>
      <c r="F38" s="160">
        <v>820</v>
      </c>
      <c r="G38" s="69">
        <f>E38/C38*100</f>
        <v>149.09090909090909</v>
      </c>
      <c r="H38" s="69">
        <f>F38/D38*100</f>
        <v>149.09090909090909</v>
      </c>
    </row>
  </sheetData>
  <mergeCells count="13">
    <mergeCell ref="F6:F7"/>
    <mergeCell ref="G6:G7"/>
    <mergeCell ref="H6:H7"/>
    <mergeCell ref="A2:H2"/>
    <mergeCell ref="E5:F5"/>
    <mergeCell ref="G5:H5"/>
    <mergeCell ref="A3:H3"/>
    <mergeCell ref="A5:A7"/>
    <mergeCell ref="B5:B7"/>
    <mergeCell ref="C5:D5"/>
    <mergeCell ref="C6:C7"/>
    <mergeCell ref="D6:D7"/>
    <mergeCell ref="E6:E7"/>
  </mergeCells>
  <phoneticPr fontId="15" type="noConversion"/>
  <printOptions horizontalCentered="1"/>
  <pageMargins left="0.59" right="0.25" top="0.6" bottom="0.17" header="0.88" footer="0.2"/>
  <pageSetup paperSize="9" scale="71" fitToHeight="0" orientation="portrait" r:id="rId1"/>
  <headerFooter alignWithMargins="0">
    <oddHeader xml:space="preserve">&amp;C                                                                                                                                  </oddHeader>
    <oddFooter xml:space="preserve">&amp;C&amp;".VnTime,Italic"&amp;8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FF00"/>
    <pageSetUpPr fitToPage="1"/>
  </sheetPr>
  <dimension ref="A1:H53"/>
  <sheetViews>
    <sheetView view="pageBreakPreview" zoomScaleNormal="100" zoomScaleSheetLayoutView="100" workbookViewId="0">
      <pane xSplit="2" ySplit="8" topLeftCell="C9" activePane="bottomRight" state="frozen"/>
      <selection pane="topRight" activeCell="C1" sqref="C1"/>
      <selection pane="bottomLeft" activeCell="A9" sqref="A9"/>
      <selection pane="bottomRight" activeCell="E27" sqref="E27"/>
    </sheetView>
  </sheetViews>
  <sheetFormatPr defaultColWidth="9" defaultRowHeight="15.75"/>
  <cols>
    <col min="1" max="1" width="7.109375" style="199" customWidth="1"/>
    <col min="2" max="2" width="49.33203125" style="199" customWidth="1"/>
    <col min="3" max="4" width="11.109375" style="199" customWidth="1"/>
    <col min="5" max="6" width="10.21875" style="199" customWidth="1"/>
    <col min="7" max="7" width="9" style="199"/>
    <col min="8" max="8" width="18.88671875" style="199" customWidth="1"/>
    <col min="9" max="16384" width="9" style="199"/>
  </cols>
  <sheetData>
    <row r="1" spans="1:8" ht="24.75" customHeight="1">
      <c r="A1" s="77"/>
      <c r="B1" s="420"/>
      <c r="C1" s="78"/>
      <c r="D1" s="201"/>
      <c r="E1" s="589"/>
      <c r="F1" s="81" t="s">
        <v>187</v>
      </c>
    </row>
    <row r="2" spans="1:8" ht="21" customHeight="1">
      <c r="A2" s="785" t="s">
        <v>839</v>
      </c>
      <c r="B2" s="785"/>
      <c r="C2" s="785"/>
      <c r="D2" s="785"/>
      <c r="E2" s="785"/>
      <c r="F2" s="785"/>
    </row>
    <row r="3" spans="1:8" ht="17.25" customHeight="1">
      <c r="A3" s="788" t="str">
        <f>'PL15'!A3</f>
        <v xml:space="preserve"> Biểu kèm theo Báo cáo số 99/BC-BKTXH ngày 12/12/2024 của Ban KT-XH,HĐND huyện Tuần Giáo</v>
      </c>
      <c r="B3" s="788"/>
      <c r="C3" s="788"/>
      <c r="D3" s="788"/>
      <c r="E3" s="788"/>
      <c r="F3" s="788"/>
      <c r="G3" s="5"/>
    </row>
    <row r="4" spans="1:8" ht="30" customHeight="1">
      <c r="A4" s="82"/>
      <c r="B4" s="82"/>
      <c r="C4" s="83"/>
      <c r="D4" s="797" t="s">
        <v>87</v>
      </c>
      <c r="E4" s="797"/>
      <c r="F4" s="797"/>
    </row>
    <row r="5" spans="1:8">
      <c r="A5" s="759" t="s">
        <v>58</v>
      </c>
      <c r="B5" s="796" t="s">
        <v>5</v>
      </c>
      <c r="C5" s="759" t="s">
        <v>313</v>
      </c>
      <c r="D5" s="759" t="s">
        <v>708</v>
      </c>
      <c r="E5" s="796" t="s">
        <v>59</v>
      </c>
      <c r="F5" s="796"/>
    </row>
    <row r="6" spans="1:8">
      <c r="A6" s="759"/>
      <c r="B6" s="796"/>
      <c r="C6" s="759"/>
      <c r="D6" s="759"/>
      <c r="E6" s="759" t="s">
        <v>88</v>
      </c>
      <c r="F6" s="759" t="s">
        <v>134</v>
      </c>
    </row>
    <row r="7" spans="1:8">
      <c r="A7" s="759"/>
      <c r="B7" s="796"/>
      <c r="C7" s="759"/>
      <c r="D7" s="759"/>
      <c r="E7" s="759"/>
      <c r="F7" s="759"/>
    </row>
    <row r="8" spans="1:8">
      <c r="A8" s="84" t="s">
        <v>8</v>
      </c>
      <c r="B8" s="84" t="s">
        <v>9</v>
      </c>
      <c r="C8" s="84">
        <v>1</v>
      </c>
      <c r="D8" s="84">
        <v>2</v>
      </c>
      <c r="E8" s="84" t="s">
        <v>89</v>
      </c>
      <c r="F8" s="84" t="s">
        <v>90</v>
      </c>
    </row>
    <row r="9" spans="1:8">
      <c r="A9" s="84"/>
      <c r="B9" s="85" t="s">
        <v>96</v>
      </c>
      <c r="C9" s="197">
        <f>C10+C38</f>
        <v>1101150</v>
      </c>
      <c r="D9" s="197">
        <f>D10+D38</f>
        <v>1136041</v>
      </c>
      <c r="E9" s="197">
        <f>D9-C9</f>
        <v>34891</v>
      </c>
      <c r="F9" s="590">
        <f>D9/C9*100</f>
        <v>103.16859646732961</v>
      </c>
      <c r="G9" s="198"/>
    </row>
    <row r="10" spans="1:8">
      <c r="A10" s="84" t="s">
        <v>8</v>
      </c>
      <c r="B10" s="85" t="s">
        <v>101</v>
      </c>
      <c r="C10" s="197">
        <f>C11+C22+C36+C37</f>
        <v>829482</v>
      </c>
      <c r="D10" s="197">
        <f>D11+D22+D36+D37</f>
        <v>1034061</v>
      </c>
      <c r="E10" s="197">
        <f t="shared" ref="E10:E50" si="0">D10-C10</f>
        <v>204579</v>
      </c>
      <c r="F10" s="590">
        <f>D10/C10*100</f>
        <v>124.66346466831106</v>
      </c>
      <c r="H10" s="198"/>
    </row>
    <row r="11" spans="1:8">
      <c r="A11" s="84" t="s">
        <v>18</v>
      </c>
      <c r="B11" s="85" t="s">
        <v>41</v>
      </c>
      <c r="C11" s="197">
        <f>C18</f>
        <v>36645</v>
      </c>
      <c r="D11" s="197">
        <f>D18</f>
        <v>41932</v>
      </c>
      <c r="E11" s="197">
        <f>E12</f>
        <v>5287</v>
      </c>
      <c r="F11" s="590">
        <f>F12</f>
        <v>114.4276163187338</v>
      </c>
    </row>
    <row r="12" spans="1:8">
      <c r="A12" s="34">
        <v>1</v>
      </c>
      <c r="B12" s="211" t="s">
        <v>72</v>
      </c>
      <c r="C12" s="88">
        <f>C13</f>
        <v>36645</v>
      </c>
      <c r="D12" s="88">
        <f>D13</f>
        <v>41932</v>
      </c>
      <c r="E12" s="88">
        <f>E13</f>
        <v>5287</v>
      </c>
      <c r="F12" s="591">
        <f>D12/C12*100</f>
        <v>114.4276163187338</v>
      </c>
    </row>
    <row r="13" spans="1:8">
      <c r="A13" s="34"/>
      <c r="B13" s="303" t="s">
        <v>132</v>
      </c>
      <c r="C13" s="88">
        <f>SUM(C14:C17)</f>
        <v>36645</v>
      </c>
      <c r="D13" s="88">
        <f>SUM(D14:D17)</f>
        <v>41932</v>
      </c>
      <c r="E13" s="88">
        <f>SUM(E14:E17)</f>
        <v>5287</v>
      </c>
      <c r="F13" s="591">
        <f t="shared" ref="F13:F20" si="1">D13/C13*100</f>
        <v>114.4276163187338</v>
      </c>
    </row>
    <row r="14" spans="1:8">
      <c r="A14" s="314" t="s">
        <v>15</v>
      </c>
      <c r="B14" s="211" t="s">
        <v>286</v>
      </c>
      <c r="C14" s="719">
        <v>2966</v>
      </c>
      <c r="D14" s="719"/>
      <c r="E14" s="88">
        <f>D14-C14</f>
        <v>-2966</v>
      </c>
      <c r="F14" s="591">
        <f t="shared" si="1"/>
        <v>0</v>
      </c>
    </row>
    <row r="15" spans="1:8">
      <c r="A15" s="314" t="s">
        <v>15</v>
      </c>
      <c r="B15" s="211" t="s">
        <v>36</v>
      </c>
      <c r="C15" s="719">
        <v>1600</v>
      </c>
      <c r="D15" s="719">
        <v>500</v>
      </c>
      <c r="E15" s="88">
        <f>D15-C15</f>
        <v>-1100</v>
      </c>
      <c r="F15" s="591">
        <f>D15/C15*100</f>
        <v>31.25</v>
      </c>
    </row>
    <row r="16" spans="1:8">
      <c r="A16" s="314" t="s">
        <v>15</v>
      </c>
      <c r="B16" s="211" t="s">
        <v>110</v>
      </c>
      <c r="C16" s="719">
        <v>32079</v>
      </c>
      <c r="D16" s="719">
        <f>24526+(5410+4890)+2700+1206+2700</f>
        <v>41432</v>
      </c>
      <c r="E16" s="88">
        <f>D16-C16</f>
        <v>9353</v>
      </c>
      <c r="F16" s="591">
        <f t="shared" si="1"/>
        <v>129.1561457651423</v>
      </c>
    </row>
    <row r="17" spans="1:7" hidden="1">
      <c r="A17" s="314" t="s">
        <v>15</v>
      </c>
      <c r="B17" s="211" t="s">
        <v>287</v>
      </c>
      <c r="C17" s="88"/>
      <c r="D17" s="88"/>
      <c r="E17" s="88">
        <f>D17-C17</f>
        <v>0</v>
      </c>
      <c r="F17" s="591"/>
    </row>
    <row r="18" spans="1:7">
      <c r="A18" s="34"/>
      <c r="B18" s="303" t="s">
        <v>133</v>
      </c>
      <c r="C18" s="88">
        <f>SUM(C19:C21)</f>
        <v>36645</v>
      </c>
      <c r="D18" s="88">
        <f>SUM(D19:D21)</f>
        <v>41932</v>
      </c>
      <c r="E18" s="88">
        <f>E19+E20</f>
        <v>4081</v>
      </c>
      <c r="F18" s="591">
        <f t="shared" si="1"/>
        <v>114.4276163187338</v>
      </c>
      <c r="G18" s="198">
        <f>D13-D18</f>
        <v>0</v>
      </c>
    </row>
    <row r="19" spans="1:7">
      <c r="A19" s="314" t="s">
        <v>15</v>
      </c>
      <c r="B19" s="211" t="s">
        <v>288</v>
      </c>
      <c r="C19" s="88">
        <f>+'Chi 2024'!D12</f>
        <v>24045</v>
      </c>
      <c r="D19" s="88">
        <f>+'Chi 2024'!L12</f>
        <v>24526</v>
      </c>
      <c r="E19" s="88">
        <f>D19-C19</f>
        <v>481</v>
      </c>
      <c r="F19" s="591">
        <f t="shared" si="1"/>
        <v>102.00041588687876</v>
      </c>
    </row>
    <row r="20" spans="1:7">
      <c r="A20" s="314" t="s">
        <v>15</v>
      </c>
      <c r="B20" s="211" t="s">
        <v>289</v>
      </c>
      <c r="C20" s="88">
        <f>+'Chi 2024'!D13</f>
        <v>12600</v>
      </c>
      <c r="D20" s="88">
        <f>+'Chi 2024'!L13</f>
        <v>16200</v>
      </c>
      <c r="E20" s="88">
        <f>D20-C20</f>
        <v>3600</v>
      </c>
      <c r="F20" s="591">
        <f t="shared" si="1"/>
        <v>128.57142857142858</v>
      </c>
    </row>
    <row r="21" spans="1:7" ht="36.75" customHeight="1">
      <c r="A21" s="314" t="s">
        <v>15</v>
      </c>
      <c r="B21" s="281" t="s">
        <v>792</v>
      </c>
      <c r="C21" s="88"/>
      <c r="D21" s="88">
        <f>+'Chi 2024'!L15</f>
        <v>1206</v>
      </c>
      <c r="E21" s="88"/>
      <c r="F21" s="591"/>
    </row>
    <row r="22" spans="1:7">
      <c r="A22" s="84" t="s">
        <v>19</v>
      </c>
      <c r="B22" s="85" t="s">
        <v>24</v>
      </c>
      <c r="C22" s="197">
        <f>SUM(C23:C35)</f>
        <v>776247</v>
      </c>
      <c r="D22" s="197">
        <f>SUM(D23:D35)</f>
        <v>971444</v>
      </c>
      <c r="E22" s="197">
        <f t="shared" si="0"/>
        <v>195197</v>
      </c>
      <c r="F22" s="590">
        <f t="shared" ref="F22:F35" si="2">D22/C22*100</f>
        <v>125.14624855232934</v>
      </c>
    </row>
    <row r="23" spans="1:7">
      <c r="A23" s="34">
        <v>1</v>
      </c>
      <c r="B23" s="211" t="s">
        <v>208</v>
      </c>
      <c r="C23" s="88">
        <f>+'Chi 2024'!D18</f>
        <v>503288</v>
      </c>
      <c r="D23" s="88">
        <f>+'Chi 2024'!L18</f>
        <v>643985</v>
      </c>
      <c r="E23" s="88">
        <f>D23-C23</f>
        <v>140697</v>
      </c>
      <c r="F23" s="591">
        <f>D23/C23*100</f>
        <v>127.95556420975664</v>
      </c>
      <c r="G23" s="198"/>
    </row>
    <row r="24" spans="1:7">
      <c r="A24" s="34">
        <v>2</v>
      </c>
      <c r="B24" s="211" t="s">
        <v>32</v>
      </c>
      <c r="C24" s="88">
        <f>+'Chi 2024'!D31</f>
        <v>415</v>
      </c>
      <c r="D24" s="88">
        <f>+'Chi 2024'!L31</f>
        <v>0</v>
      </c>
      <c r="E24" s="88">
        <f>D24-C24</f>
        <v>-415</v>
      </c>
      <c r="F24" s="591">
        <f>D24/C24*100</f>
        <v>0</v>
      </c>
    </row>
    <row r="25" spans="1:7">
      <c r="A25" s="34">
        <v>3</v>
      </c>
      <c r="B25" s="211" t="s">
        <v>33</v>
      </c>
      <c r="C25" s="88">
        <f>+'Chi 2024'!D32</f>
        <v>8682</v>
      </c>
      <c r="D25" s="88">
        <f>+'Chi 2024'!L32</f>
        <v>9789</v>
      </c>
      <c r="E25" s="88">
        <f>D25-C25</f>
        <v>1107</v>
      </c>
      <c r="F25" s="591">
        <f>D25/C25*100</f>
        <v>112.75051831375261</v>
      </c>
    </row>
    <row r="26" spans="1:7">
      <c r="A26" s="34">
        <v>4</v>
      </c>
      <c r="B26" s="211" t="s">
        <v>34</v>
      </c>
      <c r="C26" s="88">
        <f>+'Chi 2024'!D33</f>
        <v>6137</v>
      </c>
      <c r="D26" s="88">
        <f>+'Chi 2024'!L33</f>
        <v>9244</v>
      </c>
      <c r="E26" s="88">
        <f>D26-C26</f>
        <v>3107</v>
      </c>
      <c r="F26" s="591">
        <f>D26/C26*100</f>
        <v>150.62734234968224</v>
      </c>
    </row>
    <row r="27" spans="1:7">
      <c r="A27" s="34">
        <v>5</v>
      </c>
      <c r="B27" s="211" t="s">
        <v>35</v>
      </c>
      <c r="C27" s="88">
        <f>+'Chi 2024'!D34</f>
        <v>315</v>
      </c>
      <c r="D27" s="88">
        <f>+'Chi 2024'!L34</f>
        <v>315</v>
      </c>
      <c r="E27" s="88">
        <f t="shared" si="0"/>
        <v>0</v>
      </c>
      <c r="F27" s="591">
        <f t="shared" si="2"/>
        <v>100</v>
      </c>
    </row>
    <row r="28" spans="1:7">
      <c r="A28" s="34">
        <v>6</v>
      </c>
      <c r="B28" s="211" t="s">
        <v>36</v>
      </c>
      <c r="C28" s="88">
        <f>+'Chi 2024'!D35</f>
        <v>4356</v>
      </c>
      <c r="D28" s="88">
        <f>+'Chi 2024'!L35</f>
        <v>4101</v>
      </c>
      <c r="E28" s="88">
        <f t="shared" si="0"/>
        <v>-255</v>
      </c>
      <c r="F28" s="591">
        <f t="shared" si="2"/>
        <v>94.146005509641867</v>
      </c>
    </row>
    <row r="29" spans="1:7">
      <c r="A29" s="34">
        <v>7</v>
      </c>
      <c r="B29" s="211" t="s">
        <v>37</v>
      </c>
      <c r="C29" s="88">
        <f>+'Chi 2024'!D36</f>
        <v>3277</v>
      </c>
      <c r="D29" s="88">
        <f>+'Chi 2024'!L36</f>
        <v>3703</v>
      </c>
      <c r="E29" s="88">
        <f t="shared" si="0"/>
        <v>426</v>
      </c>
      <c r="F29" s="591">
        <f t="shared" si="2"/>
        <v>112.99969484284406</v>
      </c>
    </row>
    <row r="30" spans="1:7">
      <c r="A30" s="34">
        <v>8</v>
      </c>
      <c r="B30" s="211" t="s">
        <v>38</v>
      </c>
      <c r="C30" s="88">
        <f>+'Chi 2024'!D37</f>
        <v>615</v>
      </c>
      <c r="D30" s="88">
        <f>+'Chi 2024'!L37</f>
        <v>741</v>
      </c>
      <c r="E30" s="88">
        <f t="shared" si="0"/>
        <v>126</v>
      </c>
      <c r="F30" s="591">
        <f t="shared" si="2"/>
        <v>120.48780487804878</v>
      </c>
    </row>
    <row r="31" spans="1:7">
      <c r="A31" s="34">
        <v>9</v>
      </c>
      <c r="B31" s="211" t="s">
        <v>39</v>
      </c>
      <c r="C31" s="88">
        <f>+'Chi 2024'!D38</f>
        <v>7000</v>
      </c>
      <c r="D31" s="88">
        <f>+'Chi 2024'!L38</f>
        <v>9220</v>
      </c>
      <c r="E31" s="88">
        <f t="shared" si="0"/>
        <v>2220</v>
      </c>
      <c r="F31" s="591">
        <f t="shared" si="2"/>
        <v>131.71428571428572</v>
      </c>
    </row>
    <row r="32" spans="1:7">
      <c r="A32" s="34">
        <v>10</v>
      </c>
      <c r="B32" s="211" t="s">
        <v>199</v>
      </c>
      <c r="C32" s="88">
        <f>+'Chi 2024'!D39</f>
        <v>50095</v>
      </c>
      <c r="D32" s="88">
        <f>+'Chi 2024'!L39</f>
        <v>48670</v>
      </c>
      <c r="E32" s="88">
        <f t="shared" si="0"/>
        <v>-1425</v>
      </c>
      <c r="F32" s="591">
        <f t="shared" si="2"/>
        <v>97.155404731011075</v>
      </c>
    </row>
    <row r="33" spans="1:6">
      <c r="A33" s="34">
        <v>11</v>
      </c>
      <c r="B33" s="211" t="s">
        <v>290</v>
      </c>
      <c r="C33" s="88">
        <f>+'Chi 2024'!D52</f>
        <v>131183</v>
      </c>
      <c r="D33" s="88">
        <f>+'Chi 2024'!L52</f>
        <v>165026</v>
      </c>
      <c r="E33" s="88">
        <f t="shared" si="0"/>
        <v>33843</v>
      </c>
      <c r="F33" s="591">
        <f t="shared" si="2"/>
        <v>125.79831228131695</v>
      </c>
    </row>
    <row r="34" spans="1:6">
      <c r="A34" s="34">
        <v>12</v>
      </c>
      <c r="B34" s="211" t="s">
        <v>25</v>
      </c>
      <c r="C34" s="88">
        <f>+'Chi 2024'!D53</f>
        <v>57210</v>
      </c>
      <c r="D34" s="88">
        <f>+'Chi 2024'!L53</f>
        <v>74580</v>
      </c>
      <c r="E34" s="88">
        <f t="shared" si="0"/>
        <v>17370</v>
      </c>
      <c r="F34" s="591">
        <f t="shared" si="2"/>
        <v>130.36182485579445</v>
      </c>
    </row>
    <row r="35" spans="1:6">
      <c r="A35" s="34">
        <v>13</v>
      </c>
      <c r="B35" s="211" t="s">
        <v>40</v>
      </c>
      <c r="C35" s="88">
        <f>+'Chi 2024'!D58</f>
        <v>3674</v>
      </c>
      <c r="D35" s="88">
        <f>+'Chi 2024'!L58</f>
        <v>2070</v>
      </c>
      <c r="E35" s="88">
        <f t="shared" si="0"/>
        <v>-1604</v>
      </c>
      <c r="F35" s="591">
        <f t="shared" si="2"/>
        <v>56.341861731083284</v>
      </c>
    </row>
    <row r="36" spans="1:6">
      <c r="A36" s="84" t="s">
        <v>20</v>
      </c>
      <c r="B36" s="85" t="s">
        <v>27</v>
      </c>
      <c r="C36" s="197">
        <f>+'Chi 2024'!D62</f>
        <v>16590</v>
      </c>
      <c r="D36" s="197">
        <f>+'Chi 2024'!L62</f>
        <v>20685</v>
      </c>
      <c r="E36" s="197">
        <f>D36-C36</f>
        <v>4095</v>
      </c>
      <c r="F36" s="590">
        <f>D36/C36*100</f>
        <v>124.68354430379746</v>
      </c>
    </row>
    <row r="37" spans="1:6" hidden="1">
      <c r="A37" s="84" t="s">
        <v>21</v>
      </c>
      <c r="B37" s="85" t="s">
        <v>73</v>
      </c>
      <c r="C37" s="197"/>
      <c r="D37" s="197"/>
      <c r="E37" s="197">
        <f t="shared" si="0"/>
        <v>0</v>
      </c>
      <c r="F37" s="591"/>
    </row>
    <row r="38" spans="1:6">
      <c r="A38" s="84" t="s">
        <v>9</v>
      </c>
      <c r="B38" s="592" t="s">
        <v>102</v>
      </c>
      <c r="C38" s="197">
        <f>C39+C49</f>
        <v>271668</v>
      </c>
      <c r="D38" s="197">
        <f>D39+D49</f>
        <v>101980</v>
      </c>
      <c r="E38" s="197">
        <f t="shared" si="0"/>
        <v>-169688</v>
      </c>
      <c r="F38" s="590">
        <f>D38/C38*100</f>
        <v>37.538466068878193</v>
      </c>
    </row>
    <row r="39" spans="1:6">
      <c r="A39" s="84" t="s">
        <v>18</v>
      </c>
      <c r="B39" s="85" t="s">
        <v>99</v>
      </c>
      <c r="C39" s="197">
        <f>C40+C46+C43</f>
        <v>269834</v>
      </c>
      <c r="D39" s="197">
        <f>D40+D46+D43</f>
        <v>101314</v>
      </c>
      <c r="E39" s="197">
        <f t="shared" si="0"/>
        <v>-168520</v>
      </c>
      <c r="F39" s="590">
        <f t="shared" ref="F39:F49" si="3">D39/C39*100</f>
        <v>37.546788025230327</v>
      </c>
    </row>
    <row r="40" spans="1:6" ht="31.5">
      <c r="A40" s="34">
        <v>1</v>
      </c>
      <c r="B40" s="287" t="s">
        <v>280</v>
      </c>
      <c r="C40" s="88">
        <f>C41+C42</f>
        <v>205282</v>
      </c>
      <c r="D40" s="88">
        <f>D41+D42</f>
        <v>76540</v>
      </c>
      <c r="E40" s="88">
        <f t="shared" si="0"/>
        <v>-128742</v>
      </c>
      <c r="F40" s="591">
        <f t="shared" si="3"/>
        <v>37.285295349811484</v>
      </c>
    </row>
    <row r="41" spans="1:6">
      <c r="A41" s="34"/>
      <c r="B41" s="211" t="s">
        <v>178</v>
      </c>
      <c r="C41" s="88">
        <f>+'Chi 2024'!D90</f>
        <v>105302</v>
      </c>
      <c r="D41" s="88">
        <f>+'Chi 2024'!L90</f>
        <v>76540</v>
      </c>
      <c r="E41" s="88">
        <f t="shared" si="0"/>
        <v>-28762</v>
      </c>
      <c r="F41" s="591">
        <f t="shared" si="3"/>
        <v>72.686178800022788</v>
      </c>
    </row>
    <row r="42" spans="1:6">
      <c r="A42" s="34"/>
      <c r="B42" s="211" t="s">
        <v>179</v>
      </c>
      <c r="C42" s="88">
        <f>+'Chi 2024'!D91</f>
        <v>99980</v>
      </c>
      <c r="D42" s="88">
        <f>+'Chi 2024'!L91</f>
        <v>0</v>
      </c>
      <c r="E42" s="88">
        <f t="shared" si="0"/>
        <v>-99980</v>
      </c>
      <c r="F42" s="591">
        <f t="shared" si="3"/>
        <v>0</v>
      </c>
    </row>
    <row r="43" spans="1:6">
      <c r="A43" s="34">
        <v>2</v>
      </c>
      <c r="B43" s="287" t="s">
        <v>281</v>
      </c>
      <c r="C43" s="88">
        <f>C44+C45</f>
        <v>48946</v>
      </c>
      <c r="D43" s="88">
        <f>D44+D45</f>
        <v>11000</v>
      </c>
      <c r="E43" s="88">
        <f>D43-C43</f>
        <v>-37946</v>
      </c>
      <c r="F43" s="591">
        <f t="shared" si="3"/>
        <v>22.473746577861316</v>
      </c>
    </row>
    <row r="44" spans="1:6">
      <c r="A44" s="34"/>
      <c r="B44" s="211" t="s">
        <v>178</v>
      </c>
      <c r="C44" s="88">
        <f>+'Chi 2024'!D112</f>
        <v>3000</v>
      </c>
      <c r="D44" s="88">
        <f>+'Chi 2024'!L112</f>
        <v>11000</v>
      </c>
      <c r="E44" s="88">
        <f>D44-C44</f>
        <v>8000</v>
      </c>
      <c r="F44" s="591"/>
    </row>
    <row r="45" spans="1:6">
      <c r="A45" s="34"/>
      <c r="B45" s="211" t="s">
        <v>179</v>
      </c>
      <c r="C45" s="88">
        <f>+'Chi 2024'!D113</f>
        <v>45946</v>
      </c>
      <c r="D45" s="88">
        <f>+'Chi 2024'!L113</f>
        <v>0</v>
      </c>
      <c r="E45" s="88">
        <f>D45-C45</f>
        <v>-45946</v>
      </c>
      <c r="F45" s="591">
        <f t="shared" si="3"/>
        <v>0</v>
      </c>
    </row>
    <row r="46" spans="1:6">
      <c r="A46" s="34">
        <v>3</v>
      </c>
      <c r="B46" s="211" t="s">
        <v>177</v>
      </c>
      <c r="C46" s="88">
        <f>C47+C48</f>
        <v>15606</v>
      </c>
      <c r="D46" s="88">
        <f>D47+D48</f>
        <v>13774</v>
      </c>
      <c r="E46" s="88">
        <f t="shared" si="0"/>
        <v>-1832</v>
      </c>
      <c r="F46" s="591">
        <f t="shared" si="3"/>
        <v>88.26092528514674</v>
      </c>
    </row>
    <row r="47" spans="1:6">
      <c r="A47" s="34"/>
      <c r="B47" s="211" t="s">
        <v>178</v>
      </c>
      <c r="C47" s="88">
        <f>+'Chi 2024'!D135</f>
        <v>13796</v>
      </c>
      <c r="D47" s="88">
        <f>+'Chi 2024'!L135</f>
        <v>11204</v>
      </c>
      <c r="E47" s="88">
        <f t="shared" si="0"/>
        <v>-2592</v>
      </c>
      <c r="F47" s="591"/>
    </row>
    <row r="48" spans="1:6">
      <c r="A48" s="34"/>
      <c r="B48" s="211" t="s">
        <v>179</v>
      </c>
      <c r="C48" s="88">
        <f>+'Chi 2024'!D136</f>
        <v>1810</v>
      </c>
      <c r="D48" s="88">
        <f>+'Chi 2024'!L136</f>
        <v>2570</v>
      </c>
      <c r="E48" s="88">
        <f t="shared" si="0"/>
        <v>760</v>
      </c>
      <c r="F48" s="591">
        <f t="shared" si="3"/>
        <v>141.98895027624309</v>
      </c>
    </row>
    <row r="49" spans="1:6" ht="42.75" customHeight="1">
      <c r="A49" s="84" t="s">
        <v>19</v>
      </c>
      <c r="B49" s="291" t="s">
        <v>811</v>
      </c>
      <c r="C49" s="197">
        <f>C50+C51</f>
        <v>1834</v>
      </c>
      <c r="D49" s="197">
        <f>D50+D51</f>
        <v>666</v>
      </c>
      <c r="E49" s="197">
        <f t="shared" si="0"/>
        <v>-1168</v>
      </c>
      <c r="F49" s="590">
        <f t="shared" si="3"/>
        <v>36.314067611777531</v>
      </c>
    </row>
    <row r="50" spans="1:6" ht="18" hidden="1" customHeight="1">
      <c r="A50" s="34">
        <v>1</v>
      </c>
      <c r="B50" s="211" t="s">
        <v>178</v>
      </c>
      <c r="C50" s="88"/>
      <c r="D50" s="88"/>
      <c r="E50" s="88">
        <f t="shared" si="0"/>
        <v>0</v>
      </c>
      <c r="F50" s="591"/>
    </row>
    <row r="51" spans="1:6" ht="17.25" hidden="1" customHeight="1">
      <c r="A51" s="34">
        <v>2</v>
      </c>
      <c r="B51" s="211" t="s">
        <v>179</v>
      </c>
      <c r="C51" s="88">
        <f>C52+C53</f>
        <v>1834</v>
      </c>
      <c r="D51" s="88">
        <f>D52+D53</f>
        <v>666</v>
      </c>
      <c r="E51" s="88">
        <f>D51-C51</f>
        <v>-1168</v>
      </c>
      <c r="F51" s="591">
        <f>D51/C51*100</f>
        <v>36.314067611777531</v>
      </c>
    </row>
    <row r="52" spans="1:6" ht="17.25" customHeight="1">
      <c r="A52" s="34">
        <v>1</v>
      </c>
      <c r="B52" s="211" t="s">
        <v>283</v>
      </c>
      <c r="C52" s="88">
        <f>+'Chi 2024'!D151</f>
        <v>1650</v>
      </c>
      <c r="D52" s="88">
        <f>+'Chi 2024'!L151</f>
        <v>475</v>
      </c>
      <c r="E52" s="88">
        <f>D52-C52</f>
        <v>-1175</v>
      </c>
      <c r="F52" s="591">
        <f>D52/C52*100</f>
        <v>28.787878787878789</v>
      </c>
    </row>
    <row r="53" spans="1:6" ht="17.25" customHeight="1">
      <c r="A53" s="34">
        <v>2</v>
      </c>
      <c r="B53" s="211" t="s">
        <v>293</v>
      </c>
      <c r="C53" s="88">
        <f>+'Chi 2024'!D152</f>
        <v>184</v>
      </c>
      <c r="D53" s="88">
        <f>+'Chi 2024'!L152</f>
        <v>191</v>
      </c>
      <c r="E53" s="88">
        <f>D53-C53</f>
        <v>7</v>
      </c>
      <c r="F53" s="591">
        <f>D53/C53*100</f>
        <v>103.80434782608697</v>
      </c>
    </row>
  </sheetData>
  <mergeCells count="10">
    <mergeCell ref="A2:F2"/>
    <mergeCell ref="A3:F3"/>
    <mergeCell ref="D4:F4"/>
    <mergeCell ref="A5:A7"/>
    <mergeCell ref="B5:B7"/>
    <mergeCell ref="C5:C7"/>
    <mergeCell ref="D5:D7"/>
    <mergeCell ref="E5:F5"/>
    <mergeCell ref="E6:E7"/>
    <mergeCell ref="F6:F7"/>
  </mergeCells>
  <phoneticPr fontId="15" type="noConversion"/>
  <printOptions horizontalCentered="1"/>
  <pageMargins left="0.55118110236220497" right="0.36811023599999998" top="0.56999999999999995" bottom="0.3" header="0.25" footer="0.23622047244094499"/>
  <pageSetup paperSize="9" scale="79" fitToHeight="0" orientation="portrait" r:id="rId1"/>
  <headerFooter alignWithMargins="0">
    <oddHeader xml:space="preserve">&amp;C                                                                                                                                  </oddHeader>
    <oddFooter xml:space="preserve">&amp;C&amp;".VnTime,Italic"&amp;8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tabColor rgb="FFFFFF00"/>
    <pageSetUpPr fitToPage="1"/>
  </sheetPr>
  <dimension ref="A1:K47"/>
  <sheetViews>
    <sheetView view="pageBreakPreview" zoomScaleNormal="85" zoomScaleSheetLayoutView="100" workbookViewId="0">
      <pane xSplit="2" ySplit="9" topLeftCell="C10" activePane="bottomRight" state="frozen"/>
      <selection pane="topRight" activeCell="C1" sqref="C1"/>
      <selection pane="bottomLeft" activeCell="A10" sqref="A10"/>
      <selection pane="bottomRight" activeCell="I35" sqref="I35"/>
    </sheetView>
  </sheetViews>
  <sheetFormatPr defaultColWidth="9" defaultRowHeight="15.75"/>
  <cols>
    <col min="1" max="1" width="5.109375" style="79" customWidth="1"/>
    <col min="2" max="2" width="37.6640625" style="79" customWidth="1"/>
    <col min="3" max="5" width="11.88671875" style="316" customWidth="1"/>
    <col min="6" max="7" width="11.88671875" style="79" customWidth="1"/>
    <col min="8" max="8" width="6.21875" style="79" customWidth="1"/>
    <col min="9" max="11" width="9.88671875" style="79" customWidth="1"/>
    <col min="12" max="16384" width="9" style="79"/>
  </cols>
  <sheetData>
    <row r="1" spans="1:11" ht="21" customHeight="1">
      <c r="A1" s="77"/>
      <c r="B1" s="77"/>
      <c r="C1" s="306"/>
      <c r="D1" s="306"/>
      <c r="E1" s="306"/>
      <c r="G1" s="81" t="s">
        <v>172</v>
      </c>
      <c r="H1" s="81"/>
    </row>
    <row r="2" spans="1:11" ht="21" customHeight="1">
      <c r="A2" s="785" t="s">
        <v>135</v>
      </c>
      <c r="B2" s="785"/>
      <c r="C2" s="785"/>
      <c r="D2" s="785"/>
      <c r="E2" s="785"/>
      <c r="F2" s="785"/>
      <c r="G2" s="785"/>
      <c r="H2" s="564"/>
    </row>
    <row r="3" spans="1:11" ht="21" customHeight="1">
      <c r="A3" s="785" t="s">
        <v>843</v>
      </c>
      <c r="B3" s="785"/>
      <c r="C3" s="785"/>
      <c r="D3" s="785"/>
      <c r="E3" s="785"/>
      <c r="F3" s="785"/>
      <c r="G3" s="785"/>
      <c r="H3" s="564"/>
    </row>
    <row r="4" spans="1:11" ht="21" customHeight="1">
      <c r="A4" s="788" t="str">
        <f>'PL15'!A3</f>
        <v xml:space="preserve"> Biểu kèm theo Báo cáo số 99/BC-BKTXH ngày 12/12/2024 của Ban KT-XH,HĐND huyện Tuần Giáo</v>
      </c>
      <c r="B4" s="788"/>
      <c r="C4" s="788"/>
      <c r="D4" s="788"/>
      <c r="E4" s="788"/>
      <c r="F4" s="788"/>
      <c r="G4" s="788"/>
      <c r="H4" s="215"/>
    </row>
    <row r="5" spans="1:11" ht="19.5" customHeight="1">
      <c r="A5" s="82"/>
      <c r="B5" s="82"/>
      <c r="C5" s="307"/>
      <c r="D5" s="307"/>
      <c r="E5" s="307"/>
      <c r="F5" s="786" t="s">
        <v>87</v>
      </c>
      <c r="G5" s="786"/>
      <c r="H5" s="565"/>
    </row>
    <row r="6" spans="1:11" s="296" customFormat="1" ht="26.25" customHeight="1">
      <c r="A6" s="759" t="s">
        <v>58</v>
      </c>
      <c r="B6" s="796" t="s">
        <v>5</v>
      </c>
      <c r="C6" s="798" t="s">
        <v>313</v>
      </c>
      <c r="D6" s="798" t="s">
        <v>707</v>
      </c>
      <c r="E6" s="798" t="s">
        <v>708</v>
      </c>
      <c r="F6" s="796" t="s">
        <v>59</v>
      </c>
      <c r="G6" s="796"/>
      <c r="H6" s="262"/>
    </row>
    <row r="7" spans="1:11" s="296" customFormat="1" ht="26.25" customHeight="1">
      <c r="A7" s="759"/>
      <c r="B7" s="796"/>
      <c r="C7" s="798"/>
      <c r="D7" s="798"/>
      <c r="E7" s="798"/>
      <c r="F7" s="796" t="s">
        <v>88</v>
      </c>
      <c r="G7" s="759" t="s">
        <v>134</v>
      </c>
      <c r="H7" s="308"/>
    </row>
    <row r="8" spans="1:11" s="296" customFormat="1" ht="26.25" customHeight="1">
      <c r="A8" s="759"/>
      <c r="B8" s="796"/>
      <c r="C8" s="798"/>
      <c r="D8" s="798"/>
      <c r="E8" s="798"/>
      <c r="F8" s="796"/>
      <c r="G8" s="759"/>
      <c r="H8" s="308"/>
    </row>
    <row r="9" spans="1:11" s="210" customFormat="1" ht="17.25" customHeight="1">
      <c r="A9" s="165" t="s">
        <v>8</v>
      </c>
      <c r="B9" s="165" t="s">
        <v>9</v>
      </c>
      <c r="C9" s="165">
        <v>1</v>
      </c>
      <c r="D9" s="165">
        <v>2</v>
      </c>
      <c r="E9" s="165">
        <v>3</v>
      </c>
      <c r="F9" s="165">
        <v>4</v>
      </c>
      <c r="G9" s="165">
        <v>5</v>
      </c>
      <c r="H9" s="309"/>
    </row>
    <row r="10" spans="1:11" s="83" customFormat="1" ht="23.25" customHeight="1">
      <c r="A10" s="84" t="s">
        <v>8</v>
      </c>
      <c r="B10" s="310" t="s">
        <v>136</v>
      </c>
      <c r="C10" s="89"/>
      <c r="D10" s="89"/>
      <c r="E10" s="89"/>
      <c r="F10" s="88"/>
      <c r="G10" s="88"/>
      <c r="H10" s="251"/>
      <c r="J10" s="312"/>
    </row>
    <row r="11" spans="1:11" s="298" customFormat="1" ht="23.25" customHeight="1">
      <c r="A11" s="84" t="s">
        <v>18</v>
      </c>
      <c r="B11" s="310" t="s">
        <v>0</v>
      </c>
      <c r="C11" s="86">
        <f>C12+C13+C18+C17</f>
        <v>1097485</v>
      </c>
      <c r="D11" s="86">
        <f>D12+D13+D18+D17+D16</f>
        <v>1378852</v>
      </c>
      <c r="E11" s="86">
        <f>E12+E13+E18+E17+E16</f>
        <v>1131516</v>
      </c>
      <c r="F11" s="197">
        <f>E11-D11</f>
        <v>-247336</v>
      </c>
      <c r="G11" s="277">
        <f>E11/D11</f>
        <v>0.82062179262168822</v>
      </c>
      <c r="H11" s="311"/>
      <c r="I11" s="312">
        <f>+I12+I13+I16+I17+I18</f>
        <v>1101150</v>
      </c>
      <c r="J11" s="312">
        <f t="shared" ref="J11:K11" si="0">+J12+J13+J16+J17+J18</f>
        <v>1382877</v>
      </c>
      <c r="K11" s="312">
        <f t="shared" si="0"/>
        <v>1136041</v>
      </c>
    </row>
    <row r="12" spans="1:11" s="83" customFormat="1" ht="23.25" customHeight="1">
      <c r="A12" s="34">
        <v>1</v>
      </c>
      <c r="B12" s="211" t="s">
        <v>49</v>
      </c>
      <c r="C12" s="89">
        <v>47335</v>
      </c>
      <c r="D12" s="89">
        <f>'Thu 2024'!E39-D28</f>
        <v>60910</v>
      </c>
      <c r="E12" s="89">
        <f>+'Thu 2024'!F39-'Chi xã,TT 2025'!C7</f>
        <v>52775</v>
      </c>
      <c r="F12" s="88">
        <f>E12-D12</f>
        <v>-8135</v>
      </c>
      <c r="G12" s="257">
        <f>E12/D12</f>
        <v>0.8664422919060909</v>
      </c>
      <c r="H12" s="313"/>
      <c r="I12" s="593">
        <f>+C12+C28</f>
        <v>51000</v>
      </c>
      <c r="J12" s="593">
        <f t="shared" ref="J12:K12" si="1">+D12+D28</f>
        <v>64935</v>
      </c>
      <c r="K12" s="593">
        <f t="shared" si="1"/>
        <v>57300</v>
      </c>
    </row>
    <row r="13" spans="1:11" s="83" customFormat="1" ht="23.25" customHeight="1">
      <c r="A13" s="314">
        <f>A12+1</f>
        <v>2</v>
      </c>
      <c r="B13" s="211" t="s">
        <v>44</v>
      </c>
      <c r="C13" s="89">
        <f>C14+C15</f>
        <v>1050150</v>
      </c>
      <c r="D13" s="89">
        <f>D14+D15</f>
        <v>1163420</v>
      </c>
      <c r="E13" s="89">
        <f>E14+E15</f>
        <v>1078741</v>
      </c>
      <c r="F13" s="88">
        <f>E13-D13</f>
        <v>-84679</v>
      </c>
      <c r="G13" s="257">
        <f>E13/D13</f>
        <v>0.92721545099791991</v>
      </c>
      <c r="H13" s="313"/>
      <c r="I13" s="312">
        <f>+C13+C29-C21</f>
        <v>1050150</v>
      </c>
      <c r="J13" s="312">
        <f t="shared" ref="J13:K15" si="2">+D13+D29-D21</f>
        <v>1163420</v>
      </c>
      <c r="K13" s="312">
        <f t="shared" si="2"/>
        <v>1078741</v>
      </c>
    </row>
    <row r="14" spans="1:11" s="83" customFormat="1" ht="23.25" customHeight="1">
      <c r="A14" s="34" t="s">
        <v>15</v>
      </c>
      <c r="B14" s="211" t="s">
        <v>75</v>
      </c>
      <c r="C14" s="89">
        <f>778482</f>
        <v>778482</v>
      </c>
      <c r="D14" s="89">
        <f>+C14</f>
        <v>778482</v>
      </c>
      <c r="E14" s="89">
        <f>+'Thu 2024'!F41</f>
        <v>976761</v>
      </c>
      <c r="F14" s="88">
        <f>E14-D14</f>
        <v>198279</v>
      </c>
      <c r="G14" s="257">
        <f>E14/D14</f>
        <v>1.2546995306249855</v>
      </c>
      <c r="H14" s="313"/>
      <c r="I14" s="312">
        <f t="shared" ref="I14:I15" si="3">+C14+C30-C22</f>
        <v>778482</v>
      </c>
      <c r="J14" s="312">
        <f t="shared" si="2"/>
        <v>778482</v>
      </c>
      <c r="K14" s="312">
        <f t="shared" si="2"/>
        <v>976761</v>
      </c>
    </row>
    <row r="15" spans="1:11" s="83" customFormat="1" ht="23.25" customHeight="1">
      <c r="A15" s="34" t="s">
        <v>15</v>
      </c>
      <c r="B15" s="211" t="s">
        <v>85</v>
      </c>
      <c r="C15" s="89">
        <f>271668</f>
        <v>271668</v>
      </c>
      <c r="D15" s="89">
        <f>+'Thu 2024'!E42</f>
        <v>384938</v>
      </c>
      <c r="E15" s="89">
        <f>+'Thu 2024'!F42</f>
        <v>101980</v>
      </c>
      <c r="F15" s="88">
        <f>E15-D15</f>
        <v>-282958</v>
      </c>
      <c r="G15" s="257">
        <f>E15/D15</f>
        <v>0.26492578025552166</v>
      </c>
      <c r="H15" s="313"/>
      <c r="I15" s="312">
        <f t="shared" si="3"/>
        <v>271668</v>
      </c>
      <c r="J15" s="312">
        <f t="shared" si="2"/>
        <v>384938</v>
      </c>
      <c r="K15" s="312">
        <f t="shared" si="2"/>
        <v>101980</v>
      </c>
    </row>
    <row r="16" spans="1:11" s="83" customFormat="1" ht="23.25" customHeight="1">
      <c r="A16" s="314">
        <v>3</v>
      </c>
      <c r="B16" s="211" t="s">
        <v>294</v>
      </c>
      <c r="C16" s="89"/>
      <c r="D16" s="89"/>
      <c r="E16" s="89"/>
      <c r="F16" s="88"/>
      <c r="G16" s="257"/>
      <c r="H16" s="313"/>
      <c r="I16" s="312"/>
      <c r="J16" s="312"/>
      <c r="K16" s="312"/>
    </row>
    <row r="17" spans="1:11" s="83" customFormat="1" ht="23.25" customHeight="1">
      <c r="A17" s="314">
        <v>4</v>
      </c>
      <c r="B17" s="211" t="s">
        <v>70</v>
      </c>
      <c r="C17" s="89"/>
      <c r="D17" s="89">
        <f>+'Thu 2024'!E44</f>
        <v>144366</v>
      </c>
      <c r="E17" s="89"/>
      <c r="F17" s="88"/>
      <c r="G17" s="257"/>
      <c r="H17" s="313"/>
      <c r="I17" s="312"/>
      <c r="J17" s="312">
        <f>+D17</f>
        <v>144366</v>
      </c>
      <c r="K17" s="312"/>
    </row>
    <row r="18" spans="1:11" s="83" customFormat="1" ht="23.25" customHeight="1">
      <c r="A18" s="314">
        <v>5</v>
      </c>
      <c r="B18" s="211" t="s">
        <v>42</v>
      </c>
      <c r="C18" s="89"/>
      <c r="D18" s="89">
        <f>+'Thu 2024'!E45</f>
        <v>10156</v>
      </c>
      <c r="E18" s="89"/>
      <c r="F18" s="88"/>
      <c r="G18" s="257"/>
      <c r="H18" s="313"/>
      <c r="I18" s="312"/>
      <c r="J18" s="312">
        <f>+D18</f>
        <v>10156</v>
      </c>
      <c r="K18" s="312"/>
    </row>
    <row r="19" spans="1:11" s="298" customFormat="1" ht="23.25" customHeight="1">
      <c r="A19" s="84" t="s">
        <v>19</v>
      </c>
      <c r="B19" s="310" t="s">
        <v>48</v>
      </c>
      <c r="C19" s="86">
        <f>C20+C21+C24+C25</f>
        <v>1097485</v>
      </c>
      <c r="D19" s="86">
        <f>D20+D21+D24+D25</f>
        <v>1225206</v>
      </c>
      <c r="E19" s="86">
        <f>E20+E21+E24+E25</f>
        <v>1131516</v>
      </c>
      <c r="F19" s="197">
        <f>F20+F21+F24+F25</f>
        <v>34031</v>
      </c>
      <c r="G19" s="277">
        <f>E19/D19</f>
        <v>0.92353122658557008</v>
      </c>
      <c r="H19" s="311"/>
      <c r="I19" s="312"/>
      <c r="J19" s="312"/>
      <c r="K19" s="312"/>
    </row>
    <row r="20" spans="1:11" s="83" customFormat="1" ht="23.25" customHeight="1">
      <c r="A20" s="34">
        <v>1</v>
      </c>
      <c r="B20" s="211" t="s">
        <v>137</v>
      </c>
      <c r="C20" s="213">
        <f>C11-C21</f>
        <v>953357</v>
      </c>
      <c r="D20" s="89">
        <f>D11-D21-D24-D25-130000-13575-10071</f>
        <v>1072140</v>
      </c>
      <c r="E20" s="89">
        <f>E11-E21-E24-E25</f>
        <v>992861</v>
      </c>
      <c r="F20" s="88">
        <f>E20-C20</f>
        <v>39504</v>
      </c>
      <c r="G20" s="257">
        <f>E20/D20</f>
        <v>0.92605536590370663</v>
      </c>
      <c r="H20" s="313"/>
      <c r="I20" s="312">
        <f>+C20+C36</f>
        <v>1101150</v>
      </c>
      <c r="J20" s="312">
        <f t="shared" ref="J20:K20" si="4">+D20+D36</f>
        <v>1225927</v>
      </c>
      <c r="K20" s="312">
        <f t="shared" si="4"/>
        <v>1136041</v>
      </c>
    </row>
    <row r="21" spans="1:11" s="83" customFormat="1" ht="23.25" customHeight="1">
      <c r="A21" s="314">
        <f>A20+1</f>
        <v>2</v>
      </c>
      <c r="B21" s="211" t="s">
        <v>74</v>
      </c>
      <c r="C21" s="213">
        <f>C22+C23</f>
        <v>144128</v>
      </c>
      <c r="D21" s="89">
        <f>D22+D23</f>
        <v>153066</v>
      </c>
      <c r="E21" s="213">
        <f>E22+E23</f>
        <v>138655</v>
      </c>
      <c r="F21" s="88">
        <f>E21-C21</f>
        <v>-5473</v>
      </c>
      <c r="G21" s="257">
        <f>E21/D21</f>
        <v>0.90585107077992499</v>
      </c>
      <c r="H21" s="313"/>
      <c r="I21" s="312">
        <f>I11-I20</f>
        <v>0</v>
      </c>
      <c r="J21" s="312">
        <f t="shared" ref="J21:K21" si="5">J11-J20</f>
        <v>156950</v>
      </c>
      <c r="K21" s="312">
        <f t="shared" si="5"/>
        <v>0</v>
      </c>
    </row>
    <row r="22" spans="1:11" s="83" customFormat="1" ht="23.25" customHeight="1">
      <c r="A22" s="34" t="s">
        <v>15</v>
      </c>
      <c r="B22" s="211" t="s">
        <v>1</v>
      </c>
      <c r="C22" s="213">
        <f t="shared" ref="C22" si="6">+C30</f>
        <v>107643</v>
      </c>
      <c r="D22" s="213">
        <f>+D30</f>
        <v>107643</v>
      </c>
      <c r="E22" s="213">
        <f>+E30</f>
        <v>135407</v>
      </c>
      <c r="F22" s="88">
        <f>E22-C22</f>
        <v>27764</v>
      </c>
      <c r="G22" s="257">
        <f>E22/D22</f>
        <v>1.2579266649944725</v>
      </c>
      <c r="H22" s="313"/>
      <c r="J22" s="312"/>
      <c r="K22" s="312"/>
    </row>
    <row r="23" spans="1:11" s="83" customFormat="1" ht="23.25" customHeight="1">
      <c r="A23" s="34" t="s">
        <v>15</v>
      </c>
      <c r="B23" s="211" t="s">
        <v>86</v>
      </c>
      <c r="C23" s="213">
        <f t="shared" ref="C23:D23" si="7">+C31</f>
        <v>36485</v>
      </c>
      <c r="D23" s="213">
        <f t="shared" si="7"/>
        <v>45423</v>
      </c>
      <c r="E23" s="213">
        <f>+E31</f>
        <v>3248</v>
      </c>
      <c r="F23" s="88">
        <f>E23-C23</f>
        <v>-33237</v>
      </c>
      <c r="G23" s="257">
        <f>E23/D23</f>
        <v>7.150562490368316E-2</v>
      </c>
      <c r="H23" s="313"/>
      <c r="I23" s="312"/>
      <c r="J23" s="312"/>
      <c r="K23" s="312"/>
    </row>
    <row r="24" spans="1:11" s="83" customFormat="1" ht="23.25" customHeight="1">
      <c r="A24" s="314">
        <f>A21+1</f>
        <v>3</v>
      </c>
      <c r="B24" s="211" t="s">
        <v>201</v>
      </c>
      <c r="C24" s="89"/>
      <c r="D24" s="89"/>
      <c r="E24" s="89"/>
      <c r="F24" s="88"/>
      <c r="G24" s="257"/>
      <c r="H24" s="313"/>
      <c r="I24" s="312"/>
      <c r="J24" s="312"/>
      <c r="K24" s="312"/>
    </row>
    <row r="25" spans="1:11" s="83" customFormat="1" ht="23.25" customHeight="1">
      <c r="A25" s="314">
        <v>4</v>
      </c>
      <c r="B25" s="211" t="s">
        <v>64</v>
      </c>
      <c r="C25" s="89"/>
      <c r="D25" s="89"/>
      <c r="E25" s="89"/>
      <c r="F25" s="88"/>
      <c r="G25" s="257"/>
      <c r="H25" s="313"/>
      <c r="I25" s="312"/>
      <c r="J25" s="312"/>
      <c r="K25" s="312"/>
    </row>
    <row r="26" spans="1:11" s="83" customFormat="1" ht="23.25" customHeight="1">
      <c r="A26" s="84" t="s">
        <v>9</v>
      </c>
      <c r="B26" s="85" t="s">
        <v>138</v>
      </c>
      <c r="C26" s="86"/>
      <c r="D26" s="86"/>
      <c r="E26" s="86"/>
      <c r="F26" s="197"/>
      <c r="G26" s="277"/>
      <c r="H26" s="311"/>
    </row>
    <row r="27" spans="1:11" s="83" customFormat="1" ht="23.25" customHeight="1">
      <c r="A27" s="84" t="s">
        <v>18</v>
      </c>
      <c r="B27" s="310" t="s">
        <v>2</v>
      </c>
      <c r="C27" s="86">
        <f>+C28+C29+C34+C33</f>
        <v>147793</v>
      </c>
      <c r="D27" s="86">
        <f>+D28+D29+D34+D33</f>
        <v>157091</v>
      </c>
      <c r="E27" s="86">
        <f>+E28+E29+E34+E33</f>
        <v>143180</v>
      </c>
      <c r="F27" s="197">
        <f>E27-D27</f>
        <v>-13911</v>
      </c>
      <c r="G27" s="277">
        <f>E27/D27</f>
        <v>0.91144623180194917</v>
      </c>
      <c r="H27" s="311"/>
    </row>
    <row r="28" spans="1:11" s="83" customFormat="1" ht="23.25" customHeight="1">
      <c r="A28" s="34">
        <v>1</v>
      </c>
      <c r="B28" s="211" t="s">
        <v>49</v>
      </c>
      <c r="C28" s="89">
        <v>3665</v>
      </c>
      <c r="D28" s="89">
        <f>+C28+(2000*20%*90%)</f>
        <v>4025</v>
      </c>
      <c r="E28" s="89">
        <f>+'Chi xã,TT 2025'!C7</f>
        <v>4525</v>
      </c>
      <c r="F28" s="88">
        <f>E28-D28</f>
        <v>500</v>
      </c>
      <c r="G28" s="257">
        <f>E28/D28</f>
        <v>1.1242236024844721</v>
      </c>
      <c r="H28" s="313"/>
    </row>
    <row r="29" spans="1:11" s="83" customFormat="1" ht="23.25" customHeight="1">
      <c r="A29" s="314">
        <f>A28+1</f>
        <v>2</v>
      </c>
      <c r="B29" s="211" t="s">
        <v>44</v>
      </c>
      <c r="C29" s="89">
        <f>SUM(C30:C31)</f>
        <v>144128</v>
      </c>
      <c r="D29" s="89">
        <f>SUM(D30:D31)</f>
        <v>153066</v>
      </c>
      <c r="E29" s="89">
        <f>SUM(E30:E31)</f>
        <v>138655</v>
      </c>
      <c r="F29" s="88">
        <f>E29-D29</f>
        <v>-14411</v>
      </c>
      <c r="G29" s="257">
        <f>E29/D29</f>
        <v>0.90585107077992499</v>
      </c>
      <c r="H29" s="313"/>
    </row>
    <row r="30" spans="1:11" s="83" customFormat="1" ht="23.25" customHeight="1">
      <c r="A30" s="34" t="s">
        <v>15</v>
      </c>
      <c r="B30" s="211" t="s">
        <v>75</v>
      </c>
      <c r="C30" s="213">
        <v>107643</v>
      </c>
      <c r="D30" s="213">
        <f>+C30</f>
        <v>107643</v>
      </c>
      <c r="E30" s="213">
        <f>+'Chi xã,TT 2025'!C15</f>
        <v>135407</v>
      </c>
      <c r="F30" s="88">
        <f>E30-D30</f>
        <v>27764</v>
      </c>
      <c r="G30" s="257">
        <f>E30/D30</f>
        <v>1.2579266649944725</v>
      </c>
      <c r="H30" s="313"/>
    </row>
    <row r="31" spans="1:11" s="83" customFormat="1" ht="23.25" customHeight="1">
      <c r="A31" s="34" t="s">
        <v>15</v>
      </c>
      <c r="B31" s="211" t="s">
        <v>85</v>
      </c>
      <c r="C31" s="213">
        <v>36485</v>
      </c>
      <c r="D31" s="213">
        <f>+C31+1320+3410+567+2556+605+480</f>
        <v>45423</v>
      </c>
      <c r="E31" s="213">
        <f>+'Chi xã,TT 2025'!C16</f>
        <v>3248</v>
      </c>
      <c r="F31" s="88">
        <f>E31-D31</f>
        <v>-42175</v>
      </c>
      <c r="G31" s="257">
        <f>E31/D31</f>
        <v>7.150562490368316E-2</v>
      </c>
      <c r="H31" s="313"/>
    </row>
    <row r="32" spans="1:11" s="83" customFormat="1" ht="23.25" hidden="1" customHeight="1">
      <c r="A32" s="34"/>
      <c r="B32" s="211"/>
      <c r="C32" s="213"/>
      <c r="D32" s="213"/>
      <c r="E32" s="213"/>
      <c r="F32" s="88"/>
      <c r="G32" s="257"/>
      <c r="H32" s="313"/>
    </row>
    <row r="33" spans="1:8" s="83" customFormat="1" ht="23.25" customHeight="1">
      <c r="A33" s="314">
        <v>3</v>
      </c>
      <c r="B33" s="211" t="s">
        <v>70</v>
      </c>
      <c r="C33" s="89"/>
      <c r="D33" s="89"/>
      <c r="E33" s="89"/>
      <c r="F33" s="88"/>
      <c r="G33" s="257"/>
      <c r="H33" s="313"/>
    </row>
    <row r="34" spans="1:8" s="83" customFormat="1" ht="23.25" customHeight="1">
      <c r="A34" s="314">
        <v>4</v>
      </c>
      <c r="B34" s="211" t="s">
        <v>42</v>
      </c>
      <c r="C34" s="89"/>
      <c r="D34" s="89"/>
      <c r="E34" s="89"/>
      <c r="F34" s="315"/>
      <c r="G34" s="257"/>
      <c r="H34" s="313"/>
    </row>
    <row r="35" spans="1:8" s="83" customFormat="1" ht="23.25" customHeight="1">
      <c r="A35" s="84" t="s">
        <v>19</v>
      </c>
      <c r="B35" s="310" t="s">
        <v>48</v>
      </c>
      <c r="C35" s="86">
        <f>C36+C37+C38</f>
        <v>147793</v>
      </c>
      <c r="D35" s="86">
        <f>D36+D37+D38</f>
        <v>153787</v>
      </c>
      <c r="E35" s="86">
        <f>E36+E37+E38</f>
        <v>143180</v>
      </c>
      <c r="F35" s="197">
        <f>F36+F37+F38</f>
        <v>-4613</v>
      </c>
      <c r="G35" s="277">
        <f>E35/D35</f>
        <v>0.93102798025840938</v>
      </c>
      <c r="H35" s="311"/>
    </row>
    <row r="36" spans="1:8" s="83" customFormat="1" ht="23.25" customHeight="1">
      <c r="A36" s="34">
        <v>1</v>
      </c>
      <c r="B36" s="211" t="s">
        <v>139</v>
      </c>
      <c r="C36" s="89">
        <f>C27</f>
        <v>147793</v>
      </c>
      <c r="D36" s="89">
        <f>D27-D37-D38-(2000*20%*90%)-2944</f>
        <v>153787</v>
      </c>
      <c r="E36" s="89">
        <f>E27</f>
        <v>143180</v>
      </c>
      <c r="F36" s="88">
        <f>E36-C36</f>
        <v>-4613</v>
      </c>
      <c r="G36" s="257">
        <f>E36/D36</f>
        <v>0.93102798025840938</v>
      </c>
      <c r="H36" s="313"/>
    </row>
    <row r="37" spans="1:8" s="83" customFormat="1" ht="23.25" customHeight="1">
      <c r="A37" s="34">
        <v>2</v>
      </c>
      <c r="B37" s="211" t="s">
        <v>201</v>
      </c>
      <c r="C37" s="89"/>
      <c r="D37" s="89"/>
      <c r="E37" s="89"/>
      <c r="F37" s="88"/>
      <c r="G37" s="257"/>
      <c r="H37" s="313"/>
    </row>
    <row r="38" spans="1:8" s="83" customFormat="1" ht="23.25" customHeight="1">
      <c r="A38" s="34">
        <v>3</v>
      </c>
      <c r="B38" s="211" t="s">
        <v>64</v>
      </c>
      <c r="C38" s="89"/>
      <c r="D38" s="89"/>
      <c r="E38" s="89"/>
      <c r="F38" s="88"/>
      <c r="G38" s="257"/>
      <c r="H38" s="313"/>
    </row>
    <row r="39" spans="1:8" ht="18.75">
      <c r="A39" s="83"/>
      <c r="B39" s="83"/>
      <c r="C39" s="307"/>
      <c r="D39" s="307"/>
      <c r="E39" s="307"/>
      <c r="F39" s="83"/>
      <c r="G39" s="83"/>
      <c r="H39" s="83"/>
    </row>
    <row r="40" spans="1:8" ht="18.75">
      <c r="A40" s="83"/>
      <c r="B40" s="83"/>
      <c r="C40" s="307"/>
      <c r="D40" s="307"/>
      <c r="E40" s="307"/>
      <c r="F40" s="83"/>
      <c r="G40" s="83"/>
      <c r="H40" s="83"/>
    </row>
    <row r="41" spans="1:8" ht="18.75">
      <c r="A41" s="83"/>
      <c r="B41" s="83"/>
      <c r="C41" s="307"/>
      <c r="D41" s="307"/>
      <c r="E41" s="307"/>
      <c r="F41" s="83"/>
      <c r="G41" s="83"/>
      <c r="H41" s="83"/>
    </row>
    <row r="42" spans="1:8" ht="18.75">
      <c r="A42" s="83"/>
      <c r="B42" s="83"/>
      <c r="C42" s="307"/>
      <c r="D42" s="307"/>
      <c r="E42" s="307"/>
      <c r="F42" s="83"/>
      <c r="G42" s="83"/>
      <c r="H42" s="83"/>
    </row>
    <row r="43" spans="1:8" ht="22.5" customHeight="1">
      <c r="A43" s="83"/>
      <c r="B43" s="83"/>
      <c r="C43" s="307"/>
      <c r="D43" s="307"/>
      <c r="E43" s="307"/>
      <c r="F43" s="83"/>
      <c r="G43" s="83"/>
      <c r="H43" s="83"/>
    </row>
    <row r="44" spans="1:8" ht="18.75">
      <c r="A44" s="83"/>
      <c r="B44" s="83"/>
      <c r="C44" s="307"/>
      <c r="D44" s="307"/>
      <c r="E44" s="307"/>
      <c r="F44" s="83"/>
      <c r="G44" s="83"/>
      <c r="H44" s="83"/>
    </row>
    <row r="45" spans="1:8" ht="18.75">
      <c r="A45" s="83"/>
      <c r="B45" s="83"/>
      <c r="C45" s="307"/>
      <c r="D45" s="307"/>
      <c r="E45" s="307"/>
      <c r="F45" s="83"/>
      <c r="G45" s="83"/>
      <c r="H45" s="83"/>
    </row>
    <row r="46" spans="1:8" ht="18.75">
      <c r="A46" s="83"/>
      <c r="B46" s="83"/>
      <c r="C46" s="307"/>
      <c r="D46" s="307"/>
      <c r="E46" s="307"/>
      <c r="F46" s="83"/>
      <c r="G46" s="83"/>
      <c r="H46" s="83"/>
    </row>
    <row r="47" spans="1:8" ht="18.75">
      <c r="A47" s="83"/>
      <c r="B47" s="83"/>
      <c r="C47" s="307"/>
      <c r="D47" s="307"/>
      <c r="E47" s="307"/>
      <c r="F47" s="83"/>
      <c r="G47" s="83"/>
      <c r="H47" s="83"/>
    </row>
  </sheetData>
  <mergeCells count="12">
    <mergeCell ref="A2:G2"/>
    <mergeCell ref="A3:G3"/>
    <mergeCell ref="A4:G4"/>
    <mergeCell ref="F5:G5"/>
    <mergeCell ref="A6:A8"/>
    <mergeCell ref="B6:B8"/>
    <mergeCell ref="C6:C8"/>
    <mergeCell ref="D6:D8"/>
    <mergeCell ref="E6:E8"/>
    <mergeCell ref="F6:G6"/>
    <mergeCell ref="F7:F8"/>
    <mergeCell ref="G7:G8"/>
  </mergeCells>
  <phoneticPr fontId="15" type="noConversion"/>
  <printOptions horizontalCentered="1"/>
  <pageMargins left="0.54" right="0.3" top="0.82" bottom="0.17" header="0.48" footer="0.2"/>
  <pageSetup paperSize="9" scale="77" fitToHeight="0" orientation="portrait" r:id="rId1"/>
  <headerFooter alignWithMargins="0">
    <oddFooter xml:space="preserve">&amp;C&amp;".VnTime,Italic"&amp;8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34"/>
  <sheetViews>
    <sheetView view="pageBreakPreview" zoomScaleNormal="100" zoomScaleSheetLayoutView="100" workbookViewId="0">
      <selection activeCell="J24" sqref="J24"/>
    </sheetView>
  </sheetViews>
  <sheetFormatPr defaultColWidth="9" defaultRowHeight="15"/>
  <cols>
    <col min="1" max="1" width="6" style="31" customWidth="1"/>
    <col min="2" max="2" width="18" style="31" customWidth="1"/>
    <col min="3" max="5" width="9" style="31"/>
    <col min="6" max="6" width="10.77734375" style="31" customWidth="1"/>
    <col min="7" max="9" width="9" style="31"/>
    <col min="10" max="10" width="11" style="31" customWidth="1"/>
    <col min="11" max="13" width="9" style="31"/>
    <col min="14" max="14" width="10.88671875" style="31" customWidth="1"/>
    <col min="15" max="16384" width="9" style="31"/>
  </cols>
  <sheetData>
    <row r="1" spans="1:14" s="22" customFormat="1" ht="19.5" customHeight="1">
      <c r="A1" s="41"/>
      <c r="B1" s="54"/>
      <c r="C1" s="56"/>
      <c r="D1" s="56"/>
      <c r="E1" s="802"/>
      <c r="F1" s="802"/>
      <c r="G1" s="802"/>
      <c r="H1" s="802"/>
      <c r="I1" s="802"/>
      <c r="J1" s="802"/>
      <c r="K1" s="41"/>
      <c r="L1" s="41"/>
      <c r="M1" s="41"/>
      <c r="N1" s="57" t="s">
        <v>220</v>
      </c>
    </row>
    <row r="2" spans="1:14" s="22" customFormat="1" ht="19.5" customHeight="1">
      <c r="A2" s="803" t="s">
        <v>844</v>
      </c>
      <c r="B2" s="803"/>
      <c r="C2" s="803"/>
      <c r="D2" s="803"/>
      <c r="E2" s="803"/>
      <c r="F2" s="803"/>
      <c r="G2" s="803"/>
      <c r="H2" s="803"/>
      <c r="I2" s="803"/>
      <c r="J2" s="803"/>
      <c r="K2" s="803"/>
      <c r="L2" s="803"/>
      <c r="M2" s="803"/>
      <c r="N2" s="803"/>
    </row>
    <row r="3" spans="1:14" s="22" customFormat="1" ht="18" customHeight="1">
      <c r="A3" s="804" t="str">
        <f>'PL30-H+X'!A4</f>
        <v xml:space="preserve"> Biểu kèm theo Báo cáo số 99/BC-BKTXH ngày 12/12/2024 của Ban KT-XH,HĐND huyện Tuần Giáo</v>
      </c>
      <c r="B3" s="804"/>
      <c r="C3" s="804"/>
      <c r="D3" s="804"/>
      <c r="E3" s="804"/>
      <c r="F3" s="804"/>
      <c r="G3" s="804"/>
      <c r="H3" s="804"/>
      <c r="I3" s="804"/>
      <c r="J3" s="804"/>
      <c r="K3" s="804"/>
      <c r="L3" s="804"/>
      <c r="M3" s="804"/>
      <c r="N3" s="804"/>
    </row>
    <row r="4" spans="1:14" s="22" customFormat="1" ht="18.75" customHeight="1">
      <c r="A4" s="41"/>
      <c r="B4" s="71"/>
      <c r="C4" s="71"/>
      <c r="D4" s="71"/>
      <c r="E4" s="71"/>
      <c r="F4" s="71"/>
      <c r="G4" s="71"/>
      <c r="H4" s="71"/>
      <c r="I4" s="71"/>
      <c r="J4" s="71"/>
      <c r="K4" s="41"/>
      <c r="L4" s="41"/>
      <c r="M4" s="801" t="s">
        <v>87</v>
      </c>
      <c r="N4" s="801"/>
    </row>
    <row r="5" spans="1:14" ht="23.25" customHeight="1">
      <c r="A5" s="795" t="s">
        <v>58</v>
      </c>
      <c r="B5" s="795" t="s">
        <v>222</v>
      </c>
      <c r="C5" s="795" t="s">
        <v>707</v>
      </c>
      <c r="D5" s="795"/>
      <c r="E5" s="795"/>
      <c r="F5" s="795"/>
      <c r="G5" s="795" t="s">
        <v>708</v>
      </c>
      <c r="H5" s="795"/>
      <c r="I5" s="795"/>
      <c r="J5" s="795"/>
      <c r="K5" s="795" t="s">
        <v>91</v>
      </c>
      <c r="L5" s="795"/>
      <c r="M5" s="795"/>
      <c r="N5" s="795"/>
    </row>
    <row r="6" spans="1:14" ht="23.25" customHeight="1">
      <c r="A6" s="795"/>
      <c r="B6" s="795"/>
      <c r="C6" s="795" t="s">
        <v>76</v>
      </c>
      <c r="D6" s="795" t="s">
        <v>45</v>
      </c>
      <c r="E6" s="795"/>
      <c r="F6" s="795"/>
      <c r="G6" s="795" t="s">
        <v>211</v>
      </c>
      <c r="H6" s="795" t="s">
        <v>45</v>
      </c>
      <c r="I6" s="795"/>
      <c r="J6" s="795"/>
      <c r="K6" s="795" t="s">
        <v>76</v>
      </c>
      <c r="L6" s="795" t="s">
        <v>45</v>
      </c>
      <c r="M6" s="795"/>
      <c r="N6" s="795"/>
    </row>
    <row r="7" spans="1:14" ht="53.25" customHeight="1">
      <c r="A7" s="795"/>
      <c r="B7" s="795"/>
      <c r="C7" s="795"/>
      <c r="D7" s="163" t="s">
        <v>10</v>
      </c>
      <c r="E7" s="163" t="s">
        <v>212</v>
      </c>
      <c r="F7" s="163" t="s">
        <v>213</v>
      </c>
      <c r="G7" s="795"/>
      <c r="H7" s="163" t="s">
        <v>10</v>
      </c>
      <c r="I7" s="163" t="s">
        <v>214</v>
      </c>
      <c r="J7" s="163" t="s">
        <v>215</v>
      </c>
      <c r="K7" s="795"/>
      <c r="L7" s="163" t="s">
        <v>10</v>
      </c>
      <c r="M7" s="163" t="s">
        <v>214</v>
      </c>
      <c r="N7" s="163" t="s">
        <v>215</v>
      </c>
    </row>
    <row r="8" spans="1:14" s="33" customFormat="1" ht="17.25" customHeight="1">
      <c r="A8" s="32" t="s">
        <v>8</v>
      </c>
      <c r="B8" s="32" t="s">
        <v>9</v>
      </c>
      <c r="C8" s="32">
        <v>1</v>
      </c>
      <c r="D8" s="32">
        <v>2</v>
      </c>
      <c r="E8" s="32">
        <v>3</v>
      </c>
      <c r="F8" s="32">
        <v>4</v>
      </c>
      <c r="G8" s="32">
        <v>5</v>
      </c>
      <c r="H8" s="32">
        <v>6</v>
      </c>
      <c r="I8" s="32">
        <v>7</v>
      </c>
      <c r="J8" s="32">
        <v>8</v>
      </c>
      <c r="K8" s="32" t="s">
        <v>216</v>
      </c>
      <c r="L8" s="32" t="s">
        <v>217</v>
      </c>
      <c r="M8" s="32" t="s">
        <v>218</v>
      </c>
      <c r="N8" s="32" t="s">
        <v>219</v>
      </c>
    </row>
    <row r="9" spans="1:14" ht="19.5" customHeight="1">
      <c r="A9" s="50"/>
      <c r="B9" s="66" t="s">
        <v>28</v>
      </c>
      <c r="C9" s="63">
        <f>SUM(C10:C28)</f>
        <v>4025</v>
      </c>
      <c r="D9" s="63">
        <f>SUM(D10:D28)</f>
        <v>4025</v>
      </c>
      <c r="E9" s="63">
        <f t="shared" ref="E9:J9" si="0">SUM(E10:E28)</f>
        <v>0</v>
      </c>
      <c r="F9" s="63">
        <f t="shared" si="0"/>
        <v>0</v>
      </c>
      <c r="G9" s="63">
        <f t="shared" si="0"/>
        <v>4525</v>
      </c>
      <c r="H9" s="63">
        <f t="shared" si="0"/>
        <v>4525</v>
      </c>
      <c r="I9" s="63">
        <f t="shared" si="0"/>
        <v>0</v>
      </c>
      <c r="J9" s="63">
        <f t="shared" si="0"/>
        <v>0</v>
      </c>
      <c r="K9" s="76">
        <f>G9/C9</f>
        <v>1.1242236024844721</v>
      </c>
      <c r="L9" s="76">
        <f>H9/D9</f>
        <v>1.1242236024844721</v>
      </c>
      <c r="M9" s="74"/>
      <c r="N9" s="74"/>
    </row>
    <row r="10" spans="1:14" ht="19.5" customHeight="1">
      <c r="A10" s="75">
        <v>1</v>
      </c>
      <c r="B10" s="62" t="s">
        <v>262</v>
      </c>
      <c r="C10" s="62">
        <f>SUM(D10:F10)</f>
        <v>80</v>
      </c>
      <c r="D10" s="62">
        <v>80</v>
      </c>
      <c r="E10" s="62"/>
      <c r="F10" s="62"/>
      <c r="G10" s="62">
        <f>SUM(H10:J10)</f>
        <v>80</v>
      </c>
      <c r="H10" s="62">
        <f>+'Chi xã,TT 2025'!D7</f>
        <v>80</v>
      </c>
      <c r="I10" s="62"/>
      <c r="J10" s="62"/>
      <c r="K10" s="76">
        <f>G10/C10</f>
        <v>1</v>
      </c>
      <c r="L10" s="76">
        <f>H10/D10</f>
        <v>1</v>
      </c>
      <c r="M10" s="76"/>
      <c r="N10" s="76"/>
    </row>
    <row r="11" spans="1:14" ht="19.5" customHeight="1">
      <c r="A11" s="75">
        <v>2</v>
      </c>
      <c r="B11" s="62" t="s">
        <v>263</v>
      </c>
      <c r="C11" s="62">
        <f t="shared" ref="C11:C28" si="1">SUM(D11:F11)</f>
        <v>18</v>
      </c>
      <c r="D11" s="62">
        <v>18</v>
      </c>
      <c r="E11" s="62"/>
      <c r="F11" s="62"/>
      <c r="G11" s="62">
        <f t="shared" ref="G11:G28" si="2">SUM(H11:J11)</f>
        <v>18</v>
      </c>
      <c r="H11" s="62">
        <f>+'Chi xã,TT 2025'!E7</f>
        <v>18</v>
      </c>
      <c r="I11" s="62"/>
      <c r="J11" s="62"/>
      <c r="K11" s="76">
        <f t="shared" ref="K11:L28" si="3">G11/C11</f>
        <v>1</v>
      </c>
      <c r="L11" s="76">
        <f t="shared" si="3"/>
        <v>1</v>
      </c>
      <c r="M11" s="76"/>
      <c r="N11" s="76"/>
    </row>
    <row r="12" spans="1:14" ht="19.5" customHeight="1">
      <c r="A12" s="75">
        <v>3</v>
      </c>
      <c r="B12" s="62" t="s">
        <v>264</v>
      </c>
      <c r="C12" s="62">
        <f t="shared" si="1"/>
        <v>45</v>
      </c>
      <c r="D12" s="62">
        <v>45</v>
      </c>
      <c r="E12" s="62"/>
      <c r="F12" s="62"/>
      <c r="G12" s="62">
        <f t="shared" si="2"/>
        <v>45</v>
      </c>
      <c r="H12" s="62">
        <f>+'Chi xã,TT 2025'!F7</f>
        <v>45</v>
      </c>
      <c r="I12" s="62"/>
      <c r="J12" s="62"/>
      <c r="K12" s="76">
        <f t="shared" si="3"/>
        <v>1</v>
      </c>
      <c r="L12" s="76">
        <f t="shared" si="3"/>
        <v>1</v>
      </c>
      <c r="M12" s="76"/>
      <c r="N12" s="76"/>
    </row>
    <row r="13" spans="1:14" ht="19.5" customHeight="1">
      <c r="A13" s="75">
        <v>4</v>
      </c>
      <c r="B13" s="62" t="s">
        <v>265</v>
      </c>
      <c r="C13" s="62">
        <f t="shared" si="1"/>
        <v>50</v>
      </c>
      <c r="D13" s="62">
        <v>50</v>
      </c>
      <c r="E13" s="62"/>
      <c r="F13" s="62"/>
      <c r="G13" s="62">
        <f t="shared" si="2"/>
        <v>50</v>
      </c>
      <c r="H13" s="62">
        <f>+'Chi xã,TT 2025'!G7</f>
        <v>50</v>
      </c>
      <c r="I13" s="62"/>
      <c r="J13" s="62"/>
      <c r="K13" s="76">
        <f t="shared" si="3"/>
        <v>1</v>
      </c>
      <c r="L13" s="76">
        <f t="shared" si="3"/>
        <v>1</v>
      </c>
      <c r="M13" s="76"/>
      <c r="N13" s="76"/>
    </row>
    <row r="14" spans="1:14" ht="19.5" customHeight="1">
      <c r="A14" s="75">
        <v>5</v>
      </c>
      <c r="B14" s="62" t="s">
        <v>266</v>
      </c>
      <c r="C14" s="62">
        <f t="shared" si="1"/>
        <v>35</v>
      </c>
      <c r="D14" s="62">
        <v>35</v>
      </c>
      <c r="E14" s="62"/>
      <c r="F14" s="62"/>
      <c r="G14" s="62">
        <f t="shared" si="2"/>
        <v>35</v>
      </c>
      <c r="H14" s="62">
        <f>+'Chi xã,TT 2025'!H7</f>
        <v>35</v>
      </c>
      <c r="I14" s="62"/>
      <c r="J14" s="62"/>
      <c r="K14" s="76">
        <f t="shared" si="3"/>
        <v>1</v>
      </c>
      <c r="L14" s="76">
        <f t="shared" si="3"/>
        <v>1</v>
      </c>
      <c r="M14" s="76"/>
      <c r="N14" s="76"/>
    </row>
    <row r="15" spans="1:14" ht="19.5" customHeight="1">
      <c r="A15" s="75">
        <v>6</v>
      </c>
      <c r="B15" s="62" t="s">
        <v>578</v>
      </c>
      <c r="C15" s="62">
        <f t="shared" si="1"/>
        <v>3445</v>
      </c>
      <c r="D15" s="62">
        <f>3085+(2000*20%*90%)</f>
        <v>3445</v>
      </c>
      <c r="E15" s="62"/>
      <c r="F15" s="62"/>
      <c r="G15" s="62">
        <f t="shared" si="2"/>
        <v>3945</v>
      </c>
      <c r="H15" s="62">
        <f>+'Chi xã,TT 2025'!I7</f>
        <v>3945</v>
      </c>
      <c r="I15" s="62"/>
      <c r="J15" s="62"/>
      <c r="K15" s="76">
        <f t="shared" si="3"/>
        <v>1.1451378809869377</v>
      </c>
      <c r="L15" s="76">
        <f t="shared" si="3"/>
        <v>1.1451378809869377</v>
      </c>
      <c r="M15" s="76"/>
      <c r="N15" s="76"/>
    </row>
    <row r="16" spans="1:14" ht="19.5" customHeight="1">
      <c r="A16" s="75">
        <v>7</v>
      </c>
      <c r="B16" s="62" t="s">
        <v>267</v>
      </c>
      <c r="C16" s="62">
        <f t="shared" si="1"/>
        <v>65</v>
      </c>
      <c r="D16" s="62">
        <v>65</v>
      </c>
      <c r="E16" s="62"/>
      <c r="F16" s="62"/>
      <c r="G16" s="62">
        <f t="shared" si="2"/>
        <v>65</v>
      </c>
      <c r="H16" s="62">
        <f>+'Chi xã,TT 2025'!J7</f>
        <v>65</v>
      </c>
      <c r="I16" s="62"/>
      <c r="J16" s="62"/>
      <c r="K16" s="76">
        <f t="shared" si="3"/>
        <v>1</v>
      </c>
      <c r="L16" s="76">
        <f t="shared" si="3"/>
        <v>1</v>
      </c>
      <c r="M16" s="76"/>
      <c r="N16" s="76"/>
    </row>
    <row r="17" spans="1:14" ht="19.5" customHeight="1">
      <c r="A17" s="75">
        <v>8</v>
      </c>
      <c r="B17" s="62" t="s">
        <v>268</v>
      </c>
      <c r="C17" s="62">
        <f t="shared" si="1"/>
        <v>25</v>
      </c>
      <c r="D17" s="62">
        <v>25</v>
      </c>
      <c r="E17" s="62"/>
      <c r="F17" s="62"/>
      <c r="G17" s="62">
        <f t="shared" si="2"/>
        <v>25</v>
      </c>
      <c r="H17" s="62">
        <f>+'Chi xã,TT 2025'!K7</f>
        <v>25</v>
      </c>
      <c r="I17" s="62"/>
      <c r="J17" s="62"/>
      <c r="K17" s="76">
        <f t="shared" si="3"/>
        <v>1</v>
      </c>
      <c r="L17" s="76">
        <f t="shared" si="3"/>
        <v>1</v>
      </c>
      <c r="M17" s="76"/>
      <c r="N17" s="76"/>
    </row>
    <row r="18" spans="1:14" ht="19.5" customHeight="1">
      <c r="A18" s="75">
        <v>9</v>
      </c>
      <c r="B18" s="62" t="s">
        <v>269</v>
      </c>
      <c r="C18" s="62">
        <f t="shared" si="1"/>
        <v>35</v>
      </c>
      <c r="D18" s="62">
        <v>35</v>
      </c>
      <c r="E18" s="62"/>
      <c r="F18" s="62"/>
      <c r="G18" s="62">
        <f t="shared" si="2"/>
        <v>35</v>
      </c>
      <c r="H18" s="62">
        <f>+'Chi xã,TT 2025'!L7</f>
        <v>35</v>
      </c>
      <c r="I18" s="62"/>
      <c r="J18" s="62"/>
      <c r="K18" s="76">
        <f t="shared" si="3"/>
        <v>1</v>
      </c>
      <c r="L18" s="76">
        <f t="shared" si="3"/>
        <v>1</v>
      </c>
      <c r="M18" s="76"/>
      <c r="N18" s="76"/>
    </row>
    <row r="19" spans="1:14" ht="19.5" customHeight="1">
      <c r="A19" s="75">
        <v>10</v>
      </c>
      <c r="B19" s="62" t="s">
        <v>270</v>
      </c>
      <c r="C19" s="62">
        <f t="shared" si="1"/>
        <v>15</v>
      </c>
      <c r="D19" s="62">
        <v>15</v>
      </c>
      <c r="E19" s="62"/>
      <c r="F19" s="62"/>
      <c r="G19" s="62">
        <f t="shared" si="2"/>
        <v>15</v>
      </c>
      <c r="H19" s="62">
        <f>+'Chi xã,TT 2025'!M7</f>
        <v>15</v>
      </c>
      <c r="I19" s="62"/>
      <c r="J19" s="62"/>
      <c r="K19" s="76">
        <f t="shared" si="3"/>
        <v>1</v>
      </c>
      <c r="L19" s="76">
        <f t="shared" si="3"/>
        <v>1</v>
      </c>
      <c r="M19" s="76"/>
      <c r="N19" s="76"/>
    </row>
    <row r="20" spans="1:14" ht="19.5" customHeight="1">
      <c r="A20" s="75">
        <v>11</v>
      </c>
      <c r="B20" s="62" t="s">
        <v>271</v>
      </c>
      <c r="C20" s="62">
        <f t="shared" si="1"/>
        <v>25</v>
      </c>
      <c r="D20" s="62">
        <v>25</v>
      </c>
      <c r="E20" s="62"/>
      <c r="F20" s="62"/>
      <c r="G20" s="62">
        <f t="shared" si="2"/>
        <v>25</v>
      </c>
      <c r="H20" s="62">
        <f>+'Chi xã,TT 2025'!N7</f>
        <v>25</v>
      </c>
      <c r="I20" s="62"/>
      <c r="J20" s="62"/>
      <c r="K20" s="76">
        <f t="shared" si="3"/>
        <v>1</v>
      </c>
      <c r="L20" s="76">
        <f t="shared" si="3"/>
        <v>1</v>
      </c>
      <c r="M20" s="76"/>
      <c r="N20" s="76"/>
    </row>
    <row r="21" spans="1:14" ht="19.5" customHeight="1">
      <c r="A21" s="75">
        <v>12</v>
      </c>
      <c r="B21" s="62" t="s">
        <v>272</v>
      </c>
      <c r="C21" s="62">
        <f t="shared" si="1"/>
        <v>17</v>
      </c>
      <c r="D21" s="62">
        <v>17</v>
      </c>
      <c r="E21" s="62"/>
      <c r="F21" s="62"/>
      <c r="G21" s="62">
        <f t="shared" si="2"/>
        <v>17</v>
      </c>
      <c r="H21" s="62">
        <f>+'Chi xã,TT 2025'!O7</f>
        <v>17</v>
      </c>
      <c r="I21" s="62"/>
      <c r="J21" s="62"/>
      <c r="K21" s="76">
        <f t="shared" si="3"/>
        <v>1</v>
      </c>
      <c r="L21" s="76">
        <f t="shared" si="3"/>
        <v>1</v>
      </c>
      <c r="M21" s="76"/>
      <c r="N21" s="76"/>
    </row>
    <row r="22" spans="1:14" ht="19.5" customHeight="1">
      <c r="A22" s="75">
        <v>13</v>
      </c>
      <c r="B22" s="62" t="s">
        <v>273</v>
      </c>
      <c r="C22" s="62">
        <f t="shared" si="1"/>
        <v>15</v>
      </c>
      <c r="D22" s="62">
        <v>15</v>
      </c>
      <c r="E22" s="62"/>
      <c r="F22" s="62"/>
      <c r="G22" s="62">
        <f t="shared" si="2"/>
        <v>15</v>
      </c>
      <c r="H22" s="62">
        <f>+'Chi xã,TT 2025'!P7</f>
        <v>15</v>
      </c>
      <c r="I22" s="62"/>
      <c r="J22" s="62"/>
      <c r="K22" s="76">
        <f t="shared" si="3"/>
        <v>1</v>
      </c>
      <c r="L22" s="76">
        <f t="shared" si="3"/>
        <v>1</v>
      </c>
      <c r="M22" s="76"/>
      <c r="N22" s="76"/>
    </row>
    <row r="23" spans="1:14" ht="19.5" customHeight="1">
      <c r="A23" s="75">
        <v>14</v>
      </c>
      <c r="B23" s="62" t="s">
        <v>274</v>
      </c>
      <c r="C23" s="62">
        <f t="shared" si="1"/>
        <v>20</v>
      </c>
      <c r="D23" s="62">
        <v>20</v>
      </c>
      <c r="E23" s="62"/>
      <c r="F23" s="62"/>
      <c r="G23" s="62">
        <f t="shared" si="2"/>
        <v>20</v>
      </c>
      <c r="H23" s="62">
        <f>+'Chi xã,TT 2025'!Q7</f>
        <v>20</v>
      </c>
      <c r="I23" s="62"/>
      <c r="J23" s="62"/>
      <c r="K23" s="76">
        <f t="shared" si="3"/>
        <v>1</v>
      </c>
      <c r="L23" s="76">
        <f t="shared" si="3"/>
        <v>1</v>
      </c>
      <c r="M23" s="76"/>
      <c r="N23" s="76"/>
    </row>
    <row r="24" spans="1:14" ht="19.5" customHeight="1">
      <c r="A24" s="75">
        <v>15</v>
      </c>
      <c r="B24" s="62" t="s">
        <v>275</v>
      </c>
      <c r="C24" s="62">
        <f t="shared" si="1"/>
        <v>15</v>
      </c>
      <c r="D24" s="62">
        <v>15</v>
      </c>
      <c r="E24" s="62"/>
      <c r="F24" s="62"/>
      <c r="G24" s="62">
        <f t="shared" si="2"/>
        <v>15</v>
      </c>
      <c r="H24" s="62">
        <f>+'Chi xã,TT 2025'!R7</f>
        <v>15</v>
      </c>
      <c r="I24" s="62"/>
      <c r="J24" s="62"/>
      <c r="K24" s="76">
        <f t="shared" si="3"/>
        <v>1</v>
      </c>
      <c r="L24" s="76">
        <f t="shared" si="3"/>
        <v>1</v>
      </c>
      <c r="M24" s="76"/>
      <c r="N24" s="76"/>
    </row>
    <row r="25" spans="1:14" ht="19.5" customHeight="1">
      <c r="A25" s="75">
        <v>16</v>
      </c>
      <c r="B25" s="62" t="s">
        <v>276</v>
      </c>
      <c r="C25" s="62">
        <f t="shared" si="1"/>
        <v>15</v>
      </c>
      <c r="D25" s="62">
        <v>15</v>
      </c>
      <c r="E25" s="62"/>
      <c r="F25" s="62"/>
      <c r="G25" s="62">
        <f t="shared" si="2"/>
        <v>15</v>
      </c>
      <c r="H25" s="88">
        <f>+'Chi xã,TT 2025'!S7</f>
        <v>15</v>
      </c>
      <c r="I25" s="62"/>
      <c r="J25" s="62"/>
      <c r="K25" s="76">
        <f t="shared" si="3"/>
        <v>1</v>
      </c>
      <c r="L25" s="76">
        <f t="shared" si="3"/>
        <v>1</v>
      </c>
      <c r="M25" s="76"/>
      <c r="N25" s="76"/>
    </row>
    <row r="26" spans="1:14" ht="19.5" customHeight="1">
      <c r="A26" s="75">
        <v>17</v>
      </c>
      <c r="B26" s="62" t="s">
        <v>277</v>
      </c>
      <c r="C26" s="62">
        <f t="shared" si="1"/>
        <v>20</v>
      </c>
      <c r="D26" s="62">
        <v>20</v>
      </c>
      <c r="E26" s="62"/>
      <c r="F26" s="62"/>
      <c r="G26" s="62">
        <f t="shared" si="2"/>
        <v>20</v>
      </c>
      <c r="H26" s="88">
        <f>+'Chi xã,TT 2025'!T7</f>
        <v>20</v>
      </c>
      <c r="I26" s="62"/>
      <c r="J26" s="62"/>
      <c r="K26" s="76">
        <f t="shared" si="3"/>
        <v>1</v>
      </c>
      <c r="L26" s="76">
        <f t="shared" si="3"/>
        <v>1</v>
      </c>
      <c r="M26" s="76"/>
      <c r="N26" s="76"/>
    </row>
    <row r="27" spans="1:14" ht="19.5" customHeight="1">
      <c r="A27" s="75">
        <v>18</v>
      </c>
      <c r="B27" s="62" t="s">
        <v>278</v>
      </c>
      <c r="C27" s="62">
        <f t="shared" si="1"/>
        <v>65</v>
      </c>
      <c r="D27" s="62">
        <v>65</v>
      </c>
      <c r="E27" s="62"/>
      <c r="F27" s="62"/>
      <c r="G27" s="62">
        <f t="shared" si="2"/>
        <v>65</v>
      </c>
      <c r="H27" s="88">
        <f>+'Chi xã,TT 2025'!U7</f>
        <v>65</v>
      </c>
      <c r="I27" s="62"/>
      <c r="J27" s="62"/>
      <c r="K27" s="76">
        <f t="shared" si="3"/>
        <v>1</v>
      </c>
      <c r="L27" s="76">
        <f t="shared" si="3"/>
        <v>1</v>
      </c>
      <c r="M27" s="76"/>
      <c r="N27" s="76"/>
    </row>
    <row r="28" spans="1:14" ht="19.5" customHeight="1">
      <c r="A28" s="75">
        <v>19</v>
      </c>
      <c r="B28" s="62" t="s">
        <v>279</v>
      </c>
      <c r="C28" s="62">
        <f t="shared" si="1"/>
        <v>20</v>
      </c>
      <c r="D28" s="62">
        <v>20</v>
      </c>
      <c r="E28" s="62"/>
      <c r="F28" s="62"/>
      <c r="G28" s="62">
        <f t="shared" si="2"/>
        <v>20</v>
      </c>
      <c r="H28" s="88">
        <f>+'Chi xã,TT 2025'!V7</f>
        <v>20</v>
      </c>
      <c r="I28" s="62"/>
      <c r="J28" s="62"/>
      <c r="K28" s="76">
        <f t="shared" si="3"/>
        <v>1</v>
      </c>
      <c r="L28" s="76">
        <f t="shared" si="3"/>
        <v>1</v>
      </c>
      <c r="M28" s="76"/>
      <c r="N28" s="76"/>
    </row>
    <row r="29" spans="1:14" ht="15.75" hidden="1">
      <c r="A29" s="149"/>
      <c r="B29" s="150"/>
      <c r="C29" s="149"/>
      <c r="D29" s="149"/>
      <c r="E29" s="149"/>
      <c r="F29" s="149"/>
      <c r="G29" s="149"/>
      <c r="H29" s="149"/>
      <c r="I29" s="149"/>
      <c r="J29" s="149"/>
      <c r="K29" s="149"/>
      <c r="L29" s="149"/>
      <c r="M29" s="149"/>
      <c r="N29" s="151"/>
    </row>
    <row r="30" spans="1:14" s="22" customFormat="1" ht="19.5" hidden="1" customHeight="1">
      <c r="A30" s="799" t="s">
        <v>308</v>
      </c>
      <c r="B30" s="799"/>
      <c r="C30" s="799"/>
      <c r="D30" s="799"/>
      <c r="E30" s="799"/>
      <c r="F30" s="799"/>
      <c r="G30" s="799"/>
      <c r="H30" s="799"/>
      <c r="I30" s="799"/>
      <c r="J30" s="799"/>
      <c r="K30" s="799"/>
      <c r="L30" s="799"/>
      <c r="M30" s="799"/>
      <c r="N30" s="799"/>
    </row>
    <row r="31" spans="1:14" s="22" customFormat="1" ht="19.5" hidden="1" customHeight="1">
      <c r="A31" s="800" t="s">
        <v>221</v>
      </c>
      <c r="B31" s="800"/>
      <c r="C31" s="800"/>
      <c r="D31" s="800"/>
      <c r="E31" s="800"/>
      <c r="F31" s="800"/>
      <c r="G31" s="800"/>
      <c r="H31" s="800"/>
      <c r="I31" s="800"/>
      <c r="J31" s="800"/>
      <c r="K31" s="800"/>
      <c r="L31" s="800"/>
      <c r="M31" s="800"/>
      <c r="N31" s="800"/>
    </row>
    <row r="32" spans="1:14" s="22" customFormat="1" ht="15.75" hidden="1"/>
    <row r="33" hidden="1"/>
    <row r="34" hidden="1"/>
  </sheetData>
  <mergeCells count="17">
    <mergeCell ref="H6:J6"/>
    <mergeCell ref="K6:K7"/>
    <mergeCell ref="A30:N30"/>
    <mergeCell ref="A31:N31"/>
    <mergeCell ref="M4:N4"/>
    <mergeCell ref="E1:J1"/>
    <mergeCell ref="A2:N2"/>
    <mergeCell ref="A3:N3"/>
    <mergeCell ref="L6:N6"/>
    <mergeCell ref="A5:A7"/>
    <mergeCell ref="B5:B7"/>
    <mergeCell ref="C5:F5"/>
    <mergeCell ref="G5:J5"/>
    <mergeCell ref="K5:N5"/>
    <mergeCell ref="C6:C7"/>
    <mergeCell ref="D6:F6"/>
    <mergeCell ref="G6:G7"/>
  </mergeCells>
  <pageMargins left="0.55000000000000004" right="0.19685039370078741" top="0.27559055118110237" bottom="0.35433070866141736" header="0.19685039370078741" footer="0.31496062992125984"/>
  <pageSetup paperSize="9" scale="8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Y41"/>
  <sheetViews>
    <sheetView view="pageBreakPreview" topLeftCell="A13" zoomScaleNormal="100" zoomScaleSheetLayoutView="100" workbookViewId="0">
      <selection activeCell="M19" sqref="M19"/>
    </sheetView>
  </sheetViews>
  <sheetFormatPr defaultColWidth="9" defaultRowHeight="15.75"/>
  <cols>
    <col min="1" max="1" width="5.109375" style="79" customWidth="1"/>
    <col min="2" max="2" width="17" style="79" customWidth="1"/>
    <col min="3" max="3" width="10.21875" style="79" customWidth="1"/>
    <col min="4" max="4" width="9.33203125" style="79" customWidth="1"/>
    <col min="5" max="5" width="7.6640625" style="79" customWidth="1"/>
    <col min="6" max="6" width="7" style="79" customWidth="1"/>
    <col min="7" max="7" width="7.44140625" style="79" customWidth="1"/>
    <col min="8" max="8" width="8.88671875" style="79" customWidth="1"/>
    <col min="9" max="9" width="7.21875" style="79" customWidth="1"/>
    <col min="10" max="10" width="8.21875" style="79" customWidth="1"/>
    <col min="11" max="16384" width="9" style="79"/>
  </cols>
  <sheetData>
    <row r="1" spans="1:11" ht="21" customHeight="1">
      <c r="A1" s="77"/>
      <c r="B1" s="77"/>
      <c r="C1" s="78"/>
      <c r="D1" s="78"/>
      <c r="F1" s="80"/>
      <c r="G1" s="80"/>
      <c r="H1" s="80"/>
      <c r="I1" s="80"/>
      <c r="J1" s="81" t="s">
        <v>171</v>
      </c>
    </row>
    <row r="2" spans="1:11" ht="21" customHeight="1">
      <c r="A2" s="785" t="s">
        <v>57</v>
      </c>
      <c r="B2" s="785"/>
      <c r="C2" s="785"/>
      <c r="D2" s="785"/>
      <c r="E2" s="785"/>
      <c r="F2" s="785"/>
      <c r="G2" s="785"/>
      <c r="H2" s="785"/>
      <c r="I2" s="785"/>
      <c r="J2" s="785"/>
    </row>
    <row r="3" spans="1:11" ht="21" customHeight="1">
      <c r="A3" s="785" t="s">
        <v>845</v>
      </c>
      <c r="B3" s="785"/>
      <c r="C3" s="785"/>
      <c r="D3" s="785"/>
      <c r="E3" s="785"/>
      <c r="F3" s="785"/>
      <c r="G3" s="785"/>
      <c r="H3" s="785"/>
      <c r="I3" s="785"/>
      <c r="J3" s="785"/>
    </row>
    <row r="4" spans="1:11" ht="21" customHeight="1">
      <c r="A4" s="788" t="str">
        <f>'PL15'!A3</f>
        <v xml:space="preserve"> Biểu kèm theo Báo cáo số 99/BC-BKTXH ngày 12/12/2024 của Ban KT-XH,HĐND huyện Tuần Giáo</v>
      </c>
      <c r="B4" s="788"/>
      <c r="C4" s="788"/>
      <c r="D4" s="788"/>
      <c r="E4" s="788"/>
      <c r="F4" s="788"/>
      <c r="G4" s="788"/>
      <c r="H4" s="788"/>
      <c r="I4" s="788"/>
      <c r="J4" s="788"/>
    </row>
    <row r="5" spans="1:11" ht="24.75" customHeight="1">
      <c r="A5" s="82"/>
      <c r="B5" s="82"/>
      <c r="C5" s="83"/>
      <c r="D5" s="83"/>
      <c r="E5" s="805" t="s">
        <v>87</v>
      </c>
      <c r="F5" s="805"/>
      <c r="G5" s="805"/>
      <c r="H5" s="805"/>
      <c r="I5" s="805"/>
      <c r="J5" s="805"/>
    </row>
    <row r="6" spans="1:11" s="83" customFormat="1" ht="18.75" customHeight="1">
      <c r="A6" s="806" t="s">
        <v>58</v>
      </c>
      <c r="B6" s="806" t="s">
        <v>29</v>
      </c>
      <c r="C6" s="807" t="s">
        <v>52</v>
      </c>
      <c r="D6" s="807" t="s">
        <v>140</v>
      </c>
      <c r="E6" s="806" t="s">
        <v>45</v>
      </c>
      <c r="F6" s="806"/>
      <c r="G6" s="806"/>
      <c r="H6" s="806"/>
      <c r="I6" s="806"/>
      <c r="J6" s="806"/>
    </row>
    <row r="7" spans="1:11" s="83" customFormat="1" ht="73.5" customHeight="1">
      <c r="A7" s="806"/>
      <c r="B7" s="806"/>
      <c r="C7" s="807"/>
      <c r="D7" s="807"/>
      <c r="E7" s="53" t="s">
        <v>189</v>
      </c>
      <c r="F7" s="53" t="s">
        <v>190</v>
      </c>
      <c r="G7" s="53" t="s">
        <v>191</v>
      </c>
      <c r="H7" s="53" t="s">
        <v>192</v>
      </c>
      <c r="I7" s="53" t="s">
        <v>193</v>
      </c>
      <c r="J7" s="53" t="s">
        <v>194</v>
      </c>
    </row>
    <row r="8" spans="1:11" s="83" customFormat="1" ht="16.5" customHeight="1">
      <c r="A8" s="34" t="s">
        <v>8</v>
      </c>
      <c r="B8" s="34" t="s">
        <v>9</v>
      </c>
      <c r="C8" s="34">
        <v>1</v>
      </c>
      <c r="D8" s="34">
        <f>C8+1</f>
        <v>2</v>
      </c>
      <c r="E8" s="34">
        <v>3</v>
      </c>
      <c r="F8" s="34">
        <f>E8+1</f>
        <v>4</v>
      </c>
      <c r="G8" s="34">
        <f>F8+1</f>
        <v>5</v>
      </c>
      <c r="H8" s="34">
        <f>G8+1</f>
        <v>6</v>
      </c>
      <c r="I8" s="34">
        <f>H8+1</f>
        <v>7</v>
      </c>
      <c r="J8" s="34">
        <f>I8+1</f>
        <v>8</v>
      </c>
    </row>
    <row r="9" spans="1:11" s="83" customFormat="1" ht="27" customHeight="1">
      <c r="A9" s="84"/>
      <c r="B9" s="85" t="s">
        <v>28</v>
      </c>
      <c r="C9" s="86">
        <f>SUM(C10:C28)</f>
        <v>4525</v>
      </c>
      <c r="D9" s="86">
        <f t="shared" ref="D9:J9" si="0">SUM(D10:D28)</f>
        <v>4525</v>
      </c>
      <c r="E9" s="86">
        <f t="shared" si="0"/>
        <v>320</v>
      </c>
      <c r="F9" s="86">
        <f t="shared" si="0"/>
        <v>290</v>
      </c>
      <c r="G9" s="86">
        <f t="shared" si="0"/>
        <v>395</v>
      </c>
      <c r="H9" s="86">
        <f t="shared" si="0"/>
        <v>3240</v>
      </c>
      <c r="I9" s="86">
        <f t="shared" si="0"/>
        <v>180</v>
      </c>
      <c r="J9" s="86">
        <f t="shared" si="0"/>
        <v>100</v>
      </c>
    </row>
    <row r="10" spans="1:11" s="83" customFormat="1" ht="22.5" customHeight="1">
      <c r="A10" s="87">
        <v>1</v>
      </c>
      <c r="B10" s="88" t="s">
        <v>262</v>
      </c>
      <c r="C10" s="89">
        <f>D10</f>
        <v>80</v>
      </c>
      <c r="D10" s="89">
        <f t="shared" ref="D10:D28" si="1">SUM(E10:J10)</f>
        <v>80</v>
      </c>
      <c r="E10" s="89">
        <f>+'Chi xã,TT 2025'!D8</f>
        <v>35</v>
      </c>
      <c r="F10" s="89"/>
      <c r="G10" s="89">
        <f>+'Chi xã,TT 2025'!D10</f>
        <v>25</v>
      </c>
      <c r="H10" s="89"/>
      <c r="I10" s="89">
        <f>'Chi xã,TT 2025'!D12</f>
        <v>10</v>
      </c>
      <c r="J10" s="89">
        <f>'Chi xã,TT 2025'!D13</f>
        <v>10</v>
      </c>
      <c r="K10" s="90"/>
    </row>
    <row r="11" spans="1:11" s="83" customFormat="1" ht="22.5" customHeight="1">
      <c r="A11" s="87">
        <v>2</v>
      </c>
      <c r="B11" s="88" t="s">
        <v>263</v>
      </c>
      <c r="C11" s="89">
        <f t="shared" ref="C11:C28" si="2">D11</f>
        <v>18</v>
      </c>
      <c r="D11" s="89">
        <f t="shared" si="1"/>
        <v>18</v>
      </c>
      <c r="E11" s="62"/>
      <c r="F11" s="62"/>
      <c r="G11" s="89">
        <f>+'Chi xã,TT 2025'!E10</f>
        <v>10</v>
      </c>
      <c r="H11" s="89"/>
      <c r="I11" s="89">
        <f>'Chi xã,TT 2025'!E12</f>
        <v>3</v>
      </c>
      <c r="J11" s="89">
        <f>'Chi xã,TT 2025'!E13</f>
        <v>5</v>
      </c>
      <c r="K11" s="90"/>
    </row>
    <row r="12" spans="1:11" s="83" customFormat="1" ht="22.5" customHeight="1">
      <c r="A12" s="87">
        <v>3</v>
      </c>
      <c r="B12" s="88" t="s">
        <v>264</v>
      </c>
      <c r="C12" s="89">
        <f t="shared" si="2"/>
        <v>45</v>
      </c>
      <c r="D12" s="89">
        <f t="shared" si="1"/>
        <v>45</v>
      </c>
      <c r="E12" s="62">
        <f>+'Chi xã,TT 2025'!F8</f>
        <v>10</v>
      </c>
      <c r="F12" s="62"/>
      <c r="G12" s="89">
        <f>+'Chi xã,TT 2025'!F10</f>
        <v>15</v>
      </c>
      <c r="H12" s="89"/>
      <c r="I12" s="89">
        <f>'Chi xã,TT 2025'!F12</f>
        <v>5</v>
      </c>
      <c r="J12" s="89">
        <f>'Chi xã,TT 2025'!F13</f>
        <v>15</v>
      </c>
      <c r="K12" s="90"/>
    </row>
    <row r="13" spans="1:11" s="83" customFormat="1" ht="22.5" customHeight="1">
      <c r="A13" s="87">
        <v>4</v>
      </c>
      <c r="B13" s="88" t="s">
        <v>265</v>
      </c>
      <c r="C13" s="89">
        <f t="shared" si="2"/>
        <v>50</v>
      </c>
      <c r="D13" s="89">
        <f t="shared" si="1"/>
        <v>50</v>
      </c>
      <c r="E13" s="62">
        <f>+'Chi xã,TT 2025'!G8</f>
        <v>10</v>
      </c>
      <c r="F13" s="62"/>
      <c r="G13" s="89">
        <f>+'Chi xã,TT 2025'!G10</f>
        <v>25</v>
      </c>
      <c r="H13" s="89"/>
      <c r="I13" s="89">
        <f>'Chi xã,TT 2025'!G12</f>
        <v>5</v>
      </c>
      <c r="J13" s="89">
        <f>'Chi xã,TT 2025'!G13</f>
        <v>10</v>
      </c>
      <c r="K13" s="90"/>
    </row>
    <row r="14" spans="1:11" s="83" customFormat="1" ht="22.5" customHeight="1">
      <c r="A14" s="87">
        <v>5</v>
      </c>
      <c r="B14" s="88" t="s">
        <v>266</v>
      </c>
      <c r="C14" s="89">
        <f t="shared" si="2"/>
        <v>35</v>
      </c>
      <c r="D14" s="89">
        <f t="shared" si="1"/>
        <v>35</v>
      </c>
      <c r="E14" s="62">
        <f>+'Chi xã,TT 2025'!H8</f>
        <v>5</v>
      </c>
      <c r="F14" s="62"/>
      <c r="G14" s="89">
        <f>+'Chi xã,TT 2025'!H10</f>
        <v>15</v>
      </c>
      <c r="H14" s="89"/>
      <c r="I14" s="89">
        <f>'Chi xã,TT 2025'!H12</f>
        <v>15</v>
      </c>
      <c r="J14" s="89">
        <f>'Chi xã,TT 2025'!H13</f>
        <v>0</v>
      </c>
      <c r="K14" s="90"/>
    </row>
    <row r="15" spans="1:11" s="83" customFormat="1" ht="22.5" customHeight="1">
      <c r="A15" s="87">
        <v>6</v>
      </c>
      <c r="B15" s="88" t="s">
        <v>578</v>
      </c>
      <c r="C15" s="89">
        <f t="shared" si="2"/>
        <v>3945</v>
      </c>
      <c r="D15" s="89">
        <f t="shared" si="1"/>
        <v>3945</v>
      </c>
      <c r="E15" s="62">
        <f>+'Chi xã,TT 2025'!I8</f>
        <v>225</v>
      </c>
      <c r="F15" s="62">
        <f>+'Chi xã,TT 2025'!I9</f>
        <v>290</v>
      </c>
      <c r="G15" s="89">
        <f>+'Chi xã,TT 2025'!I10</f>
        <v>150</v>
      </c>
      <c r="H15" s="89">
        <f>+'Chi xã,TT 2025'!I11</f>
        <v>3240</v>
      </c>
      <c r="I15" s="89">
        <f>'Chi xã,TT 2025'!I12</f>
        <v>30</v>
      </c>
      <c r="J15" s="89">
        <f>'Chi xã,TT 2025'!I13</f>
        <v>10</v>
      </c>
      <c r="K15" s="90"/>
    </row>
    <row r="16" spans="1:11" s="83" customFormat="1" ht="22.5" customHeight="1">
      <c r="A16" s="87">
        <v>7</v>
      </c>
      <c r="B16" s="88" t="s">
        <v>267</v>
      </c>
      <c r="C16" s="89">
        <f t="shared" si="2"/>
        <v>65</v>
      </c>
      <c r="D16" s="89">
        <f t="shared" si="1"/>
        <v>65</v>
      </c>
      <c r="E16" s="62">
        <f>+'Chi xã,TT 2025'!J8</f>
        <v>10</v>
      </c>
      <c r="F16" s="62"/>
      <c r="G16" s="89">
        <f>+'Chi xã,TT 2025'!J10</f>
        <v>20</v>
      </c>
      <c r="H16" s="89"/>
      <c r="I16" s="89">
        <f>'Chi xã,TT 2025'!J12</f>
        <v>10</v>
      </c>
      <c r="J16" s="89">
        <f>'Chi xã,TT 2025'!J13</f>
        <v>25</v>
      </c>
      <c r="K16" s="90"/>
    </row>
    <row r="17" spans="1:25" s="83" customFormat="1" ht="22.5" customHeight="1">
      <c r="A17" s="87">
        <v>8</v>
      </c>
      <c r="B17" s="88" t="s">
        <v>268</v>
      </c>
      <c r="C17" s="89">
        <f t="shared" si="2"/>
        <v>25</v>
      </c>
      <c r="D17" s="89">
        <f t="shared" si="1"/>
        <v>25</v>
      </c>
      <c r="E17" s="62"/>
      <c r="F17" s="62"/>
      <c r="G17" s="89">
        <f>+'Chi xã,TT 2025'!K10</f>
        <v>20</v>
      </c>
      <c r="H17" s="89"/>
      <c r="I17" s="89">
        <f>'Chi xã,TT 2025'!K12</f>
        <v>5</v>
      </c>
      <c r="J17" s="89">
        <f>'Chi xã,TT 2025'!K13</f>
        <v>0</v>
      </c>
      <c r="K17" s="90"/>
    </row>
    <row r="18" spans="1:25" s="83" customFormat="1" ht="22.5" customHeight="1">
      <c r="A18" s="87">
        <v>9</v>
      </c>
      <c r="B18" s="88" t="s">
        <v>269</v>
      </c>
      <c r="C18" s="89">
        <f t="shared" si="2"/>
        <v>35</v>
      </c>
      <c r="D18" s="89">
        <f t="shared" si="1"/>
        <v>35</v>
      </c>
      <c r="E18" s="62">
        <f>+'Chi xã,TT 2025'!L8</f>
        <v>10</v>
      </c>
      <c r="F18" s="62"/>
      <c r="G18" s="89">
        <f>+'Chi xã,TT 2025'!L10</f>
        <v>15</v>
      </c>
      <c r="H18" s="89"/>
      <c r="I18" s="89">
        <f>'Chi xã,TT 2025'!L12</f>
        <v>10</v>
      </c>
      <c r="J18" s="89">
        <f>'Chi xã,TT 2025'!L13</f>
        <v>0</v>
      </c>
      <c r="K18" s="90"/>
    </row>
    <row r="19" spans="1:25" s="83" customFormat="1" ht="22.5" customHeight="1">
      <c r="A19" s="87">
        <v>10</v>
      </c>
      <c r="B19" s="88" t="s">
        <v>270</v>
      </c>
      <c r="C19" s="89">
        <f t="shared" si="2"/>
        <v>15</v>
      </c>
      <c r="D19" s="89">
        <f t="shared" si="1"/>
        <v>15</v>
      </c>
      <c r="E19" s="62"/>
      <c r="F19" s="62"/>
      <c r="G19" s="89">
        <f>+'Chi xã,TT 2025'!M10</f>
        <v>5</v>
      </c>
      <c r="H19" s="89"/>
      <c r="I19" s="89">
        <f>'Chi xã,TT 2025'!M12</f>
        <v>10</v>
      </c>
      <c r="J19" s="89">
        <f>'Chi xã,TT 2025'!M13</f>
        <v>0</v>
      </c>
      <c r="K19" s="90"/>
    </row>
    <row r="20" spans="1:25" s="83" customFormat="1" ht="22.5" customHeight="1">
      <c r="A20" s="87">
        <v>11</v>
      </c>
      <c r="B20" s="88" t="s">
        <v>271</v>
      </c>
      <c r="C20" s="89">
        <f t="shared" si="2"/>
        <v>25</v>
      </c>
      <c r="D20" s="89">
        <f t="shared" si="1"/>
        <v>25</v>
      </c>
      <c r="E20" s="62"/>
      <c r="F20" s="62"/>
      <c r="G20" s="89">
        <f>+'Chi xã,TT 2025'!N10</f>
        <v>15</v>
      </c>
      <c r="H20" s="89"/>
      <c r="I20" s="89">
        <f>'Chi xã,TT 2025'!N12</f>
        <v>10</v>
      </c>
      <c r="J20" s="89">
        <f>'Chi xã,TT 2025'!N13</f>
        <v>0</v>
      </c>
      <c r="K20" s="90"/>
    </row>
    <row r="21" spans="1:25" s="83" customFormat="1" ht="22.5" customHeight="1">
      <c r="A21" s="87">
        <v>12</v>
      </c>
      <c r="B21" s="88" t="s">
        <v>272</v>
      </c>
      <c r="C21" s="89">
        <f t="shared" si="2"/>
        <v>17</v>
      </c>
      <c r="D21" s="89">
        <f t="shared" si="1"/>
        <v>17</v>
      </c>
      <c r="E21" s="62"/>
      <c r="F21" s="62"/>
      <c r="G21" s="89">
        <f>+'Chi xã,TT 2025'!O10</f>
        <v>10</v>
      </c>
      <c r="H21" s="89"/>
      <c r="I21" s="89">
        <f>'Chi xã,TT 2025'!O12</f>
        <v>2</v>
      </c>
      <c r="J21" s="89">
        <f>'Chi xã,TT 2025'!O13</f>
        <v>5</v>
      </c>
      <c r="K21" s="90"/>
    </row>
    <row r="22" spans="1:25" s="83" customFormat="1" ht="22.5" customHeight="1">
      <c r="A22" s="87">
        <v>13</v>
      </c>
      <c r="B22" s="88" t="s">
        <v>273</v>
      </c>
      <c r="C22" s="89">
        <f t="shared" si="2"/>
        <v>15</v>
      </c>
      <c r="D22" s="89">
        <f t="shared" si="1"/>
        <v>15</v>
      </c>
      <c r="E22" s="62"/>
      <c r="F22" s="62"/>
      <c r="G22" s="89">
        <f>+'Chi xã,TT 2025'!P10</f>
        <v>10</v>
      </c>
      <c r="H22" s="89"/>
      <c r="I22" s="89">
        <f>'Chi xã,TT 2025'!P12</f>
        <v>5</v>
      </c>
      <c r="J22" s="89">
        <f>'Chi xã,TT 2025'!P13</f>
        <v>0</v>
      </c>
      <c r="K22" s="90"/>
    </row>
    <row r="23" spans="1:25" s="83" customFormat="1" ht="22.5" customHeight="1">
      <c r="A23" s="87">
        <v>14</v>
      </c>
      <c r="B23" s="88" t="s">
        <v>274</v>
      </c>
      <c r="C23" s="89">
        <f t="shared" si="2"/>
        <v>20</v>
      </c>
      <c r="D23" s="89">
        <f t="shared" si="1"/>
        <v>20</v>
      </c>
      <c r="E23" s="62"/>
      <c r="F23" s="62"/>
      <c r="G23" s="89">
        <f>+'Chi xã,TT 2025'!Q10</f>
        <v>10</v>
      </c>
      <c r="H23" s="89"/>
      <c r="I23" s="89">
        <f>'Chi xã,TT 2025'!Q12</f>
        <v>10</v>
      </c>
      <c r="J23" s="89">
        <f>'Chi xã,TT 2025'!Q13</f>
        <v>0</v>
      </c>
      <c r="K23" s="90"/>
    </row>
    <row r="24" spans="1:25" s="83" customFormat="1" ht="22.5" customHeight="1">
      <c r="A24" s="87">
        <v>15</v>
      </c>
      <c r="B24" s="88" t="s">
        <v>275</v>
      </c>
      <c r="C24" s="89">
        <f t="shared" si="2"/>
        <v>15</v>
      </c>
      <c r="D24" s="89">
        <f t="shared" si="1"/>
        <v>15</v>
      </c>
      <c r="E24" s="62"/>
      <c r="F24" s="62"/>
      <c r="G24" s="89">
        <f>+'Chi xã,TT 2025'!R10</f>
        <v>5</v>
      </c>
      <c r="H24" s="89"/>
      <c r="I24" s="89">
        <f>'Chi xã,TT 2025'!R12</f>
        <v>10</v>
      </c>
      <c r="J24" s="89">
        <f>'Chi xã,TT 2025'!R13</f>
        <v>0</v>
      </c>
      <c r="K24" s="90"/>
    </row>
    <row r="25" spans="1:25" s="83" customFormat="1" ht="22.5" customHeight="1">
      <c r="A25" s="87">
        <v>16</v>
      </c>
      <c r="B25" s="88" t="s">
        <v>276</v>
      </c>
      <c r="C25" s="89">
        <f t="shared" si="2"/>
        <v>15</v>
      </c>
      <c r="D25" s="89">
        <f t="shared" si="1"/>
        <v>15</v>
      </c>
      <c r="E25" s="88"/>
      <c r="F25" s="88"/>
      <c r="G25" s="89">
        <f>+'Chi xã,TT 2025'!S10</f>
        <v>5</v>
      </c>
      <c r="H25" s="89"/>
      <c r="I25" s="89">
        <f>'Chi xã,TT 2025'!S12</f>
        <v>10</v>
      </c>
      <c r="J25" s="89">
        <f>'Chi xã,TT 2025'!S13</f>
        <v>0</v>
      </c>
      <c r="K25" s="90"/>
    </row>
    <row r="26" spans="1:25" s="83" customFormat="1" ht="22.5" customHeight="1">
      <c r="A26" s="87">
        <v>17</v>
      </c>
      <c r="B26" s="88" t="s">
        <v>277</v>
      </c>
      <c r="C26" s="89">
        <f t="shared" si="2"/>
        <v>20</v>
      </c>
      <c r="D26" s="89">
        <f t="shared" si="1"/>
        <v>20</v>
      </c>
      <c r="E26" s="88"/>
      <c r="F26" s="88"/>
      <c r="G26" s="89">
        <f>+'Chi xã,TT 2025'!T10</f>
        <v>10</v>
      </c>
      <c r="H26" s="89"/>
      <c r="I26" s="89">
        <f>'Chi xã,TT 2025'!T12</f>
        <v>10</v>
      </c>
      <c r="J26" s="89">
        <f>'Chi xã,TT 2025'!T13</f>
        <v>0</v>
      </c>
      <c r="K26" s="90"/>
    </row>
    <row r="27" spans="1:25" s="83" customFormat="1" ht="22.5" customHeight="1">
      <c r="A27" s="87">
        <v>18</v>
      </c>
      <c r="B27" s="88" t="s">
        <v>278</v>
      </c>
      <c r="C27" s="89">
        <f t="shared" si="2"/>
        <v>65</v>
      </c>
      <c r="D27" s="89">
        <f t="shared" si="1"/>
        <v>65</v>
      </c>
      <c r="E27" s="88">
        <f>+'Chi xã,TT 2025'!U8</f>
        <v>15</v>
      </c>
      <c r="F27" s="88"/>
      <c r="G27" s="89">
        <f>+'Chi xã,TT 2025'!U10</f>
        <v>20</v>
      </c>
      <c r="H27" s="89"/>
      <c r="I27" s="89">
        <f>'Chi xã,TT 2025'!U12</f>
        <v>10</v>
      </c>
      <c r="J27" s="89">
        <f>'Chi xã,TT 2025'!U13</f>
        <v>20</v>
      </c>
      <c r="K27" s="90"/>
    </row>
    <row r="28" spans="1:25" s="83" customFormat="1" ht="22.5" customHeight="1">
      <c r="A28" s="87">
        <v>19</v>
      </c>
      <c r="B28" s="88" t="s">
        <v>279</v>
      </c>
      <c r="C28" s="89">
        <f t="shared" si="2"/>
        <v>20</v>
      </c>
      <c r="D28" s="89">
        <f t="shared" si="1"/>
        <v>20</v>
      </c>
      <c r="E28" s="88"/>
      <c r="F28" s="88"/>
      <c r="G28" s="89">
        <f>+'Chi xã,TT 2025'!V10</f>
        <v>10</v>
      </c>
      <c r="H28" s="89"/>
      <c r="I28" s="89">
        <f>'Chi xã,TT 2025'!V12</f>
        <v>10</v>
      </c>
      <c r="J28" s="89">
        <f>'Chi xã,TT 2025'!V13</f>
        <v>0</v>
      </c>
      <c r="K28" s="90"/>
    </row>
    <row r="29" spans="1:25" ht="18.75">
      <c r="A29" s="83"/>
      <c r="B29" s="83"/>
      <c r="C29" s="83"/>
      <c r="D29" s="83"/>
      <c r="X29" s="83"/>
      <c r="Y29" s="83"/>
    </row>
    <row r="30" spans="1:25" ht="18.75">
      <c r="A30" s="83"/>
      <c r="B30" s="83"/>
      <c r="C30" s="83"/>
      <c r="D30" s="83"/>
      <c r="X30" s="83"/>
      <c r="Y30" s="83"/>
    </row>
    <row r="31" spans="1:25" ht="18.75">
      <c r="A31" s="83"/>
      <c r="B31" s="83"/>
      <c r="C31" s="83"/>
      <c r="D31" s="83"/>
      <c r="X31" s="83"/>
      <c r="Y31" s="83"/>
    </row>
    <row r="32" spans="1:25" ht="18.75">
      <c r="A32" s="83"/>
      <c r="B32" s="83"/>
      <c r="C32" s="83"/>
      <c r="D32" s="83"/>
      <c r="E32" s="83"/>
      <c r="F32" s="83"/>
      <c r="G32" s="83"/>
      <c r="H32" s="83"/>
      <c r="I32" s="83"/>
      <c r="J32" s="83"/>
    </row>
    <row r="33" spans="1:10" ht="18.75">
      <c r="A33" s="83"/>
      <c r="B33" s="83"/>
      <c r="C33" s="83"/>
      <c r="D33" s="83"/>
      <c r="E33" s="83"/>
      <c r="F33" s="83"/>
      <c r="G33" s="83"/>
      <c r="H33" s="83"/>
      <c r="I33" s="83"/>
      <c r="J33" s="83"/>
    </row>
    <row r="34" spans="1:10" ht="18.75">
      <c r="A34" s="83"/>
      <c r="B34" s="83"/>
      <c r="C34" s="83"/>
      <c r="D34" s="83"/>
      <c r="E34" s="83"/>
      <c r="F34" s="83"/>
      <c r="G34" s="83"/>
      <c r="H34" s="83"/>
      <c r="I34" s="83"/>
      <c r="J34" s="83"/>
    </row>
    <row r="35" spans="1:10" ht="18.75">
      <c r="A35" s="83"/>
      <c r="B35" s="83"/>
      <c r="C35" s="83"/>
      <c r="D35" s="83"/>
      <c r="E35" s="83"/>
      <c r="F35" s="83"/>
      <c r="G35" s="83"/>
      <c r="H35" s="83"/>
      <c r="I35" s="83"/>
      <c r="J35" s="83"/>
    </row>
    <row r="36" spans="1:10" ht="18.75">
      <c r="A36" s="83"/>
      <c r="B36" s="83"/>
      <c r="C36" s="83"/>
      <c r="D36" s="83"/>
      <c r="E36" s="83"/>
      <c r="F36" s="83"/>
      <c r="G36" s="83"/>
      <c r="H36" s="83"/>
      <c r="I36" s="83"/>
      <c r="J36" s="83"/>
    </row>
    <row r="37" spans="1:10" ht="22.5" customHeight="1">
      <c r="A37" s="83"/>
      <c r="B37" s="83"/>
      <c r="C37" s="83"/>
      <c r="D37" s="83"/>
      <c r="E37" s="83"/>
      <c r="F37" s="83"/>
      <c r="G37" s="83"/>
      <c r="H37" s="83"/>
      <c r="I37" s="83"/>
      <c r="J37" s="83"/>
    </row>
    <row r="38" spans="1:10" ht="18.75">
      <c r="A38" s="83"/>
      <c r="B38" s="83"/>
      <c r="C38" s="83"/>
      <c r="D38" s="83"/>
      <c r="E38" s="83"/>
      <c r="F38" s="83"/>
      <c r="G38" s="83"/>
      <c r="H38" s="83"/>
      <c r="I38" s="83"/>
      <c r="J38" s="83"/>
    </row>
    <row r="39" spans="1:10" ht="18.75">
      <c r="A39" s="83"/>
      <c r="B39" s="83"/>
      <c r="C39" s="83"/>
      <c r="D39" s="83"/>
      <c r="E39" s="83"/>
      <c r="F39" s="83"/>
      <c r="G39" s="83"/>
      <c r="H39" s="83"/>
      <c r="I39" s="83"/>
      <c r="J39" s="83"/>
    </row>
    <row r="40" spans="1:10" ht="18.75">
      <c r="A40" s="83"/>
      <c r="B40" s="83"/>
      <c r="C40" s="83"/>
      <c r="D40" s="83"/>
      <c r="E40" s="83"/>
      <c r="F40" s="83"/>
      <c r="G40" s="83"/>
      <c r="H40" s="83"/>
      <c r="I40" s="83"/>
      <c r="J40" s="83"/>
    </row>
    <row r="41" spans="1:10" ht="18.75">
      <c r="A41" s="83"/>
      <c r="B41" s="83"/>
      <c r="C41" s="83"/>
      <c r="D41" s="83"/>
      <c r="E41" s="83"/>
      <c r="F41" s="83"/>
      <c r="G41" s="83"/>
      <c r="H41" s="83"/>
      <c r="I41" s="83"/>
      <c r="J41" s="83"/>
    </row>
  </sheetData>
  <mergeCells count="9">
    <mergeCell ref="A2:J2"/>
    <mergeCell ref="A3:J3"/>
    <mergeCell ref="A4:J4"/>
    <mergeCell ref="E5:J5"/>
    <mergeCell ref="A6:A7"/>
    <mergeCell ref="B6:B7"/>
    <mergeCell ref="C6:C7"/>
    <mergeCell ref="D6:D7"/>
    <mergeCell ref="E6:J6"/>
  </mergeCells>
  <pageMargins left="0.7" right="0.48" top="0.75" bottom="0.75" header="0.3" footer="0.3"/>
  <pageSetup paperSize="9" scale="8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F54"/>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H23" sqref="H23"/>
    </sheetView>
  </sheetViews>
  <sheetFormatPr defaultColWidth="9" defaultRowHeight="15.75"/>
  <cols>
    <col min="1" max="1" width="5.44140625" style="22" customWidth="1"/>
    <col min="2" max="2" width="53.21875" style="22" customWidth="1"/>
    <col min="3" max="3" width="9.44140625" style="22" customWidth="1"/>
    <col min="4" max="4" width="11.33203125" style="22" customWidth="1"/>
    <col min="5" max="5" width="9.33203125" style="22" customWidth="1"/>
    <col min="6" max="16384" width="9" style="22"/>
  </cols>
  <sheetData>
    <row r="1" spans="1:6" ht="18" customHeight="1">
      <c r="A1" s="54"/>
      <c r="B1" s="54"/>
      <c r="C1" s="802" t="s">
        <v>170</v>
      </c>
      <c r="D1" s="802"/>
      <c r="E1" s="802"/>
    </row>
    <row r="2" spans="1:6" s="23" customFormat="1" ht="22.5" customHeight="1">
      <c r="A2" s="91" t="s">
        <v>141</v>
      </c>
      <c r="B2" s="91"/>
      <c r="C2" s="92"/>
      <c r="D2" s="92"/>
      <c r="E2" s="92"/>
    </row>
    <row r="3" spans="1:6" s="23" customFormat="1" ht="18" customHeight="1">
      <c r="A3" s="810" t="s">
        <v>846</v>
      </c>
      <c r="B3" s="810"/>
      <c r="C3" s="810"/>
      <c r="D3" s="810"/>
      <c r="E3" s="810"/>
    </row>
    <row r="4" spans="1:6" ht="18" customHeight="1">
      <c r="A4" s="804" t="str">
        <f>'PL15'!A3</f>
        <v xml:space="preserve"> Biểu kèm theo Báo cáo số 99/BC-BKTXH ngày 12/12/2024 của Ban KT-XH,HĐND huyện Tuần Giáo</v>
      </c>
      <c r="B4" s="804"/>
      <c r="C4" s="804"/>
      <c r="D4" s="804"/>
      <c r="E4" s="804"/>
    </row>
    <row r="5" spans="1:6" ht="19.5" customHeight="1">
      <c r="A5" s="58"/>
      <c r="B5" s="58"/>
      <c r="C5" s="59"/>
      <c r="D5" s="811" t="s">
        <v>87</v>
      </c>
      <c r="E5" s="811"/>
    </row>
    <row r="6" spans="1:6" s="23" customFormat="1" ht="18" customHeight="1">
      <c r="A6" s="808" t="s">
        <v>58</v>
      </c>
      <c r="B6" s="808" t="s">
        <v>5</v>
      </c>
      <c r="C6" s="808" t="s">
        <v>210</v>
      </c>
      <c r="D6" s="795" t="s">
        <v>45</v>
      </c>
      <c r="E6" s="795"/>
      <c r="F6" s="22"/>
    </row>
    <row r="7" spans="1:6" s="23" customFormat="1" ht="35.25" customHeight="1">
      <c r="A7" s="809"/>
      <c r="B7" s="809"/>
      <c r="C7" s="809"/>
      <c r="D7" s="615" t="s">
        <v>144</v>
      </c>
      <c r="E7" s="615" t="s">
        <v>145</v>
      </c>
      <c r="F7" s="22"/>
    </row>
    <row r="8" spans="1:6" s="25" customFormat="1" ht="14.25" customHeight="1">
      <c r="A8" s="24" t="s">
        <v>8</v>
      </c>
      <c r="B8" s="24" t="s">
        <v>9</v>
      </c>
      <c r="C8" s="24" t="s">
        <v>46</v>
      </c>
      <c r="D8" s="24">
        <v>2</v>
      </c>
      <c r="E8" s="24">
        <f>D8+1</f>
        <v>3</v>
      </c>
    </row>
    <row r="9" spans="1:6" s="26" customFormat="1" ht="18.75" customHeight="1">
      <c r="A9" s="50"/>
      <c r="B9" s="66" t="s">
        <v>119</v>
      </c>
      <c r="C9" s="63">
        <f>C10+C40+C54</f>
        <v>1136041</v>
      </c>
      <c r="D9" s="628">
        <f>D10+D40+D54</f>
        <v>992861</v>
      </c>
      <c r="E9" s="628">
        <f>E10+E40+E54</f>
        <v>143180</v>
      </c>
    </row>
    <row r="10" spans="1:6" s="26" customFormat="1" ht="18.75" customHeight="1">
      <c r="A10" s="50" t="s">
        <v>8</v>
      </c>
      <c r="B10" s="66" t="s">
        <v>101</v>
      </c>
      <c r="C10" s="63">
        <f>C11+C23+C38+C39</f>
        <v>1034061</v>
      </c>
      <c r="D10" s="628">
        <f>D11+D23+D38+D39</f>
        <v>894129</v>
      </c>
      <c r="E10" s="628">
        <f>E11+E23+E38+E39</f>
        <v>139932</v>
      </c>
    </row>
    <row r="11" spans="1:6" s="26" customFormat="1" ht="18.75" customHeight="1">
      <c r="A11" s="50" t="s">
        <v>18</v>
      </c>
      <c r="B11" s="66" t="s">
        <v>41</v>
      </c>
      <c r="C11" s="63">
        <f>D11+E11</f>
        <v>41932</v>
      </c>
      <c r="D11" s="628">
        <f>D12+D22</f>
        <v>38692</v>
      </c>
      <c r="E11" s="628">
        <f>E12+E22</f>
        <v>3240</v>
      </c>
    </row>
    <row r="12" spans="1:6" s="616" customFormat="1" ht="18.75" customHeight="1">
      <c r="A12" s="40">
        <v>1</v>
      </c>
      <c r="B12" s="64" t="s">
        <v>72</v>
      </c>
      <c r="C12" s="62">
        <f>C18</f>
        <v>41932</v>
      </c>
      <c r="D12" s="629">
        <f>D18</f>
        <v>38692</v>
      </c>
      <c r="E12" s="629">
        <f>E18</f>
        <v>3240</v>
      </c>
    </row>
    <row r="13" spans="1:6" s="26" customFormat="1" ht="18.75" customHeight="1">
      <c r="A13" s="40"/>
      <c r="B13" s="162" t="s">
        <v>132</v>
      </c>
      <c r="C13" s="62">
        <f>SUM(C14:C17)</f>
        <v>41932</v>
      </c>
      <c r="D13" s="629">
        <f>SUM(D14:D17)</f>
        <v>38692</v>
      </c>
      <c r="E13" s="629">
        <f>SUM(E14:E17)</f>
        <v>3240</v>
      </c>
    </row>
    <row r="14" spans="1:6" s="26" customFormat="1" ht="18.75" customHeight="1">
      <c r="A14" s="65" t="s">
        <v>15</v>
      </c>
      <c r="B14" s="64" t="s">
        <v>286</v>
      </c>
      <c r="C14" s="62">
        <f t="shared" ref="C14:C15" si="0">D14+E14</f>
        <v>0</v>
      </c>
      <c r="D14" s="629">
        <f>+'PL17'!D14</f>
        <v>0</v>
      </c>
      <c r="E14" s="629"/>
    </row>
    <row r="15" spans="1:6" s="26" customFormat="1" ht="21" customHeight="1">
      <c r="A15" s="65" t="s">
        <v>15</v>
      </c>
      <c r="B15" s="64" t="s">
        <v>36</v>
      </c>
      <c r="C15" s="62">
        <f t="shared" si="0"/>
        <v>500</v>
      </c>
      <c r="D15" s="629">
        <f>+'PL17'!D15</f>
        <v>500</v>
      </c>
      <c r="E15" s="629"/>
    </row>
    <row r="16" spans="1:6" s="26" customFormat="1" ht="18" customHeight="1">
      <c r="A16" s="65" t="s">
        <v>15</v>
      </c>
      <c r="B16" s="64" t="s">
        <v>110</v>
      </c>
      <c r="C16" s="62">
        <f>D16+E16</f>
        <v>41432</v>
      </c>
      <c r="D16" s="629">
        <f>+'PL17'!D16-E16</f>
        <v>38192</v>
      </c>
      <c r="E16" s="629">
        <f>+'Chi xã,TT 2025'!I19</f>
        <v>3240</v>
      </c>
    </row>
    <row r="17" spans="1:6" s="616" customFormat="1" ht="21" hidden="1" customHeight="1">
      <c r="A17" s="40" t="s">
        <v>15</v>
      </c>
      <c r="B17" s="617" t="s">
        <v>287</v>
      </c>
      <c r="C17" s="618">
        <f>D17+E17</f>
        <v>0</v>
      </c>
      <c r="D17" s="629"/>
      <c r="E17" s="629"/>
    </row>
    <row r="18" spans="1:6" s="26" customFormat="1" ht="18.75" customHeight="1">
      <c r="A18" s="40"/>
      <c r="B18" s="162" t="s">
        <v>133</v>
      </c>
      <c r="C18" s="62">
        <f>SUM(C19:C21)</f>
        <v>41932</v>
      </c>
      <c r="D18" s="629">
        <f>SUM(D19:D21)</f>
        <v>38692</v>
      </c>
      <c r="E18" s="629">
        <f t="shared" ref="E18" si="1">SUM(E19:E21)</f>
        <v>3240</v>
      </c>
    </row>
    <row r="19" spans="1:6" s="26" customFormat="1" ht="18.75" customHeight="1">
      <c r="A19" s="65" t="s">
        <v>15</v>
      </c>
      <c r="B19" s="64" t="s">
        <v>288</v>
      </c>
      <c r="C19" s="62">
        <f>D19+E19</f>
        <v>24526</v>
      </c>
      <c r="D19" s="629">
        <f>+'Chi 2025'!D10</f>
        <v>24526</v>
      </c>
      <c r="E19" s="629"/>
    </row>
    <row r="20" spans="1:6" s="26" customFormat="1" ht="20.25" customHeight="1">
      <c r="A20" s="65" t="s">
        <v>15</v>
      </c>
      <c r="B20" s="64" t="s">
        <v>289</v>
      </c>
      <c r="C20" s="62">
        <f>D20+E20</f>
        <v>16200</v>
      </c>
      <c r="D20" s="629">
        <f>+'Chi 2025'!D11</f>
        <v>12960</v>
      </c>
      <c r="E20" s="629">
        <f>+'Chi 2025'!AB11</f>
        <v>3240</v>
      </c>
    </row>
    <row r="21" spans="1:6" s="26" customFormat="1" ht="36.75" customHeight="1">
      <c r="A21" s="65" t="s">
        <v>15</v>
      </c>
      <c r="B21" s="627" t="s">
        <v>792</v>
      </c>
      <c r="C21" s="62">
        <f>D21+E21</f>
        <v>1206</v>
      </c>
      <c r="D21" s="629">
        <f>+'Chi 2025'!D12</f>
        <v>1206</v>
      </c>
      <c r="E21" s="629"/>
    </row>
    <row r="22" spans="1:6" s="26" customFormat="1" ht="21" customHeight="1">
      <c r="A22" s="40">
        <v>2</v>
      </c>
      <c r="B22" s="64" t="s">
        <v>131</v>
      </c>
      <c r="C22" s="618"/>
      <c r="D22" s="629"/>
      <c r="E22" s="629"/>
    </row>
    <row r="23" spans="1:6" s="26" customFormat="1" ht="19.5" customHeight="1">
      <c r="A23" s="50" t="s">
        <v>19</v>
      </c>
      <c r="B23" s="66" t="s">
        <v>24</v>
      </c>
      <c r="C23" s="63">
        <f>SUM(C24:C37)</f>
        <v>971444</v>
      </c>
      <c r="D23" s="628">
        <f t="shared" ref="D23:E23" si="2">SUM(D24:D37)</f>
        <v>837561</v>
      </c>
      <c r="E23" s="628">
        <f t="shared" si="2"/>
        <v>133883</v>
      </c>
      <c r="F23" s="619"/>
    </row>
    <row r="24" spans="1:6" s="26" customFormat="1" ht="19.5" customHeight="1">
      <c r="A24" s="40">
        <v>1</v>
      </c>
      <c r="B24" s="64" t="s">
        <v>208</v>
      </c>
      <c r="C24" s="62">
        <f>D24+E24</f>
        <v>643985</v>
      </c>
      <c r="D24" s="629">
        <f>+'Chi 2025'!D14</f>
        <v>642988</v>
      </c>
      <c r="E24" s="629">
        <f>+'Chi 2025'!AB14</f>
        <v>997</v>
      </c>
    </row>
    <row r="25" spans="1:6" s="26" customFormat="1" ht="19.5" customHeight="1">
      <c r="A25" s="40">
        <v>2</v>
      </c>
      <c r="B25" s="64" t="s">
        <v>32</v>
      </c>
      <c r="C25" s="62">
        <f t="shared" ref="C25:C36" si="3">D25+E25</f>
        <v>0</v>
      </c>
      <c r="D25" s="629">
        <f>+'Chi 2025'!D27</f>
        <v>0</v>
      </c>
      <c r="E25" s="629"/>
    </row>
    <row r="26" spans="1:6" s="26" customFormat="1" ht="19.5" customHeight="1">
      <c r="A26" s="40">
        <v>3</v>
      </c>
      <c r="B26" s="64" t="s">
        <v>33</v>
      </c>
      <c r="C26" s="62">
        <f t="shared" si="3"/>
        <v>9789</v>
      </c>
      <c r="D26" s="629">
        <f>+'Chi 2025'!D28</f>
        <v>4500</v>
      </c>
      <c r="E26" s="629">
        <f>+'Chi 2025'!AB28</f>
        <v>5289</v>
      </c>
    </row>
    <row r="27" spans="1:6" ht="19.5" customHeight="1">
      <c r="A27" s="40">
        <v>4</v>
      </c>
      <c r="B27" s="64" t="s">
        <v>34</v>
      </c>
      <c r="C27" s="62">
        <f t="shared" si="3"/>
        <v>9244</v>
      </c>
      <c r="D27" s="629">
        <f>+'Chi 2025'!D29</f>
        <v>1900</v>
      </c>
      <c r="E27" s="629">
        <f>+'Chi 2025'!AB29</f>
        <v>7344</v>
      </c>
    </row>
    <row r="28" spans="1:6" s="26" customFormat="1" ht="19.5" customHeight="1">
      <c r="A28" s="40">
        <v>5</v>
      </c>
      <c r="B28" s="64" t="s">
        <v>35</v>
      </c>
      <c r="C28" s="62">
        <f t="shared" si="3"/>
        <v>315</v>
      </c>
      <c r="D28" s="629">
        <f>+'Chi 2025'!D30</f>
        <v>315</v>
      </c>
      <c r="E28" s="629">
        <f>+'Chi 2025'!AB30</f>
        <v>0</v>
      </c>
    </row>
    <row r="29" spans="1:6" s="26" customFormat="1" ht="19.5" customHeight="1">
      <c r="A29" s="40">
        <v>6</v>
      </c>
      <c r="B29" s="64" t="s">
        <v>36</v>
      </c>
      <c r="C29" s="62">
        <f t="shared" si="3"/>
        <v>4101</v>
      </c>
      <c r="D29" s="629">
        <f>+'Chi 2025'!D31</f>
        <v>1876</v>
      </c>
      <c r="E29" s="629">
        <f>+'Chi 2025'!AB31</f>
        <v>2225</v>
      </c>
    </row>
    <row r="30" spans="1:6" s="26" customFormat="1" ht="19.5" customHeight="1">
      <c r="A30" s="40">
        <v>7</v>
      </c>
      <c r="B30" s="64" t="s">
        <v>37</v>
      </c>
      <c r="C30" s="62">
        <f t="shared" si="3"/>
        <v>3703</v>
      </c>
      <c r="D30" s="629">
        <f>+'Chi 2025'!D32</f>
        <v>3418</v>
      </c>
      <c r="E30" s="629">
        <f>+'Chi 2025'!AB32</f>
        <v>285</v>
      </c>
    </row>
    <row r="31" spans="1:6" s="26" customFormat="1" ht="19.5" customHeight="1">
      <c r="A31" s="40">
        <v>8</v>
      </c>
      <c r="B31" s="64" t="s">
        <v>38</v>
      </c>
      <c r="C31" s="62">
        <f t="shared" si="3"/>
        <v>741</v>
      </c>
      <c r="D31" s="629">
        <f>+'Chi 2025'!D33</f>
        <v>741</v>
      </c>
      <c r="E31" s="629">
        <f>+'Chi 2025'!AB33</f>
        <v>0</v>
      </c>
    </row>
    <row r="32" spans="1:6" ht="19.5" customHeight="1">
      <c r="A32" s="40">
        <v>9</v>
      </c>
      <c r="B32" s="64" t="s">
        <v>39</v>
      </c>
      <c r="C32" s="62">
        <f t="shared" si="3"/>
        <v>9220</v>
      </c>
      <c r="D32" s="629">
        <f>+'Chi 2025'!D34</f>
        <v>9220</v>
      </c>
      <c r="E32" s="629">
        <f>+'Chi 2025'!AB34</f>
        <v>0</v>
      </c>
    </row>
    <row r="33" spans="1:5" ht="19.5" customHeight="1">
      <c r="A33" s="40">
        <v>10</v>
      </c>
      <c r="B33" s="64" t="s">
        <v>199</v>
      </c>
      <c r="C33" s="62">
        <f t="shared" si="3"/>
        <v>48670</v>
      </c>
      <c r="D33" s="629">
        <f>+'Chi 2025'!D35</f>
        <v>48670</v>
      </c>
      <c r="E33" s="629">
        <f>+'Chi 2025'!AB35</f>
        <v>0</v>
      </c>
    </row>
    <row r="34" spans="1:5" ht="19.5" customHeight="1">
      <c r="A34" s="40">
        <v>11</v>
      </c>
      <c r="B34" s="64" t="s">
        <v>290</v>
      </c>
      <c r="C34" s="62">
        <f t="shared" si="3"/>
        <v>165026</v>
      </c>
      <c r="D34" s="629">
        <f>+'Chi 2025'!D53</f>
        <v>49257</v>
      </c>
      <c r="E34" s="629">
        <f>+'Chi 2025'!AB53</f>
        <v>115769</v>
      </c>
    </row>
    <row r="35" spans="1:5" ht="19.5" customHeight="1">
      <c r="A35" s="40">
        <v>12</v>
      </c>
      <c r="B35" s="64" t="s">
        <v>25</v>
      </c>
      <c r="C35" s="62">
        <f t="shared" si="3"/>
        <v>74580</v>
      </c>
      <c r="D35" s="629">
        <f>+'Chi 2025'!D69</f>
        <v>72606</v>
      </c>
      <c r="E35" s="629">
        <f>+'Chi 2025'!AB69</f>
        <v>1974</v>
      </c>
    </row>
    <row r="36" spans="1:5" ht="19.5" customHeight="1">
      <c r="A36" s="40">
        <v>13</v>
      </c>
      <c r="B36" s="64" t="s">
        <v>40</v>
      </c>
      <c r="C36" s="62">
        <f t="shared" si="3"/>
        <v>2070</v>
      </c>
      <c r="D36" s="629">
        <f>+'Chi 2025'!D75</f>
        <v>2070</v>
      </c>
      <c r="E36" s="629"/>
    </row>
    <row r="37" spans="1:5" ht="19.5" hidden="1" customHeight="1">
      <c r="A37" s="40">
        <v>14</v>
      </c>
      <c r="B37" s="64" t="s">
        <v>291</v>
      </c>
      <c r="C37" s="62">
        <f>D37+E37</f>
        <v>0</v>
      </c>
      <c r="D37" s="628"/>
      <c r="E37" s="628"/>
    </row>
    <row r="38" spans="1:5" ht="19.5" customHeight="1">
      <c r="A38" s="50" t="s">
        <v>20</v>
      </c>
      <c r="B38" s="66" t="s">
        <v>27</v>
      </c>
      <c r="C38" s="63">
        <f>D38+E38</f>
        <v>20685</v>
      </c>
      <c r="D38" s="628">
        <f>+'Chi 2025'!D78</f>
        <v>17876</v>
      </c>
      <c r="E38" s="628">
        <f>+'Chi 2025'!AB78</f>
        <v>2809</v>
      </c>
    </row>
    <row r="39" spans="1:5" ht="21" hidden="1" customHeight="1">
      <c r="A39" s="50" t="s">
        <v>21</v>
      </c>
      <c r="B39" s="66" t="s">
        <v>73</v>
      </c>
      <c r="C39" s="63">
        <f>D39+E39</f>
        <v>0</v>
      </c>
      <c r="D39" s="628"/>
      <c r="E39" s="628"/>
    </row>
    <row r="40" spans="1:5" ht="20.25" customHeight="1">
      <c r="A40" s="50" t="s">
        <v>9</v>
      </c>
      <c r="B40" s="620" t="s">
        <v>102</v>
      </c>
      <c r="C40" s="63">
        <f>C41+C51</f>
        <v>101980</v>
      </c>
      <c r="D40" s="628">
        <f>D41+D51</f>
        <v>98732</v>
      </c>
      <c r="E40" s="628">
        <f>E41+E51</f>
        <v>3248</v>
      </c>
    </row>
    <row r="41" spans="1:5" ht="18" customHeight="1">
      <c r="A41" s="50" t="s">
        <v>18</v>
      </c>
      <c r="B41" s="66" t="s">
        <v>99</v>
      </c>
      <c r="C41" s="63">
        <f>+C42+C45+C48</f>
        <v>101314</v>
      </c>
      <c r="D41" s="628">
        <f>+D42+D45+D48</f>
        <v>98066</v>
      </c>
      <c r="E41" s="628">
        <f>+E42+E45+E48</f>
        <v>3248</v>
      </c>
    </row>
    <row r="42" spans="1:5" ht="36" customHeight="1">
      <c r="A42" s="40">
        <v>1</v>
      </c>
      <c r="B42" s="621" t="s">
        <v>280</v>
      </c>
      <c r="C42" s="62">
        <f>SUM(C43:C44)</f>
        <v>76540</v>
      </c>
      <c r="D42" s="629">
        <f>SUM(D43:D44)</f>
        <v>75372</v>
      </c>
      <c r="E42" s="629">
        <f>SUM(E43:E44)</f>
        <v>1168</v>
      </c>
    </row>
    <row r="43" spans="1:5" ht="19.5" customHeight="1">
      <c r="A43" s="40"/>
      <c r="B43" s="622" t="s">
        <v>297</v>
      </c>
      <c r="C43" s="62">
        <f t="shared" ref="C43:C50" si="4">D43+E43</f>
        <v>76540</v>
      </c>
      <c r="D43" s="629">
        <f>+'Chi 2025'!D84</f>
        <v>75372</v>
      </c>
      <c r="E43" s="629">
        <f>+'Chi 2025'!AB84</f>
        <v>1168</v>
      </c>
    </row>
    <row r="44" spans="1:5" ht="19.5" customHeight="1">
      <c r="A44" s="40"/>
      <c r="B44" s="622" t="s">
        <v>298</v>
      </c>
      <c r="C44" s="62">
        <f t="shared" si="4"/>
        <v>0</v>
      </c>
      <c r="D44" s="629">
        <f>+'Chi 2025'!D85</f>
        <v>0</v>
      </c>
      <c r="E44" s="629">
        <f>+'Chi 2025'!AB85</f>
        <v>0</v>
      </c>
    </row>
    <row r="45" spans="1:5" ht="19.5" customHeight="1">
      <c r="A45" s="40">
        <v>2</v>
      </c>
      <c r="B45" s="64" t="s">
        <v>176</v>
      </c>
      <c r="C45" s="62">
        <f>SUM(C46:C47)</f>
        <v>11000</v>
      </c>
      <c r="D45" s="629">
        <f>SUM(D46:D47)</f>
        <v>11000</v>
      </c>
      <c r="E45" s="629">
        <f>SUM(E46:E47)</f>
        <v>0</v>
      </c>
    </row>
    <row r="46" spans="1:5" ht="19.5" customHeight="1">
      <c r="A46" s="40"/>
      <c r="B46" s="622" t="s">
        <v>297</v>
      </c>
      <c r="C46" s="62">
        <f>D46+E46</f>
        <v>11000</v>
      </c>
      <c r="D46" s="629">
        <f>+'Chi 2025'!D105</f>
        <v>11000</v>
      </c>
      <c r="E46" s="629">
        <f>+'Chi 2025'!AB105</f>
        <v>0</v>
      </c>
    </row>
    <row r="47" spans="1:5" ht="19.5" customHeight="1">
      <c r="A47" s="40"/>
      <c r="B47" s="622" t="s">
        <v>298</v>
      </c>
      <c r="C47" s="62">
        <f t="shared" si="4"/>
        <v>0</v>
      </c>
      <c r="D47" s="629">
        <f>+'Chi 2025'!D106</f>
        <v>0</v>
      </c>
      <c r="E47" s="629">
        <f>+'Chi 2025'!AB106</f>
        <v>0</v>
      </c>
    </row>
    <row r="48" spans="1:5" ht="19.5" customHeight="1">
      <c r="A48" s="40">
        <v>3</v>
      </c>
      <c r="B48" s="64" t="s">
        <v>177</v>
      </c>
      <c r="C48" s="62">
        <f>SUM(C49:C50)</f>
        <v>13774</v>
      </c>
      <c r="D48" s="629">
        <f>SUM(D49:D50)</f>
        <v>11694</v>
      </c>
      <c r="E48" s="629">
        <f>SUM(E49:E50)</f>
        <v>2080</v>
      </c>
    </row>
    <row r="49" spans="1:5" ht="19.5" customHeight="1">
      <c r="A49" s="40"/>
      <c r="B49" s="622" t="s">
        <v>297</v>
      </c>
      <c r="C49" s="62">
        <f t="shared" si="4"/>
        <v>11204</v>
      </c>
      <c r="D49" s="629">
        <f>+'Chi 2025'!D128</f>
        <v>11204</v>
      </c>
      <c r="E49" s="629">
        <f>+'Chi 2025'!AB128</f>
        <v>0</v>
      </c>
    </row>
    <row r="50" spans="1:5" ht="19.5" customHeight="1">
      <c r="A50" s="40"/>
      <c r="B50" s="622" t="s">
        <v>298</v>
      </c>
      <c r="C50" s="62">
        <f t="shared" si="4"/>
        <v>2570</v>
      </c>
      <c r="D50" s="629">
        <f>+'Chi 2025'!D129</f>
        <v>490</v>
      </c>
      <c r="E50" s="629">
        <f>+'Chi 2025'!AB129</f>
        <v>2080</v>
      </c>
    </row>
    <row r="51" spans="1:5" ht="39.75" customHeight="1">
      <c r="A51" s="50" t="s">
        <v>19</v>
      </c>
      <c r="B51" s="291" t="s">
        <v>811</v>
      </c>
      <c r="C51" s="63">
        <f>SUM(C52:C53)</f>
        <v>666</v>
      </c>
      <c r="D51" s="628">
        <f t="shared" ref="D51:E51" si="5">SUM(D52:D53)</f>
        <v>666</v>
      </c>
      <c r="E51" s="628">
        <f t="shared" si="5"/>
        <v>0</v>
      </c>
    </row>
    <row r="52" spans="1:5" ht="21.75" customHeight="1">
      <c r="A52" s="40">
        <v>1</v>
      </c>
      <c r="B52" s="622" t="s">
        <v>186</v>
      </c>
      <c r="C52" s="62">
        <f>D52+E52</f>
        <v>475</v>
      </c>
      <c r="D52" s="629">
        <f>+'Chi 2025'!D140</f>
        <v>475</v>
      </c>
      <c r="E52" s="629">
        <f>+'Chi 2025'!AB141</f>
        <v>0</v>
      </c>
    </row>
    <row r="53" spans="1:5" ht="21.75" customHeight="1">
      <c r="A53" s="40">
        <v>2</v>
      </c>
      <c r="B53" s="622" t="s">
        <v>180</v>
      </c>
      <c r="C53" s="62">
        <f>D53+E53</f>
        <v>191</v>
      </c>
      <c r="D53" s="629">
        <f>+'Chi 2025'!D142</f>
        <v>191</v>
      </c>
      <c r="E53" s="629">
        <f>+'Chi 2025'!AB142</f>
        <v>0</v>
      </c>
    </row>
    <row r="54" spans="1:5" ht="21.75" hidden="1" customHeight="1" thickBot="1">
      <c r="A54" s="624" t="s">
        <v>295</v>
      </c>
      <c r="B54" s="625" t="s">
        <v>296</v>
      </c>
      <c r="C54" s="626"/>
      <c r="D54" s="626"/>
      <c r="E54" s="626"/>
    </row>
  </sheetData>
  <mergeCells count="8">
    <mergeCell ref="A4:E4"/>
    <mergeCell ref="A6:A7"/>
    <mergeCell ref="B6:B7"/>
    <mergeCell ref="C6:C7"/>
    <mergeCell ref="C1:E1"/>
    <mergeCell ref="A3:E3"/>
    <mergeCell ref="D5:E5"/>
    <mergeCell ref="D6:E6"/>
  </mergeCells>
  <pageMargins left="0.68" right="0.48" top="0.75" bottom="0.75" header="0.3" footer="0.3"/>
  <pageSetup paperSize="9" scale="85" fitToHeight="0" orientation="portrait" r:id="rId1"/>
  <colBreaks count="1" manualBreakCount="1">
    <brk id="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E58"/>
  <sheetViews>
    <sheetView view="pageBreakPreview" zoomScaleNormal="100" zoomScaleSheetLayoutView="100" workbookViewId="0">
      <selection activeCell="H16" sqref="H16"/>
    </sheetView>
  </sheetViews>
  <sheetFormatPr defaultColWidth="9" defaultRowHeight="15.75"/>
  <cols>
    <col min="1" max="1" width="5.109375" style="22" customWidth="1"/>
    <col min="2" max="2" width="56.44140625" style="22" customWidth="1"/>
    <col min="3" max="3" width="15.5546875" style="639" customWidth="1"/>
    <col min="4" max="4" width="9" style="22"/>
    <col min="5" max="5" width="10.21875" style="22" customWidth="1"/>
    <col min="6" max="16384" width="9" style="22"/>
  </cols>
  <sheetData>
    <row r="1" spans="1:5" ht="21" customHeight="1">
      <c r="A1" s="54"/>
      <c r="B1" s="802" t="s">
        <v>169</v>
      </c>
      <c r="C1" s="802"/>
    </row>
    <row r="2" spans="1:5" ht="21" customHeight="1">
      <c r="A2" s="803" t="s">
        <v>847</v>
      </c>
      <c r="B2" s="803"/>
      <c r="C2" s="803"/>
    </row>
    <row r="3" spans="1:5" ht="21" customHeight="1">
      <c r="A3" s="804" t="str">
        <f>'PL15'!A3</f>
        <v xml:space="preserve"> Biểu kèm theo Báo cáo số 99/BC-BKTXH ngày 12/12/2024 của Ban KT-XH,HĐND huyện Tuần Giáo</v>
      </c>
      <c r="B3" s="804"/>
      <c r="C3" s="804"/>
    </row>
    <row r="4" spans="1:5" ht="23.25" customHeight="1">
      <c r="A4" s="70"/>
      <c r="B4" s="70"/>
      <c r="C4" s="55" t="s">
        <v>87</v>
      </c>
    </row>
    <row r="5" spans="1:5" ht="9.75" customHeight="1">
      <c r="A5" s="792" t="s">
        <v>58</v>
      </c>
      <c r="B5" s="792" t="s">
        <v>5</v>
      </c>
      <c r="C5" s="795" t="s">
        <v>6</v>
      </c>
    </row>
    <row r="6" spans="1:5" ht="9.75" customHeight="1">
      <c r="A6" s="792"/>
      <c r="B6" s="792"/>
      <c r="C6" s="795"/>
    </row>
    <row r="7" spans="1:5" ht="9.75" customHeight="1">
      <c r="A7" s="792"/>
      <c r="B7" s="792"/>
      <c r="C7" s="795"/>
    </row>
    <row r="8" spans="1:5" s="36" customFormat="1" ht="17.25" customHeight="1">
      <c r="A8" s="50" t="s">
        <v>8</v>
      </c>
      <c r="B8" s="50" t="s">
        <v>9</v>
      </c>
      <c r="C8" s="50">
        <v>1</v>
      </c>
    </row>
    <row r="9" spans="1:5" ht="21.75" customHeight="1">
      <c r="A9" s="50"/>
      <c r="B9" s="66" t="s">
        <v>321</v>
      </c>
      <c r="C9" s="630">
        <f>C10+C13+C39</f>
        <v>1131516</v>
      </c>
      <c r="D9" s="29"/>
      <c r="E9" s="29"/>
    </row>
    <row r="10" spans="1:5" ht="21.75" customHeight="1">
      <c r="A10" s="50" t="s">
        <v>8</v>
      </c>
      <c r="B10" s="66" t="s">
        <v>174</v>
      </c>
      <c r="C10" s="630">
        <f>C11+C12</f>
        <v>138655</v>
      </c>
    </row>
    <row r="11" spans="1:5" ht="21.75" customHeight="1">
      <c r="A11" s="40">
        <v>1</v>
      </c>
      <c r="B11" s="64" t="s">
        <v>175</v>
      </c>
      <c r="C11" s="256">
        <f>+'Chi xã,TT 2025'!C15</f>
        <v>135407</v>
      </c>
      <c r="E11" s="29"/>
    </row>
    <row r="12" spans="1:5" ht="21.75" customHeight="1">
      <c r="A12" s="40">
        <v>2</v>
      </c>
      <c r="B12" s="64" t="s">
        <v>94</v>
      </c>
      <c r="C12" s="256">
        <f>+'Chi xã,TT 2025'!C16</f>
        <v>3248</v>
      </c>
    </row>
    <row r="13" spans="1:5" ht="21.75" customHeight="1">
      <c r="A13" s="50" t="s">
        <v>9</v>
      </c>
      <c r="B13" s="66" t="s">
        <v>322</v>
      </c>
      <c r="C13" s="630">
        <f>+C14+C42</f>
        <v>992861</v>
      </c>
      <c r="D13" s="29">
        <f>C13-'PL33'!D9</f>
        <v>0</v>
      </c>
      <c r="E13" s="29"/>
    </row>
    <row r="14" spans="1:5" ht="21.75" customHeight="1">
      <c r="A14" s="192" t="s">
        <v>325</v>
      </c>
      <c r="B14" s="193" t="s">
        <v>692</v>
      </c>
      <c r="C14" s="630">
        <f>+C15+C22+C37</f>
        <v>894129</v>
      </c>
      <c r="D14" s="29"/>
      <c r="E14" s="29"/>
    </row>
    <row r="15" spans="1:5" ht="21.75" customHeight="1">
      <c r="A15" s="50" t="s">
        <v>18</v>
      </c>
      <c r="B15" s="66" t="s">
        <v>41</v>
      </c>
      <c r="C15" s="214">
        <f>C16+C21</f>
        <v>38692</v>
      </c>
      <c r="D15" s="29"/>
      <c r="E15" s="29"/>
    </row>
    <row r="16" spans="1:5" s="37" customFormat="1" ht="21.75" customHeight="1">
      <c r="A16" s="40">
        <v>1</v>
      </c>
      <c r="B16" s="64" t="s">
        <v>72</v>
      </c>
      <c r="C16" s="256">
        <f>+C17+C18+C19</f>
        <v>38692</v>
      </c>
      <c r="E16" s="38"/>
    </row>
    <row r="17" spans="1:3" s="37" customFormat="1" ht="21.75" customHeight="1">
      <c r="A17" s="65" t="s">
        <v>15</v>
      </c>
      <c r="B17" s="617" t="s">
        <v>286</v>
      </c>
      <c r="C17" s="256">
        <f>+'PL33'!D14</f>
        <v>0</v>
      </c>
    </row>
    <row r="18" spans="1:3" s="37" customFormat="1" ht="21.75" customHeight="1">
      <c r="A18" s="65" t="s">
        <v>15</v>
      </c>
      <c r="B18" s="631" t="s">
        <v>36</v>
      </c>
      <c r="C18" s="256">
        <f>+'PL33'!D15</f>
        <v>500</v>
      </c>
    </row>
    <row r="19" spans="1:3" s="37" customFormat="1" ht="21.75" customHeight="1">
      <c r="A19" s="65" t="s">
        <v>15</v>
      </c>
      <c r="B19" s="617" t="s">
        <v>110</v>
      </c>
      <c r="C19" s="256">
        <f>+'PL33'!D16</f>
        <v>38192</v>
      </c>
    </row>
    <row r="20" spans="1:3" s="37" customFormat="1" ht="21.75" hidden="1" customHeight="1">
      <c r="A20" s="65" t="s">
        <v>15</v>
      </c>
      <c r="B20" s="617" t="s">
        <v>287</v>
      </c>
      <c r="C20" s="623"/>
    </row>
    <row r="21" spans="1:3" ht="21.75" hidden="1" customHeight="1">
      <c r="A21" s="65">
        <v>2</v>
      </c>
      <c r="B21" s="64" t="s">
        <v>131</v>
      </c>
      <c r="C21" s="623"/>
    </row>
    <row r="22" spans="1:3" ht="21.75" customHeight="1">
      <c r="A22" s="50" t="s">
        <v>19</v>
      </c>
      <c r="B22" s="66" t="s">
        <v>24</v>
      </c>
      <c r="C22" s="630">
        <f>SUM(C23:C36)</f>
        <v>837561</v>
      </c>
    </row>
    <row r="23" spans="1:3" s="37" customFormat="1" ht="21.75" customHeight="1">
      <c r="A23" s="40">
        <v>1</v>
      </c>
      <c r="B23" s="64" t="s">
        <v>208</v>
      </c>
      <c r="C23" s="623">
        <f>+'PL33'!D24</f>
        <v>642988</v>
      </c>
    </row>
    <row r="24" spans="1:3" s="37" customFormat="1" ht="21.75" customHeight="1">
      <c r="A24" s="40">
        <v>2</v>
      </c>
      <c r="B24" s="64" t="s">
        <v>32</v>
      </c>
      <c r="C24" s="623">
        <f>+'PL33'!D25</f>
        <v>0</v>
      </c>
    </row>
    <row r="25" spans="1:3" s="37" customFormat="1" ht="21.75" customHeight="1">
      <c r="A25" s="40">
        <v>3</v>
      </c>
      <c r="B25" s="632" t="s">
        <v>33</v>
      </c>
      <c r="C25" s="623">
        <f>+'PL33'!D26</f>
        <v>4500</v>
      </c>
    </row>
    <row r="26" spans="1:3" s="37" customFormat="1" ht="21.75" customHeight="1">
      <c r="A26" s="40">
        <v>4</v>
      </c>
      <c r="B26" s="632" t="s">
        <v>34</v>
      </c>
      <c r="C26" s="623">
        <f>+'PL33'!D27</f>
        <v>1900</v>
      </c>
    </row>
    <row r="27" spans="1:3" s="37" customFormat="1" ht="21.75" customHeight="1">
      <c r="A27" s="40">
        <v>5</v>
      </c>
      <c r="B27" s="632" t="s">
        <v>35</v>
      </c>
      <c r="C27" s="623">
        <f>+'PL33'!D28</f>
        <v>315</v>
      </c>
    </row>
    <row r="28" spans="1:3" s="37" customFormat="1" ht="21.75" customHeight="1">
      <c r="A28" s="40">
        <v>6</v>
      </c>
      <c r="B28" s="632" t="s">
        <v>36</v>
      </c>
      <c r="C28" s="623">
        <f>+'PL33'!D29</f>
        <v>1876</v>
      </c>
    </row>
    <row r="29" spans="1:3" s="37" customFormat="1" ht="21.75" customHeight="1">
      <c r="A29" s="40">
        <v>7</v>
      </c>
      <c r="B29" s="632" t="s">
        <v>37</v>
      </c>
      <c r="C29" s="623">
        <f>+'PL33'!D30</f>
        <v>3418</v>
      </c>
    </row>
    <row r="30" spans="1:3" s="37" customFormat="1" ht="21.75" customHeight="1">
      <c r="A30" s="40">
        <v>8</v>
      </c>
      <c r="B30" s="632" t="s">
        <v>38</v>
      </c>
      <c r="C30" s="623">
        <f>+'PL33'!D31</f>
        <v>741</v>
      </c>
    </row>
    <row r="31" spans="1:3" s="37" customFormat="1" ht="21.75" customHeight="1">
      <c r="A31" s="40">
        <v>9</v>
      </c>
      <c r="B31" s="632" t="s">
        <v>39</v>
      </c>
      <c r="C31" s="623">
        <f>+'PL33'!D32</f>
        <v>9220</v>
      </c>
    </row>
    <row r="32" spans="1:3" ht="21.75" customHeight="1">
      <c r="A32" s="40">
        <v>10</v>
      </c>
      <c r="B32" s="632" t="s">
        <v>199</v>
      </c>
      <c r="C32" s="623">
        <f>+'PL33'!D33</f>
        <v>48670</v>
      </c>
    </row>
    <row r="33" spans="1:3" s="37" customFormat="1" ht="21.75" customHeight="1">
      <c r="A33" s="40">
        <v>11</v>
      </c>
      <c r="B33" s="632" t="s">
        <v>181</v>
      </c>
      <c r="C33" s="623">
        <f>+'PL33'!D34</f>
        <v>49257</v>
      </c>
    </row>
    <row r="34" spans="1:3" ht="21.75" customHeight="1">
      <c r="A34" s="40">
        <v>12</v>
      </c>
      <c r="B34" s="632" t="s">
        <v>25</v>
      </c>
      <c r="C34" s="623">
        <f>+'PL33'!D35</f>
        <v>72606</v>
      </c>
    </row>
    <row r="35" spans="1:3" ht="21.75" customHeight="1">
      <c r="A35" s="40">
        <v>13</v>
      </c>
      <c r="B35" s="632" t="s">
        <v>40</v>
      </c>
      <c r="C35" s="623">
        <f>+'PL33'!D36</f>
        <v>2070</v>
      </c>
    </row>
    <row r="36" spans="1:3" ht="21.75" hidden="1" customHeight="1">
      <c r="A36" s="40">
        <v>14</v>
      </c>
      <c r="B36" s="64" t="s">
        <v>291</v>
      </c>
      <c r="C36" s="256"/>
    </row>
    <row r="37" spans="1:3" ht="21.75" customHeight="1">
      <c r="A37" s="50" t="s">
        <v>20</v>
      </c>
      <c r="B37" s="66" t="s">
        <v>27</v>
      </c>
      <c r="C37" s="214">
        <f>+'PL33'!D38</f>
        <v>17876</v>
      </c>
    </row>
    <row r="38" spans="1:3" ht="21.75" hidden="1" customHeight="1">
      <c r="A38" s="633" t="s">
        <v>21</v>
      </c>
      <c r="B38" s="28" t="s">
        <v>73</v>
      </c>
      <c r="C38" s="634"/>
    </row>
    <row r="39" spans="1:3" ht="21.75" hidden="1" customHeight="1">
      <c r="A39" s="633" t="s">
        <v>295</v>
      </c>
      <c r="B39" s="28" t="s">
        <v>296</v>
      </c>
      <c r="C39" s="635"/>
    </row>
    <row r="40" spans="1:3" hidden="1">
      <c r="A40" s="194"/>
      <c r="B40" s="194"/>
      <c r="C40" s="636"/>
    </row>
    <row r="41" spans="1:3" hidden="1">
      <c r="A41" s="194"/>
      <c r="B41" s="194"/>
      <c r="C41" s="636"/>
    </row>
    <row r="42" spans="1:3" ht="23.25" customHeight="1">
      <c r="A42" s="195" t="s">
        <v>326</v>
      </c>
      <c r="B42" s="620" t="s">
        <v>102</v>
      </c>
      <c r="C42" s="63">
        <f>C43+C53</f>
        <v>98732</v>
      </c>
    </row>
    <row r="43" spans="1:3" ht="23.25" customHeight="1">
      <c r="A43" s="50" t="s">
        <v>18</v>
      </c>
      <c r="B43" s="66" t="s">
        <v>99</v>
      </c>
      <c r="C43" s="63">
        <f>C44+C50+C47</f>
        <v>98066</v>
      </c>
    </row>
    <row r="44" spans="1:3" ht="33.75" customHeight="1">
      <c r="A44" s="40">
        <v>1</v>
      </c>
      <c r="B44" s="637" t="s">
        <v>280</v>
      </c>
      <c r="C44" s="62">
        <f>C45+C46</f>
        <v>75372</v>
      </c>
    </row>
    <row r="45" spans="1:3" ht="21" customHeight="1">
      <c r="A45" s="40"/>
      <c r="B45" s="64" t="s">
        <v>178</v>
      </c>
      <c r="C45" s="88">
        <f>+'PL33'!D43</f>
        <v>75372</v>
      </c>
    </row>
    <row r="46" spans="1:3" ht="21" customHeight="1">
      <c r="A46" s="40"/>
      <c r="B46" s="64" t="s">
        <v>179</v>
      </c>
      <c r="C46" s="88">
        <f>+'PL33'!D44</f>
        <v>0</v>
      </c>
    </row>
    <row r="47" spans="1:3" ht="21" customHeight="1">
      <c r="A47" s="40">
        <v>2</v>
      </c>
      <c r="B47" s="637" t="s">
        <v>281</v>
      </c>
      <c r="C47" s="62">
        <f>C48+C49</f>
        <v>11000</v>
      </c>
    </row>
    <row r="48" spans="1:3" ht="21" customHeight="1">
      <c r="A48" s="40"/>
      <c r="B48" s="64" t="s">
        <v>178</v>
      </c>
      <c r="C48" s="88">
        <f>+'PL33'!D46</f>
        <v>11000</v>
      </c>
    </row>
    <row r="49" spans="1:3" ht="21" customHeight="1">
      <c r="A49" s="40"/>
      <c r="B49" s="64" t="s">
        <v>179</v>
      </c>
      <c r="C49" s="88">
        <f>+'PL33'!D47</f>
        <v>0</v>
      </c>
    </row>
    <row r="50" spans="1:3" ht="21" customHeight="1">
      <c r="A50" s="40">
        <v>3</v>
      </c>
      <c r="B50" s="64" t="s">
        <v>702</v>
      </c>
      <c r="C50" s="62">
        <f>C51+C52</f>
        <v>11694</v>
      </c>
    </row>
    <row r="51" spans="1:3" ht="21" customHeight="1">
      <c r="A51" s="40"/>
      <c r="B51" s="64" t="s">
        <v>178</v>
      </c>
      <c r="C51" s="88">
        <f>+'PL33'!D49</f>
        <v>11204</v>
      </c>
    </row>
    <row r="52" spans="1:3" ht="21" customHeight="1">
      <c r="A52" s="40"/>
      <c r="B52" s="64" t="s">
        <v>179</v>
      </c>
      <c r="C52" s="88">
        <f>+'PL33'!D50</f>
        <v>490</v>
      </c>
    </row>
    <row r="53" spans="1:3" ht="39.75" customHeight="1">
      <c r="A53" s="50" t="s">
        <v>19</v>
      </c>
      <c r="B53" s="642" t="s">
        <v>811</v>
      </c>
      <c r="C53" s="63">
        <f>C54+C56</f>
        <v>666</v>
      </c>
    </row>
    <row r="54" spans="1:3" ht="21" hidden="1" customHeight="1">
      <c r="A54" s="40">
        <v>1</v>
      </c>
      <c r="B54" s="64" t="s">
        <v>178</v>
      </c>
      <c r="C54" s="62"/>
    </row>
    <row r="55" spans="1:3" ht="21" hidden="1" customHeight="1">
      <c r="A55" s="49"/>
      <c r="B55" s="627" t="s">
        <v>292</v>
      </c>
      <c r="C55" s="638"/>
    </row>
    <row r="56" spans="1:3" ht="21" hidden="1" customHeight="1">
      <c r="A56" s="40">
        <v>2</v>
      </c>
      <c r="B56" s="64" t="s">
        <v>179</v>
      </c>
      <c r="C56" s="62">
        <f>C57+C58</f>
        <v>666</v>
      </c>
    </row>
    <row r="57" spans="1:3" ht="21" customHeight="1">
      <c r="A57" s="40">
        <v>1</v>
      </c>
      <c r="B57" s="64" t="s">
        <v>283</v>
      </c>
      <c r="C57" s="62">
        <f>+'PL33'!D52</f>
        <v>475</v>
      </c>
    </row>
    <row r="58" spans="1:3" ht="21" customHeight="1">
      <c r="A58" s="40">
        <v>2</v>
      </c>
      <c r="B58" s="64" t="s">
        <v>293</v>
      </c>
      <c r="C58" s="62">
        <f>+'PL33'!D53</f>
        <v>191</v>
      </c>
    </row>
  </sheetData>
  <mergeCells count="6">
    <mergeCell ref="B1:C1"/>
    <mergeCell ref="A2:C2"/>
    <mergeCell ref="A3:C3"/>
    <mergeCell ref="A5:A7"/>
    <mergeCell ref="B5:B7"/>
    <mergeCell ref="C5:C7"/>
  </mergeCells>
  <pageMargins left="0.62" right="0.38" top="0.94" bottom="1.35" header="0.56999999999999995"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O38"/>
  <sheetViews>
    <sheetView view="pageBreakPreview" zoomScaleNormal="100" zoomScaleSheetLayoutView="100" workbookViewId="0">
      <pane xSplit="3" ySplit="10" topLeftCell="D11" activePane="bottomRight" state="frozen"/>
      <selection pane="topRight" activeCell="D1" sqref="D1"/>
      <selection pane="bottomLeft" activeCell="A11" sqref="A11"/>
      <selection pane="bottomRight" activeCell="O20" sqref="O20"/>
    </sheetView>
  </sheetViews>
  <sheetFormatPr defaultColWidth="9" defaultRowHeight="15"/>
  <cols>
    <col min="1" max="1" width="5.44140625" style="184" customWidth="1"/>
    <col min="2" max="2" width="36.109375" style="184" customWidth="1"/>
    <col min="3" max="4" width="10.109375" style="184" customWidth="1"/>
    <col min="5" max="5" width="10.21875" style="184" customWidth="1"/>
    <col min="6" max="6" width="7.21875" style="184" customWidth="1"/>
    <col min="7" max="7" width="9.21875" style="184" hidden="1" customWidth="1"/>
    <col min="8" max="8" width="10.109375" style="184" customWidth="1"/>
    <col min="9" max="9" width="9.6640625" style="184" customWidth="1"/>
    <col min="10" max="10" width="9.33203125" style="184" customWidth="1"/>
    <col min="11" max="11" width="6.77734375" style="184" customWidth="1"/>
    <col min="12" max="12" width="8.33203125" style="184" customWidth="1"/>
    <col min="13" max="13" width="8.6640625" style="184" customWidth="1"/>
    <col min="14" max="14" width="11.21875" style="184" customWidth="1"/>
    <col min="15" max="16384" width="9" style="184"/>
  </cols>
  <sheetData>
    <row r="1" spans="1:15" ht="21" customHeight="1">
      <c r="A1" s="317"/>
      <c r="B1" s="317"/>
      <c r="C1" s="318"/>
      <c r="D1" s="318"/>
      <c r="E1" s="318"/>
      <c r="F1" s="317"/>
      <c r="G1" s="318"/>
      <c r="H1" s="318"/>
      <c r="I1" s="202"/>
      <c r="J1" s="202"/>
      <c r="K1" s="202"/>
      <c r="L1" s="210"/>
      <c r="M1" s="203" t="s">
        <v>168</v>
      </c>
    </row>
    <row r="2" spans="1:15" ht="21" customHeight="1">
      <c r="A2" s="201" t="s">
        <v>848</v>
      </c>
      <c r="B2" s="317"/>
      <c r="C2" s="318"/>
      <c r="D2" s="318"/>
      <c r="E2" s="318"/>
      <c r="F2" s="318"/>
      <c r="G2" s="318"/>
      <c r="H2" s="318"/>
      <c r="I2" s="318"/>
      <c r="J2" s="318"/>
      <c r="K2" s="318"/>
      <c r="L2" s="318"/>
      <c r="M2" s="318"/>
    </row>
    <row r="3" spans="1:15" ht="21" customHeight="1">
      <c r="A3" s="788" t="str">
        <f>'PL34'!A3</f>
        <v xml:space="preserve"> Biểu kèm theo Báo cáo số 99/BC-BKTXH ngày 12/12/2024 của Ban KT-XH,HĐND huyện Tuần Giáo</v>
      </c>
      <c r="B3" s="788"/>
      <c r="C3" s="788"/>
      <c r="D3" s="788"/>
      <c r="E3" s="788"/>
      <c r="F3" s="788"/>
      <c r="G3" s="788"/>
      <c r="H3" s="788"/>
      <c r="I3" s="788"/>
      <c r="J3" s="788"/>
      <c r="K3" s="788"/>
      <c r="L3" s="788"/>
      <c r="M3" s="788"/>
    </row>
    <row r="4" spans="1:15" ht="19.5" customHeight="1">
      <c r="A4" s="319"/>
      <c r="B4" s="319"/>
      <c r="C4" s="320"/>
      <c r="D4" s="320"/>
      <c r="E4" s="320"/>
      <c r="F4" s="321"/>
      <c r="G4" s="321"/>
      <c r="H4" s="321"/>
      <c r="I4" s="321"/>
      <c r="J4" s="321"/>
      <c r="K4" s="321"/>
      <c r="L4" s="309"/>
      <c r="M4" s="322" t="s">
        <v>87</v>
      </c>
    </row>
    <row r="5" spans="1:15" ht="61.5" customHeight="1">
      <c r="A5" s="812" t="s">
        <v>58</v>
      </c>
      <c r="B5" s="813" t="s">
        <v>29</v>
      </c>
      <c r="C5" s="813" t="s">
        <v>76</v>
      </c>
      <c r="D5" s="812" t="s">
        <v>323</v>
      </c>
      <c r="E5" s="812" t="s">
        <v>324</v>
      </c>
      <c r="F5" s="812" t="s">
        <v>92</v>
      </c>
      <c r="G5" s="812" t="s">
        <v>73</v>
      </c>
      <c r="H5" s="813" t="s">
        <v>114</v>
      </c>
      <c r="I5" s="813"/>
      <c r="J5" s="813"/>
      <c r="K5" s="812" t="s">
        <v>849</v>
      </c>
      <c r="L5" s="812"/>
      <c r="M5" s="812"/>
    </row>
    <row r="6" spans="1:15" ht="19.5" customHeight="1">
      <c r="A6" s="812"/>
      <c r="B6" s="813"/>
      <c r="C6" s="813"/>
      <c r="D6" s="812"/>
      <c r="E6" s="812"/>
      <c r="F6" s="812"/>
      <c r="G6" s="812"/>
      <c r="H6" s="813" t="s">
        <v>76</v>
      </c>
      <c r="I6" s="812" t="s">
        <v>22</v>
      </c>
      <c r="J6" s="812" t="s">
        <v>24</v>
      </c>
      <c r="K6" s="812" t="s">
        <v>76</v>
      </c>
      <c r="L6" s="812" t="s">
        <v>22</v>
      </c>
      <c r="M6" s="812" t="s">
        <v>24</v>
      </c>
    </row>
    <row r="7" spans="1:15" ht="19.5" customHeight="1">
      <c r="A7" s="812"/>
      <c r="B7" s="813"/>
      <c r="C7" s="813"/>
      <c r="D7" s="812"/>
      <c r="E7" s="812"/>
      <c r="F7" s="812"/>
      <c r="G7" s="812"/>
      <c r="H7" s="813"/>
      <c r="I7" s="812"/>
      <c r="J7" s="812"/>
      <c r="K7" s="812"/>
      <c r="L7" s="812"/>
      <c r="M7" s="812"/>
    </row>
    <row r="8" spans="1:15" ht="25.5" customHeight="1">
      <c r="A8" s="812"/>
      <c r="B8" s="813"/>
      <c r="C8" s="813"/>
      <c r="D8" s="812"/>
      <c r="E8" s="812"/>
      <c r="F8" s="812"/>
      <c r="G8" s="812"/>
      <c r="H8" s="813"/>
      <c r="I8" s="812"/>
      <c r="J8" s="812"/>
      <c r="K8" s="812"/>
      <c r="L8" s="812"/>
      <c r="M8" s="812"/>
    </row>
    <row r="9" spans="1:15" s="210" customFormat="1" ht="18.75" customHeight="1">
      <c r="A9" s="165" t="s">
        <v>8</v>
      </c>
      <c r="B9" s="165" t="s">
        <v>9</v>
      </c>
      <c r="C9" s="165">
        <v>1</v>
      </c>
      <c r="D9" s="209">
        <f>C9+1</f>
        <v>2</v>
      </c>
      <c r="E9" s="209">
        <f t="shared" ref="E9:M9" si="0">D9+1</f>
        <v>3</v>
      </c>
      <c r="F9" s="209">
        <v>4</v>
      </c>
      <c r="G9" s="209"/>
      <c r="H9" s="209">
        <v>5</v>
      </c>
      <c r="I9" s="209">
        <f t="shared" si="0"/>
        <v>6</v>
      </c>
      <c r="J9" s="209">
        <f t="shared" si="0"/>
        <v>7</v>
      </c>
      <c r="K9" s="209">
        <f t="shared" si="0"/>
        <v>8</v>
      </c>
      <c r="L9" s="209">
        <f t="shared" si="0"/>
        <v>9</v>
      </c>
      <c r="M9" s="209">
        <f t="shared" si="0"/>
        <v>10</v>
      </c>
    </row>
    <row r="10" spans="1:15" ht="18.75" customHeight="1">
      <c r="A10" s="568"/>
      <c r="B10" s="323" t="s">
        <v>28</v>
      </c>
      <c r="C10" s="324">
        <f>C11+C35+C36</f>
        <v>1131516</v>
      </c>
      <c r="D10" s="324">
        <f t="shared" ref="D10:M10" si="1">D11+D35+D36</f>
        <v>38692</v>
      </c>
      <c r="E10" s="324">
        <f t="shared" si="1"/>
        <v>970159</v>
      </c>
      <c r="F10" s="324">
        <f t="shared" si="1"/>
        <v>20685</v>
      </c>
      <c r="G10" s="324">
        <f t="shared" si="1"/>
        <v>0</v>
      </c>
      <c r="H10" s="324">
        <f t="shared" si="1"/>
        <v>98066</v>
      </c>
      <c r="I10" s="324">
        <f t="shared" si="1"/>
        <v>97576</v>
      </c>
      <c r="J10" s="324">
        <f t="shared" si="1"/>
        <v>490</v>
      </c>
      <c r="K10" s="324">
        <f t="shared" si="1"/>
        <v>3914</v>
      </c>
      <c r="L10" s="324">
        <f t="shared" si="1"/>
        <v>0</v>
      </c>
      <c r="M10" s="324">
        <f t="shared" si="1"/>
        <v>3914</v>
      </c>
      <c r="N10" s="258">
        <f>C10-C36</f>
        <v>992861</v>
      </c>
      <c r="O10" s="258">
        <f>N10-'Chi 2025'!D7</f>
        <v>0</v>
      </c>
    </row>
    <row r="11" spans="1:15" s="325" customFormat="1" ht="18.75" customHeight="1">
      <c r="A11" s="568" t="s">
        <v>18</v>
      </c>
      <c r="B11" s="323" t="s">
        <v>115</v>
      </c>
      <c r="C11" s="324">
        <f t="shared" ref="C11:M11" si="2">SUM(C12:C34)</f>
        <v>974985</v>
      </c>
      <c r="D11" s="324">
        <f t="shared" si="2"/>
        <v>38692</v>
      </c>
      <c r="E11" s="324">
        <f t="shared" si="2"/>
        <v>837561</v>
      </c>
      <c r="F11" s="324">
        <f t="shared" si="2"/>
        <v>0</v>
      </c>
      <c r="G11" s="324">
        <f t="shared" si="2"/>
        <v>0</v>
      </c>
      <c r="H11" s="324">
        <f t="shared" si="2"/>
        <v>98066</v>
      </c>
      <c r="I11" s="324">
        <f t="shared" si="2"/>
        <v>97576</v>
      </c>
      <c r="J11" s="324">
        <f t="shared" si="2"/>
        <v>490</v>
      </c>
      <c r="K11" s="324">
        <f t="shared" si="2"/>
        <v>666</v>
      </c>
      <c r="L11" s="324">
        <f t="shared" si="2"/>
        <v>0</v>
      </c>
      <c r="M11" s="324">
        <f t="shared" si="2"/>
        <v>666</v>
      </c>
      <c r="N11" s="643"/>
      <c r="O11" s="643"/>
    </row>
    <row r="12" spans="1:15" ht="18.75" customHeight="1">
      <c r="A12" s="165">
        <v>1</v>
      </c>
      <c r="B12" s="326" t="s">
        <v>151</v>
      </c>
      <c r="C12" s="327">
        <f>SUM(D12:H12)+K12</f>
        <v>11502</v>
      </c>
      <c r="D12" s="327"/>
      <c r="E12" s="327">
        <f>+'Chi 2025'!E8</f>
        <v>11502</v>
      </c>
      <c r="F12" s="327"/>
      <c r="G12" s="327"/>
      <c r="H12" s="327">
        <f>I12+J12</f>
        <v>0</v>
      </c>
      <c r="I12" s="327"/>
      <c r="J12" s="327"/>
      <c r="K12" s="327">
        <f>L12+M12</f>
        <v>0</v>
      </c>
      <c r="L12" s="327"/>
      <c r="M12" s="327"/>
    </row>
    <row r="13" spans="1:15" ht="18.75" customHeight="1">
      <c r="A13" s="165">
        <v>2</v>
      </c>
      <c r="B13" s="326" t="s">
        <v>152</v>
      </c>
      <c r="C13" s="327">
        <f t="shared" ref="C13:C36" si="3">SUM(D13:H13)+K13</f>
        <v>6141</v>
      </c>
      <c r="D13" s="327"/>
      <c r="E13" s="327">
        <f>+'Chi 2025'!F8</f>
        <v>6141</v>
      </c>
      <c r="F13" s="327"/>
      <c r="G13" s="327"/>
      <c r="H13" s="327">
        <f>I13+J13</f>
        <v>0</v>
      </c>
      <c r="I13" s="327"/>
      <c r="J13" s="327"/>
      <c r="K13" s="327">
        <f>L13+M13</f>
        <v>0</v>
      </c>
      <c r="L13" s="327"/>
      <c r="M13" s="327"/>
    </row>
    <row r="14" spans="1:15" ht="18.75" customHeight="1">
      <c r="A14" s="165">
        <v>3</v>
      </c>
      <c r="B14" s="326" t="s">
        <v>150</v>
      </c>
      <c r="C14" s="327">
        <f t="shared" si="3"/>
        <v>10464</v>
      </c>
      <c r="D14" s="327"/>
      <c r="E14" s="327">
        <f>+'Chi 2025'!G8</f>
        <v>10464</v>
      </c>
      <c r="F14" s="327"/>
      <c r="G14" s="327"/>
      <c r="H14" s="327">
        <f>I14+J14</f>
        <v>0</v>
      </c>
      <c r="I14" s="327"/>
      <c r="J14" s="327"/>
      <c r="K14" s="327">
        <f>L14+M14</f>
        <v>0</v>
      </c>
      <c r="L14" s="327"/>
      <c r="M14" s="327"/>
    </row>
    <row r="15" spans="1:15" ht="18.75" customHeight="1">
      <c r="A15" s="165">
        <v>4</v>
      </c>
      <c r="B15" s="326" t="s">
        <v>153</v>
      </c>
      <c r="C15" s="327">
        <f t="shared" si="3"/>
        <v>7847</v>
      </c>
      <c r="D15" s="327"/>
      <c r="E15" s="327">
        <f>+'Chi 2025'!H8</f>
        <v>7357</v>
      </c>
      <c r="F15" s="327"/>
      <c r="G15" s="327"/>
      <c r="H15" s="327">
        <f t="shared" ref="H15:H35" si="4">I15+J15</f>
        <v>490</v>
      </c>
      <c r="I15" s="327"/>
      <c r="J15" s="327">
        <f>+'Chi 2025'!H79</f>
        <v>490</v>
      </c>
      <c r="K15" s="327">
        <f t="shared" ref="K15:K36" si="5">L15+M15</f>
        <v>0</v>
      </c>
      <c r="L15" s="327"/>
      <c r="M15" s="327"/>
    </row>
    <row r="16" spans="1:15" ht="18.75" customHeight="1">
      <c r="A16" s="165">
        <v>5</v>
      </c>
      <c r="B16" s="326" t="s">
        <v>303</v>
      </c>
      <c r="C16" s="327">
        <f t="shared" si="3"/>
        <v>1876</v>
      </c>
      <c r="D16" s="327"/>
      <c r="E16" s="327">
        <f>+'Chi 2025'!I8</f>
        <v>1876</v>
      </c>
      <c r="F16" s="327"/>
      <c r="G16" s="327"/>
      <c r="H16" s="327">
        <f t="shared" si="4"/>
        <v>0</v>
      </c>
      <c r="I16" s="327"/>
      <c r="J16" s="327"/>
      <c r="K16" s="327">
        <f t="shared" si="5"/>
        <v>0</v>
      </c>
      <c r="L16" s="327"/>
      <c r="M16" s="327"/>
    </row>
    <row r="17" spans="1:13" ht="18.75" customHeight="1">
      <c r="A17" s="165">
        <v>6</v>
      </c>
      <c r="B17" s="326" t="s">
        <v>155</v>
      </c>
      <c r="C17" s="327">
        <f t="shared" si="3"/>
        <v>12749</v>
      </c>
      <c r="D17" s="327"/>
      <c r="E17" s="327">
        <f>+'Chi 2025'!J8</f>
        <v>12749</v>
      </c>
      <c r="F17" s="327"/>
      <c r="G17" s="327"/>
      <c r="H17" s="327">
        <f t="shared" si="4"/>
        <v>0</v>
      </c>
      <c r="I17" s="327"/>
      <c r="J17" s="327"/>
      <c r="K17" s="327">
        <f t="shared" si="5"/>
        <v>0</v>
      </c>
      <c r="L17" s="327"/>
      <c r="M17" s="327"/>
    </row>
    <row r="18" spans="1:13" ht="18.75" customHeight="1">
      <c r="A18" s="165">
        <v>7</v>
      </c>
      <c r="B18" s="326" t="s">
        <v>156</v>
      </c>
      <c r="C18" s="327">
        <f t="shared" si="3"/>
        <v>1235</v>
      </c>
      <c r="D18" s="327"/>
      <c r="E18" s="327">
        <f>+'Chi 2025'!K8</f>
        <v>1235</v>
      </c>
      <c r="F18" s="327"/>
      <c r="G18" s="327"/>
      <c r="H18" s="327">
        <f t="shared" si="4"/>
        <v>0</v>
      </c>
      <c r="I18" s="327"/>
      <c r="J18" s="327"/>
      <c r="K18" s="327">
        <f t="shared" si="5"/>
        <v>0</v>
      </c>
      <c r="L18" s="327"/>
      <c r="M18" s="327"/>
    </row>
    <row r="19" spans="1:13" ht="18.75" customHeight="1">
      <c r="A19" s="165">
        <v>8</v>
      </c>
      <c r="B19" s="326" t="s">
        <v>157</v>
      </c>
      <c r="C19" s="327">
        <f t="shared" si="3"/>
        <v>992</v>
      </c>
      <c r="D19" s="327"/>
      <c r="E19" s="327">
        <f>+'Chi 2025'!L8</f>
        <v>992</v>
      </c>
      <c r="F19" s="327"/>
      <c r="G19" s="327"/>
      <c r="H19" s="327">
        <f t="shared" si="4"/>
        <v>0</v>
      </c>
      <c r="I19" s="327"/>
      <c r="J19" s="327"/>
      <c r="K19" s="327">
        <f t="shared" si="5"/>
        <v>0</v>
      </c>
      <c r="L19" s="327"/>
      <c r="M19" s="327"/>
    </row>
    <row r="20" spans="1:13" ht="18.75" customHeight="1">
      <c r="A20" s="165">
        <v>9</v>
      </c>
      <c r="B20" s="326" t="s">
        <v>158</v>
      </c>
      <c r="C20" s="327">
        <f t="shared" si="3"/>
        <v>4372</v>
      </c>
      <c r="D20" s="327"/>
      <c r="E20" s="327">
        <f>+'Chi 2025'!M8</f>
        <v>4181</v>
      </c>
      <c r="F20" s="327"/>
      <c r="G20" s="327"/>
      <c r="H20" s="327">
        <f t="shared" si="4"/>
        <v>0</v>
      </c>
      <c r="I20" s="327"/>
      <c r="J20" s="327"/>
      <c r="K20" s="327">
        <f t="shared" si="5"/>
        <v>191</v>
      </c>
      <c r="L20" s="327"/>
      <c r="M20" s="327">
        <f>+'Chi 2025'!M79</f>
        <v>191</v>
      </c>
    </row>
    <row r="21" spans="1:13" ht="18.75" customHeight="1">
      <c r="A21" s="165">
        <v>10</v>
      </c>
      <c r="B21" s="326" t="s">
        <v>159</v>
      </c>
      <c r="C21" s="327">
        <f t="shared" si="3"/>
        <v>793</v>
      </c>
      <c r="D21" s="327"/>
      <c r="E21" s="327">
        <f>+'Chi 2025'!N8</f>
        <v>793</v>
      </c>
      <c r="F21" s="327"/>
      <c r="G21" s="327"/>
      <c r="H21" s="327">
        <f t="shared" si="4"/>
        <v>0</v>
      </c>
      <c r="I21" s="327"/>
      <c r="J21" s="327"/>
      <c r="K21" s="327">
        <f t="shared" si="5"/>
        <v>0</v>
      </c>
      <c r="L21" s="327"/>
      <c r="M21" s="327"/>
    </row>
    <row r="22" spans="1:13" ht="18.75" customHeight="1">
      <c r="A22" s="165">
        <v>11</v>
      </c>
      <c r="B22" s="326" t="s">
        <v>160</v>
      </c>
      <c r="C22" s="327">
        <f t="shared" si="3"/>
        <v>4573</v>
      </c>
      <c r="D22" s="327"/>
      <c r="E22" s="327">
        <f>+'Chi 2025'!O8</f>
        <v>4573</v>
      </c>
      <c r="F22" s="327"/>
      <c r="G22" s="327"/>
      <c r="H22" s="327">
        <f t="shared" si="4"/>
        <v>0</v>
      </c>
      <c r="I22" s="327"/>
      <c r="J22" s="327"/>
      <c r="K22" s="327">
        <f t="shared" si="5"/>
        <v>0</v>
      </c>
      <c r="L22" s="327"/>
      <c r="M22" s="327"/>
    </row>
    <row r="23" spans="1:13" ht="18.75" customHeight="1">
      <c r="A23" s="165">
        <v>12</v>
      </c>
      <c r="B23" s="326" t="s">
        <v>317</v>
      </c>
      <c r="C23" s="327">
        <f t="shared" si="3"/>
        <v>73699</v>
      </c>
      <c r="D23" s="327"/>
      <c r="E23" s="327">
        <f>+'Chi 2025'!P8</f>
        <v>73699</v>
      </c>
      <c r="F23" s="327"/>
      <c r="G23" s="327"/>
      <c r="H23" s="327">
        <f t="shared" si="4"/>
        <v>0</v>
      </c>
      <c r="I23" s="327"/>
      <c r="J23" s="327"/>
      <c r="K23" s="327">
        <f t="shared" si="5"/>
        <v>0</v>
      </c>
      <c r="L23" s="327"/>
      <c r="M23" s="327"/>
    </row>
    <row r="24" spans="1:13" ht="18.75" customHeight="1">
      <c r="A24" s="165">
        <v>13</v>
      </c>
      <c r="B24" s="326" t="s">
        <v>161</v>
      </c>
      <c r="C24" s="327">
        <f t="shared" si="3"/>
        <v>875</v>
      </c>
      <c r="D24" s="327"/>
      <c r="E24" s="327">
        <f>+'Chi 2025'!Q8</f>
        <v>875</v>
      </c>
      <c r="F24" s="327"/>
      <c r="G24" s="327"/>
      <c r="H24" s="327">
        <f t="shared" si="4"/>
        <v>0</v>
      </c>
      <c r="I24" s="327"/>
      <c r="J24" s="327"/>
      <c r="K24" s="327">
        <f t="shared" si="5"/>
        <v>0</v>
      </c>
      <c r="L24" s="327"/>
      <c r="M24" s="327"/>
    </row>
    <row r="25" spans="1:13" ht="18.75" customHeight="1">
      <c r="A25" s="165">
        <v>14</v>
      </c>
      <c r="B25" s="326" t="s">
        <v>852</v>
      </c>
      <c r="C25" s="327">
        <f t="shared" si="3"/>
        <v>1239</v>
      </c>
      <c r="D25" s="327"/>
      <c r="E25" s="327">
        <f>+'Chi 2025'!R8</f>
        <v>1239</v>
      </c>
      <c r="F25" s="327"/>
      <c r="G25" s="327"/>
      <c r="H25" s="327">
        <f>I25+J25</f>
        <v>0</v>
      </c>
      <c r="I25" s="327"/>
      <c r="J25" s="327"/>
      <c r="K25" s="327">
        <f>L25+M25</f>
        <v>0</v>
      </c>
      <c r="L25" s="327"/>
      <c r="M25" s="327"/>
    </row>
    <row r="26" spans="1:13" ht="18.75" customHeight="1">
      <c r="A26" s="165">
        <v>15</v>
      </c>
      <c r="B26" s="326" t="s">
        <v>162</v>
      </c>
      <c r="C26" s="327">
        <f t="shared" si="3"/>
        <v>636556</v>
      </c>
      <c r="D26" s="327"/>
      <c r="E26" s="327">
        <f>+'Chi 2025'!S8</f>
        <v>636556</v>
      </c>
      <c r="F26" s="327"/>
      <c r="G26" s="327"/>
      <c r="H26" s="327">
        <f t="shared" si="4"/>
        <v>0</v>
      </c>
      <c r="I26" s="327"/>
      <c r="J26" s="327"/>
      <c r="K26" s="327">
        <f t="shared" si="5"/>
        <v>0</v>
      </c>
      <c r="L26" s="327"/>
      <c r="M26" s="327"/>
    </row>
    <row r="27" spans="1:13" ht="18.75" customHeight="1">
      <c r="A27" s="165">
        <v>16</v>
      </c>
      <c r="B27" s="326" t="s">
        <v>299</v>
      </c>
      <c r="C27" s="327">
        <f t="shared" si="3"/>
        <v>907</v>
      </c>
      <c r="D27" s="327"/>
      <c r="E27" s="327">
        <f>+'Chi 2025'!T8</f>
        <v>907</v>
      </c>
      <c r="F27" s="327"/>
      <c r="G27" s="327"/>
      <c r="H27" s="327">
        <f t="shared" si="4"/>
        <v>0</v>
      </c>
      <c r="I27" s="327"/>
      <c r="J27" s="327"/>
      <c r="K27" s="327">
        <f t="shared" si="5"/>
        <v>0</v>
      </c>
      <c r="L27" s="327"/>
      <c r="M27" s="327"/>
    </row>
    <row r="28" spans="1:13" ht="18.75" customHeight="1">
      <c r="A28" s="165">
        <v>17</v>
      </c>
      <c r="B28" s="326" t="s">
        <v>200</v>
      </c>
      <c r="C28" s="327">
        <f t="shared" si="3"/>
        <v>3799</v>
      </c>
      <c r="D28" s="327"/>
      <c r="E28" s="327">
        <f>+'Chi 2025'!U8</f>
        <v>3799</v>
      </c>
      <c r="F28" s="327"/>
      <c r="G28" s="327"/>
      <c r="H28" s="327">
        <f t="shared" si="4"/>
        <v>0</v>
      </c>
      <c r="I28" s="327"/>
      <c r="J28" s="327"/>
      <c r="K28" s="327">
        <f t="shared" si="5"/>
        <v>0</v>
      </c>
      <c r="L28" s="327"/>
      <c r="M28" s="327"/>
    </row>
    <row r="29" spans="1:13" ht="18.75" customHeight="1">
      <c r="A29" s="165">
        <v>18</v>
      </c>
      <c r="B29" s="326" t="s">
        <v>205</v>
      </c>
      <c r="C29" s="327">
        <f t="shared" si="3"/>
        <v>9064</v>
      </c>
      <c r="D29" s="327"/>
      <c r="E29" s="327">
        <f>+'Chi 2025'!V8</f>
        <v>9064</v>
      </c>
      <c r="F29" s="327"/>
      <c r="G29" s="327"/>
      <c r="H29" s="327">
        <f t="shared" si="4"/>
        <v>0</v>
      </c>
      <c r="I29" s="327"/>
      <c r="J29" s="327"/>
      <c r="K29" s="327">
        <f t="shared" si="5"/>
        <v>0</v>
      </c>
      <c r="L29" s="327"/>
      <c r="M29" s="327"/>
    </row>
    <row r="30" spans="1:13" ht="18.75" customHeight="1">
      <c r="A30" s="165">
        <v>19</v>
      </c>
      <c r="B30" s="326" t="s">
        <v>206</v>
      </c>
      <c r="C30" s="327">
        <f t="shared" si="3"/>
        <v>6035</v>
      </c>
      <c r="D30" s="327"/>
      <c r="E30" s="327">
        <f>+'Chi 2025'!W8</f>
        <v>6035</v>
      </c>
      <c r="F30" s="327"/>
      <c r="G30" s="327"/>
      <c r="H30" s="327">
        <f t="shared" si="4"/>
        <v>0</v>
      </c>
      <c r="I30" s="327"/>
      <c r="J30" s="327"/>
      <c r="K30" s="327">
        <f t="shared" si="5"/>
        <v>0</v>
      </c>
      <c r="L30" s="327"/>
      <c r="M30" s="327"/>
    </row>
    <row r="31" spans="1:13" s="325" customFormat="1" ht="18.75" customHeight="1">
      <c r="A31" s="165">
        <v>20</v>
      </c>
      <c r="B31" s="326" t="s">
        <v>471</v>
      </c>
      <c r="C31" s="327">
        <f t="shared" si="3"/>
        <v>1900</v>
      </c>
      <c r="D31" s="327"/>
      <c r="E31" s="327">
        <f>+'Chi 2025'!X8</f>
        <v>1900</v>
      </c>
      <c r="F31" s="327"/>
      <c r="G31" s="327"/>
      <c r="H31" s="327">
        <f t="shared" si="4"/>
        <v>0</v>
      </c>
      <c r="I31" s="327"/>
      <c r="J31" s="327"/>
      <c r="K31" s="327">
        <f t="shared" si="5"/>
        <v>0</v>
      </c>
      <c r="L31" s="327"/>
      <c r="M31" s="327"/>
    </row>
    <row r="32" spans="1:13" s="325" customFormat="1" ht="18.75" customHeight="1">
      <c r="A32" s="165">
        <v>21</v>
      </c>
      <c r="B32" s="326" t="s">
        <v>851</v>
      </c>
      <c r="C32" s="327">
        <f t="shared" si="3"/>
        <v>4500</v>
      </c>
      <c r="D32" s="327"/>
      <c r="E32" s="327">
        <f>+'Chi 2025'!Y8</f>
        <v>4500</v>
      </c>
      <c r="F32" s="327"/>
      <c r="G32" s="327"/>
      <c r="H32" s="327">
        <f t="shared" si="4"/>
        <v>0</v>
      </c>
      <c r="I32" s="327"/>
      <c r="J32" s="327"/>
      <c r="K32" s="327">
        <f t="shared" si="5"/>
        <v>0</v>
      </c>
      <c r="L32" s="327"/>
      <c r="M32" s="327"/>
    </row>
    <row r="33" spans="1:15" s="325" customFormat="1" ht="18.75" customHeight="1">
      <c r="A33" s="165">
        <v>22</v>
      </c>
      <c r="B33" s="326" t="s">
        <v>850</v>
      </c>
      <c r="C33" s="327">
        <f t="shared" si="3"/>
        <v>135062</v>
      </c>
      <c r="D33" s="327">
        <f>'Chi 2025'!D9-D34</f>
        <v>37486</v>
      </c>
      <c r="E33" s="327"/>
      <c r="F33" s="327"/>
      <c r="G33" s="327"/>
      <c r="H33" s="327">
        <f t="shared" si="4"/>
        <v>97576</v>
      </c>
      <c r="I33" s="327">
        <f>+'Chi 2025'!D81</f>
        <v>97576</v>
      </c>
      <c r="J33" s="327"/>
      <c r="K33" s="327">
        <f t="shared" si="5"/>
        <v>0</v>
      </c>
      <c r="L33" s="327"/>
      <c r="M33" s="327"/>
    </row>
    <row r="34" spans="1:15" s="325" customFormat="1" ht="18.75" customHeight="1">
      <c r="A34" s="165">
        <v>23</v>
      </c>
      <c r="B34" s="326" t="s">
        <v>163</v>
      </c>
      <c r="C34" s="327">
        <f t="shared" si="3"/>
        <v>38805</v>
      </c>
      <c r="D34" s="327">
        <f>+'Chi 2025'!D12</f>
        <v>1206</v>
      </c>
      <c r="E34" s="327">
        <f>+'Chi 2025'!AA13</f>
        <v>37124</v>
      </c>
      <c r="F34" s="327"/>
      <c r="G34" s="327"/>
      <c r="H34" s="327">
        <f>I34+J34</f>
        <v>0</v>
      </c>
      <c r="I34" s="327"/>
      <c r="J34" s="327"/>
      <c r="K34" s="327">
        <f t="shared" si="5"/>
        <v>475</v>
      </c>
      <c r="L34" s="327"/>
      <c r="M34" s="327">
        <f>+'Chi 2025'!AA139</f>
        <v>475</v>
      </c>
    </row>
    <row r="35" spans="1:15" s="325" customFormat="1" ht="18.75" customHeight="1">
      <c r="A35" s="568" t="s">
        <v>19</v>
      </c>
      <c r="B35" s="323" t="s">
        <v>120</v>
      </c>
      <c r="C35" s="324">
        <f t="shared" si="3"/>
        <v>17876</v>
      </c>
      <c r="D35" s="324"/>
      <c r="E35" s="324"/>
      <c r="F35" s="324">
        <f>+'Chi 2025'!AA78</f>
        <v>17876</v>
      </c>
      <c r="G35" s="324"/>
      <c r="H35" s="324">
        <f t="shared" si="4"/>
        <v>0</v>
      </c>
      <c r="I35" s="324"/>
      <c r="J35" s="324"/>
      <c r="K35" s="324">
        <f t="shared" si="5"/>
        <v>0</v>
      </c>
      <c r="L35" s="324"/>
      <c r="M35" s="324"/>
    </row>
    <row r="36" spans="1:15" ht="18.75" customHeight="1" thickBot="1">
      <c r="A36" s="328" t="s">
        <v>20</v>
      </c>
      <c r="B36" s="329" t="s">
        <v>173</v>
      </c>
      <c r="C36" s="324">
        <f t="shared" si="3"/>
        <v>138655</v>
      </c>
      <c r="D36" s="330"/>
      <c r="E36" s="330">
        <f>+'Chi xã,TT 2025'!C15-F36</f>
        <v>132598</v>
      </c>
      <c r="F36" s="330">
        <f>+'Chi xã,TT 2025'!C36</f>
        <v>2809</v>
      </c>
      <c r="G36" s="331"/>
      <c r="H36" s="330">
        <f>I36+J36</f>
        <v>0</v>
      </c>
      <c r="I36" s="330"/>
      <c r="J36" s="330"/>
      <c r="K36" s="330">
        <f t="shared" si="5"/>
        <v>3248</v>
      </c>
      <c r="L36" s="330"/>
      <c r="M36" s="330">
        <f>+'Chi xã,TT 2025'!C39</f>
        <v>3248</v>
      </c>
      <c r="N36" s="258">
        <f>+'Chi xã,TT 2025'!C14</f>
        <v>138655</v>
      </c>
      <c r="O36" s="258">
        <f>C36-N36</f>
        <v>0</v>
      </c>
    </row>
    <row r="37" spans="1:15" ht="15.75" thickTop="1">
      <c r="C37" s="258"/>
    </row>
    <row r="38" spans="1:15" ht="22.5" customHeight="1">
      <c r="C38" s="258"/>
      <c r="D38" s="258"/>
    </row>
  </sheetData>
  <mergeCells count="16">
    <mergeCell ref="A3:M3"/>
    <mergeCell ref="G5:G8"/>
    <mergeCell ref="H5:J5"/>
    <mergeCell ref="K5:M5"/>
    <mergeCell ref="A5:A8"/>
    <mergeCell ref="B5:B8"/>
    <mergeCell ref="C5:C8"/>
    <mergeCell ref="D5:D8"/>
    <mergeCell ref="E5:E8"/>
    <mergeCell ref="F5:F8"/>
    <mergeCell ref="H6:H8"/>
    <mergeCell ref="I6:I8"/>
    <mergeCell ref="J6:J8"/>
    <mergeCell ref="K6:K8"/>
    <mergeCell ref="L6:L8"/>
    <mergeCell ref="M6:M8"/>
  </mergeCells>
  <pageMargins left="0.38" right="0.21" top="0.75" bottom="0.75" header="0.3" footer="0.3"/>
  <pageSetup paperSize="9" scale="8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view="pageBreakPreview" zoomScaleNormal="100" zoomScaleSheetLayoutView="100" workbookViewId="0">
      <pane xSplit="2" ySplit="9" topLeftCell="C34" activePane="bottomRight" state="frozen"/>
      <selection pane="topRight" activeCell="C1" sqref="C1"/>
      <selection pane="bottomLeft" activeCell="A10" sqref="A10"/>
      <selection pane="bottomRight" activeCell="F41" sqref="F41"/>
    </sheetView>
  </sheetViews>
  <sheetFormatPr defaultColWidth="10" defaultRowHeight="18.75"/>
  <cols>
    <col min="1" max="1" width="6.109375" style="218" customWidth="1"/>
    <col min="2" max="2" width="40.21875" style="219" customWidth="1"/>
    <col min="3" max="5" width="10.88671875" style="219" customWidth="1"/>
    <col min="6" max="6" width="10.88671875" style="220" customWidth="1"/>
    <col min="7" max="7" width="9" style="220" customWidth="1"/>
    <col min="8" max="9" width="9" style="219" customWidth="1"/>
    <col min="10" max="10" width="9.33203125" style="219" customWidth="1"/>
    <col min="11" max="11" width="14" style="307" customWidth="1"/>
    <col min="12" max="12" width="9.33203125" style="219" customWidth="1"/>
    <col min="13" max="16384" width="10" style="219"/>
  </cols>
  <sheetData>
    <row r="1" spans="1:11" ht="17.25" customHeight="1">
      <c r="I1" s="420" t="s">
        <v>337</v>
      </c>
      <c r="J1" s="215"/>
    </row>
    <row r="2" spans="1:11" ht="22.5" customHeight="1">
      <c r="A2" s="722" t="s">
        <v>704</v>
      </c>
      <c r="B2" s="722"/>
      <c r="C2" s="722"/>
      <c r="D2" s="722"/>
      <c r="E2" s="722"/>
      <c r="F2" s="722"/>
      <c r="G2" s="722"/>
      <c r="H2" s="722"/>
      <c r="I2" s="722"/>
      <c r="J2" s="662"/>
    </row>
    <row r="3" spans="1:11" ht="19.5" customHeight="1">
      <c r="A3" s="723" t="s">
        <v>866</v>
      </c>
      <c r="B3" s="723"/>
      <c r="C3" s="723"/>
      <c r="D3" s="723"/>
      <c r="E3" s="723"/>
      <c r="F3" s="723"/>
      <c r="G3" s="723"/>
      <c r="H3" s="723"/>
      <c r="I3" s="723"/>
      <c r="J3" s="663"/>
    </row>
    <row r="4" spans="1:11" ht="23.25" customHeight="1">
      <c r="F4" s="221"/>
      <c r="G4" s="221"/>
      <c r="H4" s="222"/>
      <c r="I4" s="435" t="s">
        <v>338</v>
      </c>
      <c r="J4" s="223"/>
    </row>
    <row r="5" spans="1:11" s="225" customFormat="1" ht="18.75" customHeight="1">
      <c r="A5" s="724" t="s">
        <v>58</v>
      </c>
      <c r="B5" s="725" t="s">
        <v>5</v>
      </c>
      <c r="C5" s="726" t="s">
        <v>705</v>
      </c>
      <c r="D5" s="729" t="s">
        <v>706</v>
      </c>
      <c r="E5" s="726" t="s">
        <v>707</v>
      </c>
      <c r="F5" s="732" t="s">
        <v>708</v>
      </c>
      <c r="G5" s="735" t="s">
        <v>339</v>
      </c>
      <c r="H5" s="736"/>
      <c r="I5" s="729"/>
      <c r="J5" s="224"/>
      <c r="K5" s="457"/>
    </row>
    <row r="6" spans="1:11" s="225" customFormat="1" ht="21" customHeight="1">
      <c r="A6" s="724"/>
      <c r="B6" s="725"/>
      <c r="C6" s="727"/>
      <c r="D6" s="730"/>
      <c r="E6" s="727"/>
      <c r="F6" s="733"/>
      <c r="G6" s="737" t="s">
        <v>709</v>
      </c>
      <c r="H6" s="737" t="s">
        <v>710</v>
      </c>
      <c r="I6" s="737" t="s">
        <v>711</v>
      </c>
      <c r="J6" s="226"/>
      <c r="K6" s="457"/>
    </row>
    <row r="7" spans="1:11" s="225" customFormat="1" ht="32.25" customHeight="1">
      <c r="A7" s="724"/>
      <c r="B7" s="725"/>
      <c r="C7" s="728"/>
      <c r="D7" s="731"/>
      <c r="E7" s="728"/>
      <c r="F7" s="734"/>
      <c r="G7" s="738"/>
      <c r="H7" s="738"/>
      <c r="I7" s="738"/>
      <c r="J7" s="226"/>
      <c r="K7" s="457"/>
    </row>
    <row r="8" spans="1:11" s="230" customFormat="1" ht="16.5" customHeight="1">
      <c r="A8" s="227" t="s">
        <v>8</v>
      </c>
      <c r="B8" s="228" t="s">
        <v>9</v>
      </c>
      <c r="C8" s="227">
        <v>1</v>
      </c>
      <c r="D8" s="227">
        <v>2</v>
      </c>
      <c r="E8" s="227">
        <v>3</v>
      </c>
      <c r="F8" s="227">
        <v>4</v>
      </c>
      <c r="G8" s="227" t="s">
        <v>700</v>
      </c>
      <c r="H8" s="227" t="s">
        <v>701</v>
      </c>
      <c r="I8" s="227" t="s">
        <v>340</v>
      </c>
      <c r="J8" s="229"/>
      <c r="K8" s="458"/>
    </row>
    <row r="9" spans="1:11" s="235" customFormat="1" ht="21" customHeight="1">
      <c r="A9" s="231" t="s">
        <v>8</v>
      </c>
      <c r="B9" s="232" t="s">
        <v>341</v>
      </c>
      <c r="C9" s="462">
        <f>SUM(C10,C14,C19,C24,C25,C26,C30,C31:C34,C35)</f>
        <v>62488</v>
      </c>
      <c r="D9" s="462">
        <f>SUM(D10,D14,D19,D24,D25,D26,D30,D31:D34,D35)</f>
        <v>55000</v>
      </c>
      <c r="E9" s="462">
        <f>SUM(E10,E14,E19,E24,E25,E26,E30,E31,E33,E34,E35)</f>
        <v>70000</v>
      </c>
      <c r="F9" s="462">
        <f>SUM(F10,F14,F19,F24,F25,F26,F30,F31,F33,F34,F35)</f>
        <v>62000</v>
      </c>
      <c r="G9" s="233">
        <f>IFERROR(E9/D9,0)</f>
        <v>1.2727272727272727</v>
      </c>
      <c r="H9" s="233">
        <f>IFERROR(E9/C9,0)</f>
        <v>1.1202150812956087</v>
      </c>
      <c r="I9" s="233">
        <f>IFERROR(F9/D9,0)</f>
        <v>1.1272727272727272</v>
      </c>
      <c r="J9" s="234"/>
      <c r="K9" s="459"/>
    </row>
    <row r="10" spans="1:11" s="240" customFormat="1" ht="21" customHeight="1">
      <c r="A10" s="236">
        <v>1</v>
      </c>
      <c r="B10" s="237" t="s">
        <v>255</v>
      </c>
      <c r="C10" s="217">
        <f>SUM(C11:C13)</f>
        <v>1149</v>
      </c>
      <c r="D10" s="217">
        <f>SUM(D11:D13)</f>
        <v>1000</v>
      </c>
      <c r="E10" s="217">
        <f>SUM(E11:E13)</f>
        <v>1335</v>
      </c>
      <c r="F10" s="216">
        <f>SUM(F11:F13)</f>
        <v>1050</v>
      </c>
      <c r="G10" s="238">
        <f t="shared" ref="G10:G45" si="0">IFERROR(E10/D10,0)</f>
        <v>1.335</v>
      </c>
      <c r="H10" s="238">
        <f t="shared" ref="H10:H45" si="1">IFERROR(E10/C10,0)</f>
        <v>1.1618798955613576</v>
      </c>
      <c r="I10" s="238">
        <f t="shared" ref="I10:I45" si="2">IFERROR(F10/D10,0)</f>
        <v>1.05</v>
      </c>
      <c r="J10" s="239"/>
      <c r="K10" s="460"/>
    </row>
    <row r="11" spans="1:11" s="247" customFormat="1" ht="21" customHeight="1">
      <c r="A11" s="241"/>
      <c r="B11" s="242" t="s">
        <v>182</v>
      </c>
      <c r="C11" s="243"/>
      <c r="D11" s="243"/>
      <c r="E11" s="243">
        <v>100</v>
      </c>
      <c r="F11" s="244"/>
      <c r="G11" s="245">
        <f t="shared" si="0"/>
        <v>0</v>
      </c>
      <c r="H11" s="245">
        <f t="shared" si="1"/>
        <v>0</v>
      </c>
      <c r="I11" s="245">
        <f t="shared" si="2"/>
        <v>0</v>
      </c>
      <c r="J11" s="246"/>
      <c r="K11" s="316"/>
    </row>
    <row r="12" spans="1:11" s="247" customFormat="1" ht="21" customHeight="1">
      <c r="A12" s="241"/>
      <c r="B12" s="242" t="s">
        <v>183</v>
      </c>
      <c r="C12" s="243">
        <v>4</v>
      </c>
      <c r="D12" s="243"/>
      <c r="E12" s="243">
        <v>45</v>
      </c>
      <c r="F12" s="244"/>
      <c r="G12" s="245">
        <f t="shared" si="0"/>
        <v>0</v>
      </c>
      <c r="H12" s="245">
        <f t="shared" si="1"/>
        <v>11.25</v>
      </c>
      <c r="I12" s="245">
        <f t="shared" si="2"/>
        <v>0</v>
      </c>
      <c r="J12" s="246"/>
      <c r="K12" s="316"/>
    </row>
    <row r="13" spans="1:11" s="247" customFormat="1" ht="21" customHeight="1">
      <c r="A13" s="241"/>
      <c r="B13" s="242" t="s">
        <v>184</v>
      </c>
      <c r="C13" s="243">
        <v>1145</v>
      </c>
      <c r="D13" s="243">
        <v>1000</v>
      </c>
      <c r="E13" s="243">
        <v>1190</v>
      </c>
      <c r="F13" s="244">
        <v>1050</v>
      </c>
      <c r="G13" s="245">
        <f t="shared" si="0"/>
        <v>1.19</v>
      </c>
      <c r="H13" s="245">
        <f t="shared" si="1"/>
        <v>1.0393013100436681</v>
      </c>
      <c r="I13" s="245">
        <f t="shared" si="2"/>
        <v>1.05</v>
      </c>
      <c r="J13" s="246"/>
      <c r="K13" s="316"/>
    </row>
    <row r="14" spans="1:11" s="240" customFormat="1" ht="21" customHeight="1">
      <c r="A14" s="236">
        <v>2</v>
      </c>
      <c r="B14" s="237" t="s">
        <v>342</v>
      </c>
      <c r="C14" s="217">
        <f>SUM(C15:C18)</f>
        <v>20481</v>
      </c>
      <c r="D14" s="217">
        <f>SUM(D15:D18)</f>
        <v>20300</v>
      </c>
      <c r="E14" s="217">
        <f>SUM(E15:E18)</f>
        <v>30175</v>
      </c>
      <c r="F14" s="216">
        <f>SUM(F15:F18)</f>
        <v>21400</v>
      </c>
      <c r="G14" s="238">
        <f t="shared" si="0"/>
        <v>1.4864532019704433</v>
      </c>
      <c r="H14" s="238">
        <f t="shared" si="1"/>
        <v>1.4733167325814169</v>
      </c>
      <c r="I14" s="238">
        <f t="shared" si="2"/>
        <v>1.0541871921182266</v>
      </c>
      <c r="J14" s="239"/>
      <c r="K14" s="460"/>
    </row>
    <row r="15" spans="1:11" s="247" customFormat="1" ht="21" customHeight="1">
      <c r="A15" s="241"/>
      <c r="B15" s="242" t="s">
        <v>182</v>
      </c>
      <c r="C15" s="243">
        <v>6298</v>
      </c>
      <c r="D15" s="243">
        <v>7200</v>
      </c>
      <c r="E15" s="243">
        <v>11400</v>
      </c>
      <c r="F15" s="244">
        <v>7480</v>
      </c>
      <c r="G15" s="245">
        <f t="shared" si="0"/>
        <v>1.5833333333333333</v>
      </c>
      <c r="H15" s="245">
        <f t="shared" si="1"/>
        <v>1.8100984439504604</v>
      </c>
      <c r="I15" s="245">
        <f t="shared" si="2"/>
        <v>1.038888888888889</v>
      </c>
      <c r="J15" s="246"/>
      <c r="K15" s="316"/>
    </row>
    <row r="16" spans="1:11" s="247" customFormat="1" ht="21" customHeight="1">
      <c r="A16" s="241"/>
      <c r="B16" s="242" t="s">
        <v>183</v>
      </c>
      <c r="C16" s="243">
        <v>1670</v>
      </c>
      <c r="D16" s="243">
        <v>1200</v>
      </c>
      <c r="E16" s="243">
        <f>2200-45</f>
        <v>2155</v>
      </c>
      <c r="F16" s="244">
        <v>1400</v>
      </c>
      <c r="G16" s="245">
        <f t="shared" si="0"/>
        <v>1.7958333333333334</v>
      </c>
      <c r="H16" s="245">
        <f t="shared" si="1"/>
        <v>1.2904191616766467</v>
      </c>
      <c r="I16" s="245">
        <f t="shared" si="2"/>
        <v>1.1666666666666667</v>
      </c>
      <c r="J16" s="246"/>
      <c r="K16" s="316"/>
    </row>
    <row r="17" spans="1:12" s="247" customFormat="1" ht="21" customHeight="1">
      <c r="A17" s="241"/>
      <c r="B17" s="242" t="s">
        <v>315</v>
      </c>
      <c r="C17" s="243">
        <v>8</v>
      </c>
      <c r="D17" s="243"/>
      <c r="E17" s="243">
        <v>10</v>
      </c>
      <c r="F17" s="244">
        <v>20</v>
      </c>
      <c r="G17" s="245">
        <f t="shared" si="0"/>
        <v>0</v>
      </c>
      <c r="H17" s="245">
        <f t="shared" si="1"/>
        <v>1.25</v>
      </c>
      <c r="I17" s="245">
        <f t="shared" si="2"/>
        <v>0</v>
      </c>
      <c r="J17" s="246"/>
      <c r="K17" s="316"/>
    </row>
    <row r="18" spans="1:12" s="247" customFormat="1" ht="21" customHeight="1">
      <c r="A18" s="241"/>
      <c r="B18" s="242" t="s">
        <v>184</v>
      </c>
      <c r="C18" s="243">
        <f>13650-1145</f>
        <v>12505</v>
      </c>
      <c r="D18" s="243">
        <v>11900</v>
      </c>
      <c r="E18" s="243">
        <f>17800-1190</f>
        <v>16610</v>
      </c>
      <c r="F18" s="244">
        <v>12500</v>
      </c>
      <c r="G18" s="245">
        <f t="shared" si="0"/>
        <v>1.395798319327731</v>
      </c>
      <c r="H18" s="245">
        <f t="shared" si="1"/>
        <v>1.3282686925229907</v>
      </c>
      <c r="I18" s="245">
        <f t="shared" si="2"/>
        <v>1.0504201680672269</v>
      </c>
      <c r="J18" s="246"/>
      <c r="K18" s="316"/>
    </row>
    <row r="19" spans="1:12" s="240" customFormat="1" ht="36.75" customHeight="1">
      <c r="A19" s="236">
        <v>3</v>
      </c>
      <c r="B19" s="248" t="s">
        <v>343</v>
      </c>
      <c r="C19" s="463">
        <f>+C20+C23</f>
        <v>3024</v>
      </c>
      <c r="D19" s="463">
        <f>D20+D23</f>
        <v>2700</v>
      </c>
      <c r="E19" s="463">
        <f>E20+E23</f>
        <v>3000</v>
      </c>
      <c r="F19" s="217">
        <f>F20+F23</f>
        <v>3000</v>
      </c>
      <c r="G19" s="238">
        <f t="shared" si="0"/>
        <v>1.1111111111111112</v>
      </c>
      <c r="H19" s="238">
        <f t="shared" si="1"/>
        <v>0.99206349206349209</v>
      </c>
      <c r="I19" s="238">
        <f t="shared" si="2"/>
        <v>1.1111111111111112</v>
      </c>
      <c r="J19" s="239"/>
      <c r="K19" s="460"/>
    </row>
    <row r="20" spans="1:12" s="240" customFormat="1" ht="21" customHeight="1">
      <c r="A20" s="236"/>
      <c r="B20" s="242" t="s">
        <v>258</v>
      </c>
      <c r="C20" s="243">
        <f>+C21+C22</f>
        <v>2812</v>
      </c>
      <c r="D20" s="243">
        <f>+D21+D22</f>
        <v>2600</v>
      </c>
      <c r="E20" s="243">
        <f>E21+E22</f>
        <v>2850</v>
      </c>
      <c r="F20" s="243">
        <f>F21+F22</f>
        <v>2600</v>
      </c>
      <c r="G20" s="245">
        <f t="shared" si="0"/>
        <v>1.0961538461538463</v>
      </c>
      <c r="H20" s="245">
        <f t="shared" si="1"/>
        <v>1.0135135135135136</v>
      </c>
      <c r="I20" s="245">
        <f t="shared" si="2"/>
        <v>1</v>
      </c>
      <c r="J20" s="239"/>
      <c r="K20" s="460"/>
    </row>
    <row r="21" spans="1:12" s="240" customFormat="1" ht="21" customHeight="1">
      <c r="A21" s="236"/>
      <c r="B21" s="242" t="s">
        <v>259</v>
      </c>
      <c r="C21" s="243">
        <v>1965</v>
      </c>
      <c r="D21" s="243">
        <v>1820</v>
      </c>
      <c r="E21" s="243">
        <v>1995</v>
      </c>
      <c r="F21" s="243">
        <v>1820</v>
      </c>
      <c r="G21" s="245">
        <f t="shared" si="0"/>
        <v>1.0961538461538463</v>
      </c>
      <c r="H21" s="245">
        <f t="shared" si="1"/>
        <v>1.0152671755725191</v>
      </c>
      <c r="I21" s="245">
        <f t="shared" si="2"/>
        <v>1</v>
      </c>
      <c r="J21" s="249"/>
      <c r="K21" s="460"/>
    </row>
    <row r="22" spans="1:12" s="240" customFormat="1" ht="21" customHeight="1">
      <c r="A22" s="236"/>
      <c r="B22" s="242" t="s">
        <v>260</v>
      </c>
      <c r="C22" s="243">
        <v>847</v>
      </c>
      <c r="D22" s="243">
        <v>780</v>
      </c>
      <c r="E22" s="243">
        <v>855</v>
      </c>
      <c r="F22" s="243">
        <v>780</v>
      </c>
      <c r="G22" s="245">
        <f t="shared" si="0"/>
        <v>1.0961538461538463</v>
      </c>
      <c r="H22" s="245">
        <f t="shared" si="1"/>
        <v>1.0094451003541913</v>
      </c>
      <c r="I22" s="245">
        <f t="shared" si="2"/>
        <v>1</v>
      </c>
      <c r="J22" s="249"/>
      <c r="K22" s="460"/>
    </row>
    <row r="23" spans="1:12" s="240" customFormat="1" ht="21" customHeight="1">
      <c r="A23" s="236"/>
      <c r="B23" s="242" t="s">
        <v>261</v>
      </c>
      <c r="C23" s="243">
        <v>212</v>
      </c>
      <c r="D23" s="243">
        <v>100</v>
      </c>
      <c r="E23" s="243">
        <v>150</v>
      </c>
      <c r="F23" s="243">
        <v>400</v>
      </c>
      <c r="G23" s="245">
        <f t="shared" si="0"/>
        <v>1.5</v>
      </c>
      <c r="H23" s="245">
        <f t="shared" si="1"/>
        <v>0.70754716981132071</v>
      </c>
      <c r="I23" s="245">
        <f t="shared" si="2"/>
        <v>4</v>
      </c>
      <c r="J23" s="249"/>
      <c r="K23" s="460"/>
    </row>
    <row r="24" spans="1:12" s="240" customFormat="1" ht="21" customHeight="1">
      <c r="A24" s="236">
        <v>4</v>
      </c>
      <c r="B24" s="237" t="s">
        <v>11</v>
      </c>
      <c r="C24" s="217">
        <v>7650</v>
      </c>
      <c r="D24" s="217">
        <v>6200</v>
      </c>
      <c r="E24" s="217">
        <v>8000</v>
      </c>
      <c r="F24" s="216">
        <v>7000</v>
      </c>
      <c r="G24" s="238">
        <f t="shared" si="0"/>
        <v>1.2903225806451613</v>
      </c>
      <c r="H24" s="238">
        <f t="shared" si="1"/>
        <v>1.0457516339869282</v>
      </c>
      <c r="I24" s="238">
        <f t="shared" si="2"/>
        <v>1.1290322580645162</v>
      </c>
      <c r="J24" s="239"/>
      <c r="K24" s="460"/>
    </row>
    <row r="25" spans="1:12" s="240" customFormat="1" ht="21" customHeight="1">
      <c r="A25" s="236">
        <v>5</v>
      </c>
      <c r="B25" s="237" t="s">
        <v>13</v>
      </c>
      <c r="C25" s="217">
        <v>2279</v>
      </c>
      <c r="D25" s="217">
        <v>2450</v>
      </c>
      <c r="E25" s="217">
        <v>2500</v>
      </c>
      <c r="F25" s="216">
        <v>2460</v>
      </c>
      <c r="G25" s="238">
        <f t="shared" si="0"/>
        <v>1.0204081632653061</v>
      </c>
      <c r="H25" s="238">
        <f t="shared" si="1"/>
        <v>1.0969723562966214</v>
      </c>
      <c r="I25" s="238">
        <f t="shared" si="2"/>
        <v>1.0040816326530613</v>
      </c>
      <c r="J25" s="239"/>
      <c r="K25" s="460"/>
    </row>
    <row r="26" spans="1:12" s="240" customFormat="1" ht="21" customHeight="1">
      <c r="A26" s="236">
        <v>6</v>
      </c>
      <c r="B26" s="237" t="s">
        <v>344</v>
      </c>
      <c r="C26" s="217">
        <v>1563</v>
      </c>
      <c r="D26" s="217">
        <v>1600</v>
      </c>
      <c r="E26" s="217">
        <v>1600</v>
      </c>
      <c r="F26" s="216">
        <v>1600</v>
      </c>
      <c r="G26" s="238">
        <f t="shared" si="0"/>
        <v>1</v>
      </c>
      <c r="H26" s="238">
        <f t="shared" si="1"/>
        <v>1.0236724248240563</v>
      </c>
      <c r="I26" s="238">
        <f t="shared" si="2"/>
        <v>1</v>
      </c>
      <c r="J26" s="239"/>
      <c r="K26" s="460"/>
    </row>
    <row r="27" spans="1:12" s="247" customFormat="1" ht="21" customHeight="1">
      <c r="A27" s="241"/>
      <c r="B27" s="242" t="s">
        <v>336</v>
      </c>
      <c r="C27" s="243">
        <v>74</v>
      </c>
      <c r="D27" s="243"/>
      <c r="E27" s="243">
        <v>100</v>
      </c>
      <c r="F27" s="244">
        <v>100</v>
      </c>
      <c r="G27" s="245">
        <f t="shared" ref="G27" si="3">IFERROR(E27/D27,0)</f>
        <v>0</v>
      </c>
      <c r="H27" s="245">
        <f t="shared" ref="H27" si="4">IFERROR(E27/C27,0)</f>
        <v>1.3513513513513513</v>
      </c>
      <c r="I27" s="245">
        <f t="shared" ref="I27" si="5">IFERROR(F27/D27,0)</f>
        <v>0</v>
      </c>
      <c r="J27" s="246"/>
      <c r="K27" s="316"/>
    </row>
    <row r="28" spans="1:12" s="247" customFormat="1" ht="21" customHeight="1">
      <c r="A28" s="241"/>
      <c r="B28" s="242" t="s">
        <v>789</v>
      </c>
      <c r="C28" s="464">
        <v>479</v>
      </c>
      <c r="D28" s="464">
        <v>500</v>
      </c>
      <c r="E28" s="464">
        <v>500</v>
      </c>
      <c r="F28" s="244">
        <v>500</v>
      </c>
      <c r="G28" s="245">
        <f t="shared" si="0"/>
        <v>1</v>
      </c>
      <c r="H28" s="245">
        <f t="shared" si="1"/>
        <v>1.0438413361169103</v>
      </c>
      <c r="I28" s="245">
        <f t="shared" si="2"/>
        <v>1</v>
      </c>
      <c r="J28" s="246"/>
      <c r="K28" s="316"/>
      <c r="L28" s="251"/>
    </row>
    <row r="29" spans="1:12" s="247" customFormat="1" ht="21" customHeight="1">
      <c r="A29" s="241"/>
      <c r="B29" s="242" t="s">
        <v>790</v>
      </c>
      <c r="C29" s="464">
        <v>312</v>
      </c>
      <c r="D29" s="464">
        <v>300</v>
      </c>
      <c r="E29" s="464">
        <v>300</v>
      </c>
      <c r="F29" s="244">
        <v>400</v>
      </c>
      <c r="G29" s="245">
        <f t="shared" si="0"/>
        <v>1</v>
      </c>
      <c r="H29" s="245">
        <f t="shared" si="1"/>
        <v>0.96153846153846156</v>
      </c>
      <c r="I29" s="245">
        <f t="shared" si="2"/>
        <v>1.3333333333333333</v>
      </c>
      <c r="J29" s="246"/>
      <c r="K29" s="316"/>
      <c r="L29" s="251"/>
    </row>
    <row r="30" spans="1:12" s="240" customFormat="1" ht="21" customHeight="1">
      <c r="A30" s="236">
        <v>7</v>
      </c>
      <c r="B30" s="237" t="s">
        <v>16</v>
      </c>
      <c r="C30" s="217">
        <v>17150</v>
      </c>
      <c r="D30" s="217">
        <v>14000</v>
      </c>
      <c r="E30" s="217">
        <v>16000</v>
      </c>
      <c r="F30" s="718">
        <f>10000+5000+3000</f>
        <v>18000</v>
      </c>
      <c r="G30" s="238">
        <f t="shared" si="0"/>
        <v>1.1428571428571428</v>
      </c>
      <c r="H30" s="238">
        <f t="shared" si="1"/>
        <v>0.93294460641399413</v>
      </c>
      <c r="I30" s="238">
        <f t="shared" si="2"/>
        <v>1.2857142857142858</v>
      </c>
      <c r="J30" s="250"/>
      <c r="K30" s="460"/>
    </row>
    <row r="31" spans="1:12" s="240" customFormat="1" ht="21" customHeight="1">
      <c r="A31" s="236">
        <v>8</v>
      </c>
      <c r="B31" s="237" t="s">
        <v>345</v>
      </c>
      <c r="C31" s="217">
        <v>3981</v>
      </c>
      <c r="D31" s="217">
        <v>3500</v>
      </c>
      <c r="E31" s="217">
        <v>3500</v>
      </c>
      <c r="F31" s="217">
        <v>3500</v>
      </c>
      <c r="G31" s="238">
        <f t="shared" si="0"/>
        <v>1</v>
      </c>
      <c r="H31" s="238">
        <f>IFERROR(E31/C31,0)</f>
        <v>0.87917608641044964</v>
      </c>
      <c r="I31" s="238">
        <f t="shared" si="2"/>
        <v>1</v>
      </c>
      <c r="J31" s="239"/>
      <c r="K31" s="460"/>
    </row>
    <row r="32" spans="1:12" s="469" customFormat="1" ht="35.1" customHeight="1">
      <c r="A32" s="664"/>
      <c r="B32" s="461" t="s">
        <v>791</v>
      </c>
      <c r="C32" s="466"/>
      <c r="D32" s="466"/>
      <c r="E32" s="464">
        <v>1206</v>
      </c>
      <c r="F32" s="244">
        <f>E32</f>
        <v>1206</v>
      </c>
      <c r="G32" s="245">
        <f t="shared" ref="G32" si="6">IFERROR(E32/D32,0)</f>
        <v>0</v>
      </c>
      <c r="H32" s="245">
        <f t="shared" ref="H32" si="7">IFERROR(E32/C32,0)</f>
        <v>0</v>
      </c>
      <c r="I32" s="245">
        <f t="shared" ref="I32" si="8">IFERROR(F32/D32,0)</f>
        <v>0</v>
      </c>
      <c r="J32" s="467"/>
      <c r="K32" s="468"/>
    </row>
    <row r="33" spans="1:12" s="240" customFormat="1" ht="21" customHeight="1">
      <c r="A33" s="236">
        <v>9</v>
      </c>
      <c r="B33" s="237" t="s">
        <v>12</v>
      </c>
      <c r="C33" s="217">
        <v>289</v>
      </c>
      <c r="D33" s="217">
        <v>150</v>
      </c>
      <c r="E33" s="217">
        <v>270</v>
      </c>
      <c r="F33" s="216">
        <v>290</v>
      </c>
      <c r="G33" s="238">
        <f t="shared" si="0"/>
        <v>1.8</v>
      </c>
      <c r="H33" s="238">
        <f t="shared" si="1"/>
        <v>0.93425605536332179</v>
      </c>
      <c r="I33" s="238">
        <f t="shared" si="2"/>
        <v>1.9333333333333333</v>
      </c>
      <c r="J33" s="239"/>
      <c r="K33" s="460"/>
    </row>
    <row r="34" spans="1:12" s="240" customFormat="1" ht="35.25" customHeight="1">
      <c r="A34" s="236">
        <v>10</v>
      </c>
      <c r="B34" s="248" t="s">
        <v>346</v>
      </c>
      <c r="C34" s="217">
        <v>160</v>
      </c>
      <c r="D34" s="217">
        <v>100</v>
      </c>
      <c r="E34" s="217">
        <v>100</v>
      </c>
      <c r="F34" s="216">
        <v>100</v>
      </c>
      <c r="G34" s="238">
        <f t="shared" si="0"/>
        <v>1</v>
      </c>
      <c r="H34" s="238">
        <f t="shared" si="1"/>
        <v>0.625</v>
      </c>
      <c r="I34" s="238">
        <f t="shared" si="2"/>
        <v>1</v>
      </c>
      <c r="J34" s="239"/>
      <c r="K34" s="460"/>
    </row>
    <row r="35" spans="1:12" s="240" customFormat="1" ht="21" customHeight="1">
      <c r="A35" s="236">
        <v>11</v>
      </c>
      <c r="B35" s="237" t="s">
        <v>17</v>
      </c>
      <c r="C35" s="217">
        <f>SUM(C36,C37)</f>
        <v>4762</v>
      </c>
      <c r="D35" s="217">
        <f>SUM(D36,D37)</f>
        <v>3000</v>
      </c>
      <c r="E35" s="217">
        <f>SUM(E36,E37)</f>
        <v>3520</v>
      </c>
      <c r="F35" s="217">
        <f>SUM(F36,F37)</f>
        <v>3600</v>
      </c>
      <c r="G35" s="238">
        <f t="shared" si="0"/>
        <v>1.1733333333333333</v>
      </c>
      <c r="H35" s="238">
        <f t="shared" si="1"/>
        <v>0.73918521629567413</v>
      </c>
      <c r="I35" s="238">
        <f t="shared" si="2"/>
        <v>1.2</v>
      </c>
      <c r="J35" s="239"/>
      <c r="K35" s="460"/>
    </row>
    <row r="36" spans="1:12" s="247" customFormat="1" ht="21.75" customHeight="1">
      <c r="A36" s="241"/>
      <c r="B36" s="461" t="s">
        <v>347</v>
      </c>
      <c r="C36" s="464">
        <v>2921</v>
      </c>
      <c r="D36" s="464">
        <v>2180</v>
      </c>
      <c r="E36" s="464">
        <v>2970</v>
      </c>
      <c r="F36" s="244">
        <v>2780</v>
      </c>
      <c r="G36" s="245">
        <f t="shared" si="0"/>
        <v>1.3623853211009174</v>
      </c>
      <c r="H36" s="245">
        <f t="shared" si="1"/>
        <v>1.016775077028415</v>
      </c>
      <c r="I36" s="245">
        <f t="shared" si="2"/>
        <v>1.275229357798165</v>
      </c>
      <c r="J36" s="254"/>
      <c r="K36" s="316"/>
      <c r="L36" s="251"/>
    </row>
    <row r="37" spans="1:12" s="247" customFormat="1" ht="21.75" customHeight="1">
      <c r="A37" s="241"/>
      <c r="B37" s="242" t="s">
        <v>348</v>
      </c>
      <c r="C37" s="464">
        <v>1841</v>
      </c>
      <c r="D37" s="464">
        <v>820</v>
      </c>
      <c r="E37" s="464">
        <v>550</v>
      </c>
      <c r="F37" s="244">
        <v>820</v>
      </c>
      <c r="G37" s="245">
        <f t="shared" si="0"/>
        <v>0.67073170731707321</v>
      </c>
      <c r="H37" s="245">
        <f t="shared" si="1"/>
        <v>0.29875067897881585</v>
      </c>
      <c r="I37" s="245">
        <f t="shared" si="2"/>
        <v>1</v>
      </c>
      <c r="J37" s="246"/>
      <c r="K37" s="316"/>
    </row>
    <row r="38" spans="1:12" s="235" customFormat="1" ht="21" customHeight="1">
      <c r="A38" s="231" t="s">
        <v>9</v>
      </c>
      <c r="B38" s="232" t="s">
        <v>349</v>
      </c>
      <c r="C38" s="462">
        <f>C39+C40+C43+C44+C45</f>
        <v>1115498</v>
      </c>
      <c r="D38" s="462">
        <f t="shared" ref="D38:F38" si="9">D39+D40+D43+D44+D45</f>
        <v>1101150</v>
      </c>
      <c r="E38" s="462">
        <f t="shared" si="9"/>
        <v>1382877</v>
      </c>
      <c r="F38" s="570">
        <f t="shared" si="9"/>
        <v>1136041</v>
      </c>
      <c r="G38" s="233">
        <f>IFERROR(E38/D38,0)</f>
        <v>1.2558479771148345</v>
      </c>
      <c r="H38" s="233">
        <f>IFERROR(E38/C38,0)</f>
        <v>1.2396947372384353</v>
      </c>
      <c r="I38" s="233">
        <f t="shared" si="2"/>
        <v>1.0316859646732961</v>
      </c>
      <c r="J38" s="252"/>
      <c r="K38" s="459"/>
    </row>
    <row r="39" spans="1:12" s="240" customFormat="1" ht="21" customHeight="1">
      <c r="A39" s="236">
        <v>1</v>
      </c>
      <c r="B39" s="237" t="s">
        <v>314</v>
      </c>
      <c r="C39" s="217">
        <v>57524</v>
      </c>
      <c r="D39" s="217">
        <v>51000</v>
      </c>
      <c r="E39" s="217">
        <f>E9-E21-E27-E36</f>
        <v>64935</v>
      </c>
      <c r="F39" s="588">
        <f>F9-F21-F27-F36</f>
        <v>57300</v>
      </c>
      <c r="G39" s="238">
        <f>IFERROR(E39/D39,0)</f>
        <v>1.273235294117647</v>
      </c>
      <c r="H39" s="238">
        <f>IFERROR(E39/C39,0)</f>
        <v>1.1288331826715805</v>
      </c>
      <c r="I39" s="238">
        <f t="shared" si="2"/>
        <v>1.1235294117647059</v>
      </c>
      <c r="J39" s="253"/>
      <c r="K39" s="460"/>
    </row>
    <row r="40" spans="1:12" s="247" customFormat="1" ht="21" customHeight="1">
      <c r="A40" s="84">
        <v>2</v>
      </c>
      <c r="B40" s="85" t="s">
        <v>44</v>
      </c>
      <c r="C40" s="216">
        <f>C41+C42</f>
        <v>959263</v>
      </c>
      <c r="D40" s="216">
        <f>D41+D42</f>
        <v>1050150</v>
      </c>
      <c r="E40" s="216">
        <f t="shared" ref="E40:F40" si="10">E41+E42</f>
        <v>1163420</v>
      </c>
      <c r="F40" s="216">
        <f t="shared" si="10"/>
        <v>1078741</v>
      </c>
      <c r="G40" s="238">
        <f t="shared" si="0"/>
        <v>1.1078607817930772</v>
      </c>
      <c r="H40" s="238">
        <f t="shared" si="1"/>
        <v>1.2128269306749035</v>
      </c>
      <c r="I40" s="238">
        <f t="shared" si="2"/>
        <v>1.0272256344331763</v>
      </c>
      <c r="J40" s="239"/>
      <c r="K40" s="316"/>
    </row>
    <row r="41" spans="1:12" s="247" customFormat="1" ht="21" customHeight="1">
      <c r="A41" s="84"/>
      <c r="B41" s="211" t="s">
        <v>350</v>
      </c>
      <c r="C41" s="243">
        <v>681988</v>
      </c>
      <c r="D41" s="243">
        <v>778482</v>
      </c>
      <c r="E41" s="243">
        <v>778482</v>
      </c>
      <c r="F41" s="244">
        <f>741787+234974</f>
        <v>976761</v>
      </c>
      <c r="G41" s="245">
        <f t="shared" si="0"/>
        <v>1</v>
      </c>
      <c r="H41" s="245">
        <f t="shared" si="1"/>
        <v>1.1414892930667402</v>
      </c>
      <c r="I41" s="245">
        <f t="shared" si="2"/>
        <v>1.2546995306249855</v>
      </c>
      <c r="J41" s="246"/>
      <c r="K41" s="316"/>
    </row>
    <row r="42" spans="1:12" s="247" customFormat="1" ht="21" customHeight="1">
      <c r="A42" s="84"/>
      <c r="B42" s="211" t="s">
        <v>351</v>
      </c>
      <c r="C42" s="243">
        <v>277275</v>
      </c>
      <c r="D42" s="243">
        <v>271668</v>
      </c>
      <c r="E42" s="243">
        <f>D42+113270</f>
        <v>384938</v>
      </c>
      <c r="F42" s="555">
        <f>+'Chi 2024'!L86+'Chi 2024'!L148</f>
        <v>101980</v>
      </c>
      <c r="G42" s="245">
        <f t="shared" si="0"/>
        <v>1.4169427389313427</v>
      </c>
      <c r="H42" s="245">
        <f t="shared" si="1"/>
        <v>1.3882896041835722</v>
      </c>
      <c r="I42" s="245">
        <f t="shared" si="2"/>
        <v>0.3753846606887819</v>
      </c>
      <c r="J42" s="254"/>
      <c r="K42" s="316"/>
    </row>
    <row r="43" spans="1:12" s="247" customFormat="1" ht="21" customHeight="1">
      <c r="A43" s="84">
        <v>3</v>
      </c>
      <c r="B43" s="85" t="s">
        <v>294</v>
      </c>
      <c r="C43" s="217">
        <v>6704</v>
      </c>
      <c r="D43" s="217"/>
      <c r="E43" s="217"/>
      <c r="F43" s="216"/>
      <c r="G43" s="238">
        <f t="shared" si="0"/>
        <v>0</v>
      </c>
      <c r="H43" s="238">
        <f t="shared" si="1"/>
        <v>0</v>
      </c>
      <c r="I43" s="238">
        <f t="shared" si="2"/>
        <v>0</v>
      </c>
      <c r="J43" s="254"/>
      <c r="K43" s="316"/>
    </row>
    <row r="44" spans="1:12" s="247" customFormat="1" ht="21" customHeight="1">
      <c r="A44" s="84">
        <v>4</v>
      </c>
      <c r="B44" s="85" t="s">
        <v>352</v>
      </c>
      <c r="C44" s="217">
        <v>91892</v>
      </c>
      <c r="D44" s="217"/>
      <c r="E44" s="217">
        <v>144366</v>
      </c>
      <c r="F44" s="216"/>
      <c r="G44" s="238">
        <f t="shared" si="0"/>
        <v>0</v>
      </c>
      <c r="H44" s="238">
        <f t="shared" si="1"/>
        <v>1.5710399164236277</v>
      </c>
      <c r="I44" s="238">
        <f t="shared" si="2"/>
        <v>0</v>
      </c>
      <c r="J44" s="254"/>
      <c r="K44" s="316"/>
    </row>
    <row r="45" spans="1:12" s="247" customFormat="1" ht="21" customHeight="1">
      <c r="A45" s="84">
        <v>5</v>
      </c>
      <c r="B45" s="85" t="s">
        <v>42</v>
      </c>
      <c r="C45" s="217">
        <v>115</v>
      </c>
      <c r="D45" s="217"/>
      <c r="E45" s="217">
        <v>10156</v>
      </c>
      <c r="F45" s="216"/>
      <c r="G45" s="238">
        <f t="shared" si="0"/>
        <v>0</v>
      </c>
      <c r="H45" s="238">
        <f t="shared" si="1"/>
        <v>88.313043478260866</v>
      </c>
      <c r="I45" s="238">
        <f t="shared" si="2"/>
        <v>0</v>
      </c>
      <c r="J45" s="254"/>
      <c r="K45" s="316"/>
    </row>
    <row r="46" spans="1:12">
      <c r="H46" s="220"/>
    </row>
    <row r="47" spans="1:12">
      <c r="C47" s="465"/>
      <c r="D47" s="465"/>
      <c r="E47" s="465"/>
    </row>
    <row r="48" spans="1:12">
      <c r="C48" s="465"/>
      <c r="D48" s="465"/>
      <c r="E48" s="465"/>
    </row>
    <row r="49" spans="5:5">
      <c r="E49" s="465"/>
    </row>
    <row r="50" spans="5:5">
      <c r="E50" s="465"/>
    </row>
  </sheetData>
  <mergeCells count="12">
    <mergeCell ref="A2:I2"/>
    <mergeCell ref="A3:I3"/>
    <mergeCell ref="A5:A7"/>
    <mergeCell ref="B5:B7"/>
    <mergeCell ref="C5:C7"/>
    <mergeCell ref="D5:D7"/>
    <mergeCell ref="E5:E7"/>
    <mergeCell ref="F5:F7"/>
    <mergeCell ref="G5:I5"/>
    <mergeCell ref="H6:H7"/>
    <mergeCell ref="G6:G7"/>
    <mergeCell ref="I6:I7"/>
  </mergeCells>
  <pageMargins left="0.51181102362204722" right="0.31496062992125984" top="0.59055118110236227" bottom="0.6692913385826772" header="0.31496062992125984" footer="0.31496062992125984"/>
  <pageSetup paperSize="9" scale="75"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U30"/>
  <sheetViews>
    <sheetView view="pageBreakPreview" zoomScale="90" zoomScaleNormal="85" zoomScaleSheetLayoutView="90" workbookViewId="0">
      <selection activeCell="P17" sqref="P17"/>
    </sheetView>
  </sheetViews>
  <sheetFormatPr defaultColWidth="9" defaultRowHeight="15.75"/>
  <cols>
    <col min="1" max="1" width="6.21875" style="199" customWidth="1"/>
    <col min="2" max="2" width="37.77734375" style="199" customWidth="1"/>
    <col min="3" max="4" width="11.77734375" style="199" customWidth="1"/>
    <col min="5" max="8" width="8.6640625" style="199" customWidth="1"/>
    <col min="9" max="9" width="10.109375" style="199" customWidth="1"/>
    <col min="10" max="11" width="8.6640625" style="199" customWidth="1"/>
    <col min="12" max="12" width="11.33203125" style="199" customWidth="1"/>
    <col min="13" max="14" width="11.77734375" style="199" customWidth="1"/>
    <col min="15" max="15" width="11.6640625" style="199" customWidth="1"/>
    <col min="16" max="19" width="11.77734375" style="199" customWidth="1"/>
    <col min="20" max="21" width="9.21875" style="199" customWidth="1"/>
    <col min="22" max="16384" width="9" style="199"/>
  </cols>
  <sheetData>
    <row r="1" spans="1:21" ht="23.25" customHeight="1">
      <c r="A1" s="77"/>
      <c r="B1" s="77"/>
      <c r="C1" s="78"/>
      <c r="D1" s="78"/>
      <c r="E1" s="78"/>
      <c r="F1" s="78"/>
      <c r="G1" s="77"/>
      <c r="H1" s="77"/>
      <c r="I1" s="77"/>
      <c r="J1" s="77"/>
      <c r="K1" s="77"/>
      <c r="L1" s="78"/>
      <c r="M1" s="78"/>
      <c r="N1" s="78"/>
      <c r="O1" s="79"/>
      <c r="Q1" s="79"/>
      <c r="R1" s="80"/>
      <c r="S1" s="81" t="s">
        <v>167</v>
      </c>
    </row>
    <row r="2" spans="1:21" ht="20.25" customHeight="1">
      <c r="A2" s="201" t="s">
        <v>142</v>
      </c>
      <c r="B2" s="77"/>
      <c r="C2" s="78"/>
      <c r="D2" s="78"/>
      <c r="E2" s="78"/>
      <c r="F2" s="78"/>
      <c r="G2" s="78"/>
      <c r="H2" s="78"/>
      <c r="I2" s="78"/>
      <c r="J2" s="78"/>
      <c r="K2" s="78"/>
      <c r="L2" s="78"/>
      <c r="M2" s="78"/>
      <c r="N2" s="78"/>
      <c r="O2" s="78"/>
      <c r="P2" s="78"/>
      <c r="Q2" s="78"/>
      <c r="R2" s="78"/>
      <c r="S2" s="78"/>
    </row>
    <row r="3" spans="1:21" ht="20.25" customHeight="1">
      <c r="A3" s="201" t="s">
        <v>853</v>
      </c>
      <c r="B3" s="77"/>
      <c r="C3" s="78"/>
      <c r="D3" s="78"/>
      <c r="E3" s="78"/>
      <c r="F3" s="78"/>
      <c r="G3" s="78"/>
      <c r="H3" s="78"/>
      <c r="I3" s="78"/>
      <c r="J3" s="78"/>
      <c r="K3" s="78"/>
      <c r="L3" s="78"/>
      <c r="M3" s="78"/>
      <c r="N3" s="78"/>
      <c r="O3" s="78"/>
      <c r="P3" s="78"/>
      <c r="Q3" s="78"/>
      <c r="R3" s="78"/>
      <c r="S3" s="78"/>
    </row>
    <row r="4" spans="1:21" s="656" customFormat="1" ht="21.75" customHeight="1">
      <c r="A4" s="654" t="str">
        <f>'PL15'!A3</f>
        <v xml:space="preserve"> Biểu kèm theo Báo cáo số 99/BC-BKTXH ngày 12/12/2024 của Ban KT-XH,HĐND huyện Tuần Giáo</v>
      </c>
      <c r="B4" s="655"/>
      <c r="C4" s="654"/>
      <c r="D4" s="654"/>
      <c r="E4" s="654"/>
      <c r="F4" s="654"/>
      <c r="G4" s="654"/>
      <c r="H4" s="654"/>
      <c r="I4" s="654"/>
      <c r="J4" s="654"/>
      <c r="K4" s="654"/>
      <c r="L4" s="654"/>
      <c r="M4" s="654"/>
      <c r="N4" s="654"/>
      <c r="O4" s="654"/>
      <c r="P4" s="654"/>
      <c r="Q4" s="654"/>
      <c r="R4" s="654"/>
      <c r="S4" s="654"/>
    </row>
    <row r="5" spans="1:21" ht="26.25" customHeight="1">
      <c r="A5" s="657"/>
      <c r="B5" s="657"/>
      <c r="C5" s="79"/>
      <c r="D5" s="79"/>
      <c r="E5" s="79"/>
      <c r="F5" s="79"/>
      <c r="G5" s="215"/>
      <c r="H5" s="215"/>
      <c r="I5" s="215"/>
      <c r="J5" s="215"/>
      <c r="K5" s="215"/>
      <c r="L5" s="215"/>
      <c r="M5" s="215"/>
      <c r="N5" s="215"/>
      <c r="O5" s="215"/>
      <c r="P5" s="79"/>
      <c r="Q5" s="79"/>
      <c r="R5" s="797" t="s">
        <v>87</v>
      </c>
      <c r="S5" s="797"/>
    </row>
    <row r="6" spans="1:21" ht="21.75" customHeight="1">
      <c r="A6" s="759" t="s">
        <v>58</v>
      </c>
      <c r="B6" s="796" t="s">
        <v>29</v>
      </c>
      <c r="C6" s="796" t="s">
        <v>76</v>
      </c>
      <c r="D6" s="759" t="s">
        <v>63</v>
      </c>
      <c r="E6" s="759" t="s">
        <v>47</v>
      </c>
      <c r="F6" s="759" t="s">
        <v>103</v>
      </c>
      <c r="G6" s="759" t="s">
        <v>104</v>
      </c>
      <c r="H6" s="759" t="s">
        <v>105</v>
      </c>
      <c r="I6" s="759" t="s">
        <v>106</v>
      </c>
      <c r="J6" s="759" t="s">
        <v>107</v>
      </c>
      <c r="K6" s="759" t="s">
        <v>108</v>
      </c>
      <c r="L6" s="759" t="s">
        <v>109</v>
      </c>
      <c r="M6" s="759" t="s">
        <v>110</v>
      </c>
      <c r="N6" s="759" t="s">
        <v>30</v>
      </c>
      <c r="O6" s="759"/>
      <c r="P6" s="759"/>
      <c r="Q6" s="759" t="s">
        <v>111</v>
      </c>
      <c r="R6" s="759" t="s">
        <v>112</v>
      </c>
      <c r="S6" s="759" t="s">
        <v>113</v>
      </c>
    </row>
    <row r="7" spans="1:21" ht="13.5" customHeight="1">
      <c r="A7" s="759"/>
      <c r="B7" s="796"/>
      <c r="C7" s="796"/>
      <c r="D7" s="759"/>
      <c r="E7" s="759"/>
      <c r="F7" s="759"/>
      <c r="G7" s="759"/>
      <c r="H7" s="759"/>
      <c r="I7" s="759"/>
      <c r="J7" s="759"/>
      <c r="K7" s="759"/>
      <c r="L7" s="759"/>
      <c r="M7" s="759"/>
      <c r="N7" s="759" t="s">
        <v>116</v>
      </c>
      <c r="O7" s="759" t="s">
        <v>117</v>
      </c>
      <c r="P7" s="759" t="s">
        <v>300</v>
      </c>
      <c r="Q7" s="759"/>
      <c r="R7" s="759"/>
      <c r="S7" s="759"/>
    </row>
    <row r="8" spans="1:21" ht="13.5" customHeight="1">
      <c r="A8" s="759"/>
      <c r="B8" s="796"/>
      <c r="C8" s="796"/>
      <c r="D8" s="759"/>
      <c r="E8" s="759"/>
      <c r="F8" s="759"/>
      <c r="G8" s="759"/>
      <c r="H8" s="759"/>
      <c r="I8" s="759"/>
      <c r="J8" s="759"/>
      <c r="K8" s="759"/>
      <c r="L8" s="759"/>
      <c r="M8" s="759"/>
      <c r="N8" s="759"/>
      <c r="O8" s="759"/>
      <c r="P8" s="759"/>
      <c r="Q8" s="759"/>
      <c r="R8" s="759"/>
      <c r="S8" s="759"/>
    </row>
    <row r="9" spans="1:21" ht="62.25" customHeight="1">
      <c r="A9" s="759"/>
      <c r="B9" s="796"/>
      <c r="C9" s="796"/>
      <c r="D9" s="759"/>
      <c r="E9" s="759"/>
      <c r="F9" s="759"/>
      <c r="G9" s="759"/>
      <c r="H9" s="759"/>
      <c r="I9" s="759"/>
      <c r="J9" s="759"/>
      <c r="K9" s="759"/>
      <c r="L9" s="759"/>
      <c r="M9" s="759"/>
      <c r="N9" s="759"/>
      <c r="O9" s="759"/>
      <c r="P9" s="759"/>
      <c r="Q9" s="759"/>
      <c r="R9" s="759"/>
      <c r="S9" s="759"/>
    </row>
    <row r="10" spans="1:21" s="80" customFormat="1" ht="18.75" customHeight="1">
      <c r="A10" s="84" t="s">
        <v>8</v>
      </c>
      <c r="B10" s="84" t="s">
        <v>9</v>
      </c>
      <c r="C10" s="84">
        <v>1</v>
      </c>
      <c r="D10" s="658">
        <f>C10+1</f>
        <v>2</v>
      </c>
      <c r="E10" s="658">
        <f t="shared" ref="E10:S10" si="0">D10+1</f>
        <v>3</v>
      </c>
      <c r="F10" s="658">
        <f t="shared" si="0"/>
        <v>4</v>
      </c>
      <c r="G10" s="658">
        <f t="shared" si="0"/>
        <v>5</v>
      </c>
      <c r="H10" s="658">
        <f t="shared" si="0"/>
        <v>6</v>
      </c>
      <c r="I10" s="658">
        <v>3</v>
      </c>
      <c r="J10" s="658">
        <f t="shared" si="0"/>
        <v>4</v>
      </c>
      <c r="K10" s="658">
        <f t="shared" si="0"/>
        <v>5</v>
      </c>
      <c r="L10" s="658">
        <f t="shared" si="0"/>
        <v>6</v>
      </c>
      <c r="M10" s="658">
        <v>4</v>
      </c>
      <c r="N10" s="658">
        <v>5</v>
      </c>
      <c r="O10" s="658"/>
      <c r="P10" s="658">
        <v>6</v>
      </c>
      <c r="Q10" s="658">
        <v>7</v>
      </c>
      <c r="R10" s="658">
        <f t="shared" si="0"/>
        <v>8</v>
      </c>
      <c r="S10" s="658">
        <f t="shared" si="0"/>
        <v>9</v>
      </c>
    </row>
    <row r="11" spans="1:21" s="200" customFormat="1" ht="23.25" customHeight="1">
      <c r="A11" s="84"/>
      <c r="B11" s="85" t="s">
        <v>28</v>
      </c>
      <c r="C11" s="197">
        <f>+C12+C19</f>
        <v>136268</v>
      </c>
      <c r="D11" s="628">
        <f t="shared" ref="D11:S11" si="1">+D12+D19</f>
        <v>23963</v>
      </c>
      <c r="E11" s="628">
        <f t="shared" si="1"/>
        <v>0</v>
      </c>
      <c r="F11" s="628">
        <f t="shared" si="1"/>
        <v>0</v>
      </c>
      <c r="G11" s="628">
        <f t="shared" si="1"/>
        <v>0</v>
      </c>
      <c r="H11" s="628">
        <f t="shared" si="1"/>
        <v>0</v>
      </c>
      <c r="I11" s="628">
        <f t="shared" si="1"/>
        <v>5366</v>
      </c>
      <c r="J11" s="628">
        <f t="shared" si="1"/>
        <v>0</v>
      </c>
      <c r="K11" s="628">
        <f t="shared" si="1"/>
        <v>17666</v>
      </c>
      <c r="L11" s="628">
        <f t="shared" si="1"/>
        <v>0</v>
      </c>
      <c r="M11" s="628">
        <f t="shared" si="1"/>
        <v>85935</v>
      </c>
      <c r="N11" s="628">
        <f t="shared" si="1"/>
        <v>36505</v>
      </c>
      <c r="O11" s="628">
        <f t="shared" si="1"/>
        <v>210</v>
      </c>
      <c r="P11" s="628">
        <f t="shared" si="1"/>
        <v>49220</v>
      </c>
      <c r="Q11" s="628">
        <f t="shared" si="1"/>
        <v>0</v>
      </c>
      <c r="R11" s="628">
        <f t="shared" si="1"/>
        <v>0</v>
      </c>
      <c r="S11" s="628">
        <f t="shared" si="1"/>
        <v>3338</v>
      </c>
      <c r="U11" s="489"/>
    </row>
    <row r="12" spans="1:21" s="200" customFormat="1" ht="23.25" customHeight="1">
      <c r="A12" s="84" t="s">
        <v>18</v>
      </c>
      <c r="B12" s="85" t="s">
        <v>334</v>
      </c>
      <c r="C12" s="197">
        <f>+C13+C15+C17</f>
        <v>38692</v>
      </c>
      <c r="D12" s="628">
        <f t="shared" ref="D12:S12" si="2">+D13+D15+D17</f>
        <v>0</v>
      </c>
      <c r="E12" s="628">
        <f t="shared" si="2"/>
        <v>0</v>
      </c>
      <c r="F12" s="628">
        <f t="shared" si="2"/>
        <v>0</v>
      </c>
      <c r="G12" s="628">
        <f t="shared" si="2"/>
        <v>0</v>
      </c>
      <c r="H12" s="628">
        <f t="shared" si="2"/>
        <v>0</v>
      </c>
      <c r="I12" s="628">
        <f t="shared" si="2"/>
        <v>500</v>
      </c>
      <c r="J12" s="628">
        <f t="shared" si="2"/>
        <v>0</v>
      </c>
      <c r="K12" s="628">
        <f t="shared" si="2"/>
        <v>0</v>
      </c>
      <c r="L12" s="628">
        <f t="shared" si="2"/>
        <v>0</v>
      </c>
      <c r="M12" s="628">
        <f t="shared" si="2"/>
        <v>38192</v>
      </c>
      <c r="N12" s="628">
        <f t="shared" si="2"/>
        <v>18562</v>
      </c>
      <c r="O12" s="628">
        <f t="shared" si="2"/>
        <v>0</v>
      </c>
      <c r="P12" s="628">
        <f t="shared" si="2"/>
        <v>19630</v>
      </c>
      <c r="Q12" s="628">
        <f t="shared" si="2"/>
        <v>0</v>
      </c>
      <c r="R12" s="628">
        <f t="shared" si="2"/>
        <v>0</v>
      </c>
      <c r="S12" s="628">
        <f t="shared" si="2"/>
        <v>0</v>
      </c>
      <c r="U12" s="489"/>
    </row>
    <row r="13" spans="1:21" s="200" customFormat="1" ht="23.25" customHeight="1">
      <c r="A13" s="84">
        <v>1</v>
      </c>
      <c r="B13" s="85" t="s">
        <v>288</v>
      </c>
      <c r="C13" s="197">
        <f>C14</f>
        <v>24526</v>
      </c>
      <c r="D13" s="628">
        <f t="shared" ref="D13:S13" si="3">D14</f>
        <v>0</v>
      </c>
      <c r="E13" s="628">
        <f t="shared" si="3"/>
        <v>0</v>
      </c>
      <c r="F13" s="628">
        <f t="shared" si="3"/>
        <v>0</v>
      </c>
      <c r="G13" s="628">
        <f t="shared" si="3"/>
        <v>0</v>
      </c>
      <c r="H13" s="628">
        <f t="shared" si="3"/>
        <v>0</v>
      </c>
      <c r="I13" s="628">
        <f t="shared" si="3"/>
        <v>0</v>
      </c>
      <c r="J13" s="628">
        <f t="shared" si="3"/>
        <v>0</v>
      </c>
      <c r="K13" s="628">
        <f t="shared" si="3"/>
        <v>0</v>
      </c>
      <c r="L13" s="628">
        <f t="shared" si="3"/>
        <v>0</v>
      </c>
      <c r="M13" s="628">
        <f t="shared" si="3"/>
        <v>24526</v>
      </c>
      <c r="N13" s="628">
        <f t="shared" si="3"/>
        <v>13152</v>
      </c>
      <c r="O13" s="628">
        <f t="shared" si="3"/>
        <v>0</v>
      </c>
      <c r="P13" s="628">
        <f t="shared" si="3"/>
        <v>11374</v>
      </c>
      <c r="Q13" s="628">
        <f t="shared" si="3"/>
        <v>0</v>
      </c>
      <c r="R13" s="628">
        <f t="shared" si="3"/>
        <v>0</v>
      </c>
      <c r="S13" s="628">
        <f t="shared" si="3"/>
        <v>0</v>
      </c>
    </row>
    <row r="14" spans="1:21" ht="23.25" customHeight="1">
      <c r="A14" s="34"/>
      <c r="B14" s="211" t="s">
        <v>850</v>
      </c>
      <c r="C14" s="88">
        <f>SUM(D14:M14)+Q14+R14+S14</f>
        <v>24526</v>
      </c>
      <c r="D14" s="629"/>
      <c r="E14" s="629"/>
      <c r="F14" s="629"/>
      <c r="G14" s="629"/>
      <c r="H14" s="629"/>
      <c r="I14" s="629"/>
      <c r="J14" s="629"/>
      <c r="K14" s="629"/>
      <c r="L14" s="629"/>
      <c r="M14" s="629">
        <f>N14+O14+P14</f>
        <v>24526</v>
      </c>
      <c r="N14" s="629">
        <v>13152</v>
      </c>
      <c r="O14" s="629"/>
      <c r="P14" s="629">
        <v>11374</v>
      </c>
      <c r="Q14" s="629"/>
      <c r="R14" s="629"/>
      <c r="S14" s="629"/>
      <c r="U14" s="198"/>
    </row>
    <row r="15" spans="1:21" s="200" customFormat="1" ht="23.25" customHeight="1">
      <c r="A15" s="84">
        <v>2</v>
      </c>
      <c r="B15" s="85" t="s">
        <v>289</v>
      </c>
      <c r="C15" s="197">
        <f>C16</f>
        <v>12960</v>
      </c>
      <c r="D15" s="628">
        <f t="shared" ref="D15:S17" si="4">D16</f>
        <v>0</v>
      </c>
      <c r="E15" s="628">
        <f t="shared" si="4"/>
        <v>0</v>
      </c>
      <c r="F15" s="628">
        <f t="shared" si="4"/>
        <v>0</v>
      </c>
      <c r="G15" s="628">
        <f t="shared" si="4"/>
        <v>0</v>
      </c>
      <c r="H15" s="628">
        <f t="shared" si="4"/>
        <v>0</v>
      </c>
      <c r="I15" s="628">
        <f t="shared" si="4"/>
        <v>500</v>
      </c>
      <c r="J15" s="628">
        <f t="shared" si="4"/>
        <v>0</v>
      </c>
      <c r="K15" s="628">
        <f t="shared" si="4"/>
        <v>0</v>
      </c>
      <c r="L15" s="628">
        <f t="shared" si="4"/>
        <v>0</v>
      </c>
      <c r="M15" s="628">
        <f t="shared" si="4"/>
        <v>12460</v>
      </c>
      <c r="N15" s="628">
        <f t="shared" si="4"/>
        <v>5410</v>
      </c>
      <c r="O15" s="628">
        <f t="shared" si="4"/>
        <v>0</v>
      </c>
      <c r="P15" s="628">
        <f t="shared" si="4"/>
        <v>7050</v>
      </c>
      <c r="Q15" s="628">
        <f t="shared" si="4"/>
        <v>0</v>
      </c>
      <c r="R15" s="628">
        <f t="shared" si="4"/>
        <v>0</v>
      </c>
      <c r="S15" s="628">
        <f t="shared" si="4"/>
        <v>0</v>
      </c>
    </row>
    <row r="16" spans="1:21" ht="23.25" customHeight="1">
      <c r="A16" s="34"/>
      <c r="B16" s="211" t="s">
        <v>850</v>
      </c>
      <c r="C16" s="88">
        <f>SUM(D16:M16)+Q16+R16+S16</f>
        <v>12960</v>
      </c>
      <c r="D16" s="629"/>
      <c r="E16" s="629"/>
      <c r="F16" s="629"/>
      <c r="G16" s="629"/>
      <c r="H16" s="629"/>
      <c r="I16" s="629">
        <v>500</v>
      </c>
      <c r="J16" s="629"/>
      <c r="K16" s="629"/>
      <c r="L16" s="629"/>
      <c r="M16" s="629">
        <f>N16+O16+P16</f>
        <v>12460</v>
      </c>
      <c r="N16" s="629">
        <v>5410</v>
      </c>
      <c r="O16" s="629"/>
      <c r="P16" s="629">
        <f>4890+2160</f>
        <v>7050</v>
      </c>
      <c r="Q16" s="629"/>
      <c r="R16" s="629"/>
      <c r="S16" s="629"/>
    </row>
    <row r="17" spans="1:19" s="200" customFormat="1" ht="42" customHeight="1">
      <c r="A17" s="84">
        <v>3</v>
      </c>
      <c r="B17" s="291" t="s">
        <v>792</v>
      </c>
      <c r="C17" s="197">
        <f>C18</f>
        <v>1206</v>
      </c>
      <c r="D17" s="628">
        <f t="shared" si="4"/>
        <v>0</v>
      </c>
      <c r="E17" s="628">
        <f t="shared" si="4"/>
        <v>0</v>
      </c>
      <c r="F17" s="628">
        <f t="shared" si="4"/>
        <v>0</v>
      </c>
      <c r="G17" s="628">
        <f t="shared" si="4"/>
        <v>0</v>
      </c>
      <c r="H17" s="628">
        <f t="shared" si="4"/>
        <v>0</v>
      </c>
      <c r="I17" s="628">
        <f t="shared" si="4"/>
        <v>0</v>
      </c>
      <c r="J17" s="628">
        <f t="shared" si="4"/>
        <v>0</v>
      </c>
      <c r="K17" s="628">
        <f t="shared" si="4"/>
        <v>0</v>
      </c>
      <c r="L17" s="628">
        <f t="shared" si="4"/>
        <v>0</v>
      </c>
      <c r="M17" s="628">
        <f t="shared" si="4"/>
        <v>1206</v>
      </c>
      <c r="N17" s="628">
        <f t="shared" si="4"/>
        <v>0</v>
      </c>
      <c r="O17" s="628">
        <f t="shared" si="4"/>
        <v>0</v>
      </c>
      <c r="P17" s="628">
        <f t="shared" si="4"/>
        <v>1206</v>
      </c>
      <c r="Q17" s="628">
        <f t="shared" si="4"/>
        <v>0</v>
      </c>
      <c r="R17" s="628">
        <f t="shared" si="4"/>
        <v>0</v>
      </c>
      <c r="S17" s="628">
        <f t="shared" si="4"/>
        <v>0</v>
      </c>
    </row>
    <row r="18" spans="1:19" ht="23.25" customHeight="1">
      <c r="A18" s="34"/>
      <c r="B18" s="211" t="s">
        <v>854</v>
      </c>
      <c r="C18" s="88">
        <f>SUM(D18:M18)+Q18+R18+S18</f>
        <v>1206</v>
      </c>
      <c r="D18" s="629"/>
      <c r="E18" s="629"/>
      <c r="F18" s="629"/>
      <c r="G18" s="629"/>
      <c r="H18" s="629"/>
      <c r="I18" s="629"/>
      <c r="J18" s="629"/>
      <c r="K18" s="629"/>
      <c r="L18" s="629"/>
      <c r="M18" s="629">
        <f>N18+O18+P18</f>
        <v>1206</v>
      </c>
      <c r="N18" s="629"/>
      <c r="O18" s="629"/>
      <c r="P18" s="629">
        <v>1206</v>
      </c>
      <c r="Q18" s="629"/>
      <c r="R18" s="629"/>
      <c r="S18" s="629"/>
    </row>
    <row r="19" spans="1:19" s="200" customFormat="1" ht="23.25" customHeight="1">
      <c r="A19" s="84" t="s">
        <v>19</v>
      </c>
      <c r="B19" s="85" t="s">
        <v>333</v>
      </c>
      <c r="C19" s="197">
        <f>C20</f>
        <v>97576</v>
      </c>
      <c r="D19" s="628">
        <f t="shared" ref="D19:S19" si="5">D20</f>
        <v>23963</v>
      </c>
      <c r="E19" s="628">
        <f t="shared" si="5"/>
        <v>0</v>
      </c>
      <c r="F19" s="628">
        <f t="shared" si="5"/>
        <v>0</v>
      </c>
      <c r="G19" s="628">
        <f t="shared" si="5"/>
        <v>0</v>
      </c>
      <c r="H19" s="628">
        <f t="shared" si="5"/>
        <v>0</v>
      </c>
      <c r="I19" s="628">
        <f t="shared" si="5"/>
        <v>4866</v>
      </c>
      <c r="J19" s="628">
        <f t="shared" si="5"/>
        <v>0</v>
      </c>
      <c r="K19" s="628">
        <f t="shared" si="5"/>
        <v>17666</v>
      </c>
      <c r="L19" s="628">
        <f t="shared" si="5"/>
        <v>0</v>
      </c>
      <c r="M19" s="628">
        <f t="shared" si="5"/>
        <v>47743</v>
      </c>
      <c r="N19" s="628">
        <f t="shared" si="5"/>
        <v>17943</v>
      </c>
      <c r="O19" s="628">
        <f t="shared" si="5"/>
        <v>210</v>
      </c>
      <c r="P19" s="628">
        <f t="shared" si="5"/>
        <v>29590</v>
      </c>
      <c r="Q19" s="628">
        <f t="shared" si="5"/>
        <v>0</v>
      </c>
      <c r="R19" s="628">
        <f t="shared" si="5"/>
        <v>0</v>
      </c>
      <c r="S19" s="628">
        <f t="shared" si="5"/>
        <v>3338</v>
      </c>
    </row>
    <row r="20" spans="1:19" ht="23.25" customHeight="1">
      <c r="A20" s="659"/>
      <c r="B20" s="211" t="s">
        <v>850</v>
      </c>
      <c r="C20" s="88">
        <f>SUM(D20:M20)+Q20+R20+S20</f>
        <v>97576</v>
      </c>
      <c r="D20" s="629">
        <f>1135.6+718.4+11000+11109</f>
        <v>23963</v>
      </c>
      <c r="E20" s="629"/>
      <c r="F20" s="629"/>
      <c r="G20" s="629"/>
      <c r="H20" s="629"/>
      <c r="I20" s="629">
        <v>4866</v>
      </c>
      <c r="J20" s="629"/>
      <c r="K20" s="629">
        <v>17666</v>
      </c>
      <c r="L20" s="629"/>
      <c r="M20" s="629">
        <f>N20+O20+P20</f>
        <v>47743</v>
      </c>
      <c r="N20" s="629">
        <f>17944-1</f>
        <v>17943</v>
      </c>
      <c r="O20" s="629">
        <f>115+95</f>
        <v>210</v>
      </c>
      <c r="P20" s="629">
        <f>2000+27590</f>
        <v>29590</v>
      </c>
      <c r="Q20" s="629"/>
      <c r="R20" s="629"/>
      <c r="S20" s="629">
        <v>3338</v>
      </c>
    </row>
    <row r="21" spans="1:19">
      <c r="A21" s="656"/>
      <c r="B21" s="656"/>
    </row>
    <row r="22" spans="1:19">
      <c r="B22" s="656"/>
      <c r="C22" s="720">
        <f>C11-'Chi 2025'!D9-'Chi 2025'!D81</f>
        <v>0</v>
      </c>
      <c r="N22" s="198"/>
    </row>
    <row r="30" spans="1:19" ht="22.5" customHeight="1"/>
  </sheetData>
  <mergeCells count="21">
    <mergeCell ref="A6:A9"/>
    <mergeCell ref="B6:B9"/>
    <mergeCell ref="C6:C9"/>
    <mergeCell ref="D6:D9"/>
    <mergeCell ref="E6:E9"/>
    <mergeCell ref="F6:F9"/>
    <mergeCell ref="S6:S9"/>
    <mergeCell ref="P7:P9"/>
    <mergeCell ref="Q6:Q9"/>
    <mergeCell ref="R6:R9"/>
    <mergeCell ref="N7:N9"/>
    <mergeCell ref="R5:S5"/>
    <mergeCell ref="O7:O9"/>
    <mergeCell ref="M6:M9"/>
    <mergeCell ref="G6:G9"/>
    <mergeCell ref="H6:H9"/>
    <mergeCell ref="I6:I9"/>
    <mergeCell ref="N6:P6"/>
    <mergeCell ref="J6:J9"/>
    <mergeCell ref="K6:K9"/>
    <mergeCell ref="L6:L9"/>
  </mergeCells>
  <pageMargins left="0.35" right="0.35" top="0.57999999999999996" bottom="0.75" header="0.3" footer="0.3"/>
  <pageSetup paperSize="9" scale="52" fitToHeight="0"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rgb="FFFFFF00"/>
    <pageSetUpPr fitToPage="1"/>
  </sheetPr>
  <dimension ref="A1:U53"/>
  <sheetViews>
    <sheetView view="pageBreakPreview" zoomScale="80" zoomScaleNormal="70" zoomScaleSheetLayoutView="80" workbookViewId="0">
      <pane xSplit="3" ySplit="11" topLeftCell="D12" activePane="bottomRight" state="frozen"/>
      <selection pane="topRight" activeCell="D1" sqref="D1"/>
      <selection pane="bottomLeft" activeCell="A12" sqref="A12"/>
      <selection pane="bottomRight" activeCell="Q27" sqref="Q27"/>
    </sheetView>
  </sheetViews>
  <sheetFormatPr defaultColWidth="9" defaultRowHeight="15.75"/>
  <cols>
    <col min="1" max="1" width="4.21875" style="199" customWidth="1"/>
    <col min="2" max="2" width="35.88671875" style="199" customWidth="1"/>
    <col min="3" max="3" width="12.33203125" style="199" customWidth="1"/>
    <col min="4" max="4" width="9.77734375" style="199" customWidth="1"/>
    <col min="5" max="5" width="7.109375" style="199" customWidth="1"/>
    <col min="6" max="6" width="7.44140625" style="199" customWidth="1"/>
    <col min="7" max="7" width="8.109375" style="199" customWidth="1"/>
    <col min="8" max="8" width="8.6640625" style="199" customWidth="1"/>
    <col min="9" max="9" width="7.21875" style="199" customWidth="1"/>
    <col min="10" max="10" width="7.33203125" style="199" customWidth="1"/>
    <col min="11" max="11" width="6.21875" style="199" customWidth="1"/>
    <col min="12" max="12" width="7.109375" style="199" customWidth="1"/>
    <col min="13" max="13" width="8.44140625" style="199" customWidth="1"/>
    <col min="14" max="14" width="8.21875" style="199" customWidth="1"/>
    <col min="15" max="15" width="10.77734375" style="199" customWidth="1"/>
    <col min="16" max="16" width="11" style="199" customWidth="1"/>
    <col min="17" max="17" width="9.88671875" style="199" customWidth="1"/>
    <col min="18" max="18" width="8.88671875" style="199" customWidth="1"/>
    <col min="19" max="19" width="7.77734375" style="199" customWidth="1"/>
    <col min="20" max="21" width="9.21875" style="199" customWidth="1"/>
    <col min="22" max="16384" width="9" style="199"/>
  </cols>
  <sheetData>
    <row r="1" spans="1:21" ht="26.25" customHeight="1">
      <c r="A1" s="77"/>
      <c r="B1" s="77"/>
      <c r="C1" s="78"/>
      <c r="D1" s="78"/>
      <c r="E1" s="78"/>
      <c r="F1" s="78"/>
      <c r="G1" s="201"/>
      <c r="H1" s="201"/>
      <c r="I1" s="201"/>
      <c r="J1" s="201"/>
      <c r="K1" s="201"/>
      <c r="L1" s="78"/>
      <c r="M1" s="78"/>
      <c r="N1" s="78"/>
      <c r="O1" s="78"/>
      <c r="P1" s="78"/>
      <c r="Q1" s="79"/>
      <c r="R1" s="202"/>
      <c r="S1" s="203" t="s">
        <v>166</v>
      </c>
    </row>
    <row r="2" spans="1:21" s="205" customFormat="1" ht="18.75" customHeight="1">
      <c r="A2" s="201" t="s">
        <v>143</v>
      </c>
      <c r="B2" s="201"/>
      <c r="C2" s="204"/>
      <c r="D2" s="204"/>
      <c r="E2" s="204"/>
      <c r="F2" s="204"/>
      <c r="G2" s="204"/>
      <c r="H2" s="204"/>
      <c r="I2" s="204"/>
      <c r="J2" s="204"/>
      <c r="K2" s="204"/>
      <c r="L2" s="204"/>
      <c r="M2" s="204"/>
      <c r="N2" s="204"/>
      <c r="O2" s="204"/>
      <c r="P2" s="204"/>
      <c r="Q2" s="204"/>
      <c r="R2" s="204"/>
      <c r="S2" s="204"/>
    </row>
    <row r="3" spans="1:21" s="205" customFormat="1" ht="21.75" customHeight="1">
      <c r="A3" s="201" t="s">
        <v>855</v>
      </c>
      <c r="B3" s="201"/>
      <c r="C3" s="204"/>
      <c r="D3" s="204"/>
      <c r="E3" s="204"/>
      <c r="F3" s="204"/>
      <c r="G3" s="204"/>
      <c r="H3" s="204"/>
      <c r="I3" s="204"/>
      <c r="J3" s="204"/>
      <c r="K3" s="204"/>
      <c r="L3" s="204"/>
      <c r="M3" s="204"/>
      <c r="N3" s="204"/>
      <c r="O3" s="204"/>
      <c r="P3" s="204"/>
      <c r="Q3" s="204"/>
      <c r="R3" s="204"/>
      <c r="S3" s="204"/>
    </row>
    <row r="4" spans="1:21" ht="20.25" customHeight="1">
      <c r="A4" s="788" t="str">
        <f>'PL36-ĐT'!A4</f>
        <v xml:space="preserve"> Biểu kèm theo Báo cáo số 99/BC-BKTXH ngày 12/12/2024 của Ban KT-XH,HĐND huyện Tuần Giáo</v>
      </c>
      <c r="B4" s="788"/>
      <c r="C4" s="788"/>
      <c r="D4" s="788"/>
      <c r="E4" s="788"/>
      <c r="F4" s="788"/>
      <c r="G4" s="788"/>
      <c r="H4" s="788"/>
      <c r="I4" s="788"/>
      <c r="J4" s="788"/>
      <c r="K4" s="788"/>
      <c r="L4" s="788"/>
      <c r="M4" s="788"/>
      <c r="N4" s="788"/>
      <c r="O4" s="788"/>
      <c r="P4" s="788"/>
      <c r="Q4" s="788"/>
      <c r="R4" s="788"/>
      <c r="S4" s="788"/>
    </row>
    <row r="5" spans="1:21" ht="23.25" customHeight="1">
      <c r="A5" s="82"/>
      <c r="B5" s="82"/>
      <c r="C5" s="83"/>
      <c r="D5" s="83"/>
      <c r="E5" s="83"/>
      <c r="F5" s="83"/>
      <c r="G5" s="206"/>
      <c r="H5" s="206"/>
      <c r="I5" s="206"/>
      <c r="J5" s="206"/>
      <c r="K5" s="206"/>
      <c r="L5" s="206"/>
      <c r="M5" s="206"/>
      <c r="N5" s="206"/>
      <c r="O5" s="206"/>
      <c r="P5" s="206"/>
      <c r="Q5" s="206"/>
      <c r="R5" s="206"/>
      <c r="S5" s="207" t="s">
        <v>87</v>
      </c>
    </row>
    <row r="6" spans="1:21" s="208" customFormat="1" ht="21" customHeight="1">
      <c r="A6" s="812" t="s">
        <v>58</v>
      </c>
      <c r="B6" s="813" t="s">
        <v>29</v>
      </c>
      <c r="C6" s="813" t="s">
        <v>76</v>
      </c>
      <c r="D6" s="812" t="s">
        <v>63</v>
      </c>
      <c r="E6" s="812" t="s">
        <v>47</v>
      </c>
      <c r="F6" s="812" t="s">
        <v>103</v>
      </c>
      <c r="G6" s="812" t="s">
        <v>104</v>
      </c>
      <c r="H6" s="812" t="s">
        <v>105</v>
      </c>
      <c r="I6" s="812" t="s">
        <v>106</v>
      </c>
      <c r="J6" s="812" t="s">
        <v>301</v>
      </c>
      <c r="K6" s="812" t="s">
        <v>108</v>
      </c>
      <c r="L6" s="812" t="s">
        <v>109</v>
      </c>
      <c r="M6" s="812" t="s">
        <v>110</v>
      </c>
      <c r="N6" s="812" t="s">
        <v>30</v>
      </c>
      <c r="O6" s="812"/>
      <c r="P6" s="812"/>
      <c r="Q6" s="812" t="s">
        <v>111</v>
      </c>
      <c r="R6" s="812" t="s">
        <v>112</v>
      </c>
      <c r="S6" s="812" t="s">
        <v>332</v>
      </c>
    </row>
    <row r="7" spans="1:21" s="208" customFormat="1" ht="24" customHeight="1">
      <c r="A7" s="812"/>
      <c r="B7" s="813"/>
      <c r="C7" s="813"/>
      <c r="D7" s="812"/>
      <c r="E7" s="812"/>
      <c r="F7" s="812"/>
      <c r="G7" s="812"/>
      <c r="H7" s="812"/>
      <c r="I7" s="812"/>
      <c r="J7" s="812"/>
      <c r="K7" s="812"/>
      <c r="L7" s="812"/>
      <c r="M7" s="812"/>
      <c r="N7" s="812" t="s">
        <v>116</v>
      </c>
      <c r="O7" s="812" t="s">
        <v>117</v>
      </c>
      <c r="P7" s="812" t="s">
        <v>300</v>
      </c>
      <c r="Q7" s="812"/>
      <c r="R7" s="812"/>
      <c r="S7" s="812"/>
    </row>
    <row r="8" spans="1:21" s="208" customFormat="1" ht="24" customHeight="1">
      <c r="A8" s="812"/>
      <c r="B8" s="813"/>
      <c r="C8" s="813"/>
      <c r="D8" s="812"/>
      <c r="E8" s="812"/>
      <c r="F8" s="812"/>
      <c r="G8" s="812"/>
      <c r="H8" s="812"/>
      <c r="I8" s="812"/>
      <c r="J8" s="812"/>
      <c r="K8" s="812"/>
      <c r="L8" s="812"/>
      <c r="M8" s="812"/>
      <c r="N8" s="812"/>
      <c r="O8" s="812"/>
      <c r="P8" s="812"/>
      <c r="Q8" s="812"/>
      <c r="R8" s="812"/>
      <c r="S8" s="812"/>
    </row>
    <row r="9" spans="1:21" s="208" customFormat="1" ht="45.75" customHeight="1">
      <c r="A9" s="812"/>
      <c r="B9" s="813"/>
      <c r="C9" s="813"/>
      <c r="D9" s="812"/>
      <c r="E9" s="812"/>
      <c r="F9" s="812"/>
      <c r="G9" s="812"/>
      <c r="H9" s="812"/>
      <c r="I9" s="812"/>
      <c r="J9" s="812"/>
      <c r="K9" s="812"/>
      <c r="L9" s="812"/>
      <c r="M9" s="812"/>
      <c r="N9" s="812"/>
      <c r="O9" s="812"/>
      <c r="P9" s="812"/>
      <c r="Q9" s="812"/>
      <c r="R9" s="812"/>
      <c r="S9" s="812"/>
    </row>
    <row r="10" spans="1:21" s="210" customFormat="1" ht="14.25" customHeight="1">
      <c r="A10" s="165" t="s">
        <v>8</v>
      </c>
      <c r="B10" s="165" t="s">
        <v>9</v>
      </c>
      <c r="C10" s="165">
        <v>1</v>
      </c>
      <c r="D10" s="209">
        <f>C10+1</f>
        <v>2</v>
      </c>
      <c r="E10" s="209">
        <f t="shared" ref="E10:S10" si="0">D10+1</f>
        <v>3</v>
      </c>
      <c r="F10" s="209">
        <f t="shared" si="0"/>
        <v>4</v>
      </c>
      <c r="G10" s="209">
        <f t="shared" si="0"/>
        <v>5</v>
      </c>
      <c r="H10" s="209">
        <f t="shared" si="0"/>
        <v>6</v>
      </c>
      <c r="I10" s="209">
        <f t="shared" si="0"/>
        <v>7</v>
      </c>
      <c r="J10" s="209">
        <f t="shared" si="0"/>
        <v>8</v>
      </c>
      <c r="K10" s="209">
        <f t="shared" si="0"/>
        <v>9</v>
      </c>
      <c r="L10" s="209">
        <f t="shared" si="0"/>
        <v>10</v>
      </c>
      <c r="M10" s="209">
        <f t="shared" si="0"/>
        <v>11</v>
      </c>
      <c r="N10" s="209">
        <f t="shared" si="0"/>
        <v>12</v>
      </c>
      <c r="O10" s="209">
        <f>N10+1</f>
        <v>13</v>
      </c>
      <c r="P10" s="209">
        <f t="shared" si="0"/>
        <v>14</v>
      </c>
      <c r="Q10" s="209">
        <f t="shared" si="0"/>
        <v>15</v>
      </c>
      <c r="R10" s="209">
        <f t="shared" si="0"/>
        <v>16</v>
      </c>
      <c r="S10" s="209">
        <f t="shared" si="0"/>
        <v>17</v>
      </c>
      <c r="T10" s="208"/>
      <c r="U10" s="208"/>
    </row>
    <row r="11" spans="1:21" ht="21" customHeight="1">
      <c r="A11" s="84"/>
      <c r="B11" s="85" t="s">
        <v>28</v>
      </c>
      <c r="C11" s="197">
        <f t="shared" ref="C11:S11" si="1">C12+C36</f>
        <v>837561</v>
      </c>
      <c r="D11" s="197">
        <f t="shared" si="1"/>
        <v>642988</v>
      </c>
      <c r="E11" s="197">
        <f t="shared" si="1"/>
        <v>0</v>
      </c>
      <c r="F11" s="197">
        <f t="shared" si="1"/>
        <v>4500</v>
      </c>
      <c r="G11" s="197">
        <f t="shared" si="1"/>
        <v>1900</v>
      </c>
      <c r="H11" s="197">
        <f t="shared" si="1"/>
        <v>315</v>
      </c>
      <c r="I11" s="197">
        <f t="shared" si="1"/>
        <v>1876</v>
      </c>
      <c r="J11" s="197">
        <f t="shared" si="1"/>
        <v>3418</v>
      </c>
      <c r="K11" s="197">
        <f t="shared" si="1"/>
        <v>741</v>
      </c>
      <c r="L11" s="197">
        <f t="shared" si="1"/>
        <v>9220</v>
      </c>
      <c r="M11" s="197">
        <f t="shared" si="1"/>
        <v>48670</v>
      </c>
      <c r="N11" s="197">
        <f t="shared" si="1"/>
        <v>22500</v>
      </c>
      <c r="O11" s="197">
        <f t="shared" si="1"/>
        <v>10877</v>
      </c>
      <c r="P11" s="197">
        <f t="shared" si="1"/>
        <v>15293</v>
      </c>
      <c r="Q11" s="197">
        <f t="shared" si="1"/>
        <v>49257</v>
      </c>
      <c r="R11" s="197">
        <f t="shared" si="1"/>
        <v>72606</v>
      </c>
      <c r="S11" s="197">
        <f t="shared" si="1"/>
        <v>2070</v>
      </c>
      <c r="T11" s="651">
        <f>C11-'Chi 2025'!D13</f>
        <v>0</v>
      </c>
      <c r="U11" s="208"/>
    </row>
    <row r="12" spans="1:21" ht="21" customHeight="1">
      <c r="A12" s="84" t="s">
        <v>18</v>
      </c>
      <c r="B12" s="196" t="s">
        <v>327</v>
      </c>
      <c r="C12" s="197">
        <f t="shared" ref="C12:S12" si="2">SUM(C13:C35)</f>
        <v>837063</v>
      </c>
      <c r="D12" s="197">
        <f t="shared" si="2"/>
        <v>642988</v>
      </c>
      <c r="E12" s="197">
        <f t="shared" si="2"/>
        <v>0</v>
      </c>
      <c r="F12" s="197">
        <f t="shared" si="2"/>
        <v>4500</v>
      </c>
      <c r="G12" s="197">
        <f t="shared" si="2"/>
        <v>1900</v>
      </c>
      <c r="H12" s="197">
        <f t="shared" si="2"/>
        <v>315</v>
      </c>
      <c r="I12" s="197">
        <f t="shared" si="2"/>
        <v>1876</v>
      </c>
      <c r="J12" s="197">
        <f t="shared" si="2"/>
        <v>3418</v>
      </c>
      <c r="K12" s="197">
        <f t="shared" si="2"/>
        <v>741</v>
      </c>
      <c r="L12" s="197">
        <f t="shared" si="2"/>
        <v>9220</v>
      </c>
      <c r="M12" s="197">
        <f t="shared" si="2"/>
        <v>48670</v>
      </c>
      <c r="N12" s="197">
        <f t="shared" si="2"/>
        <v>22500</v>
      </c>
      <c r="O12" s="197">
        <f t="shared" si="2"/>
        <v>10877</v>
      </c>
      <c r="P12" s="197">
        <f t="shared" si="2"/>
        <v>15293</v>
      </c>
      <c r="Q12" s="197">
        <f t="shared" si="2"/>
        <v>48759</v>
      </c>
      <c r="R12" s="197">
        <f t="shared" si="2"/>
        <v>72606</v>
      </c>
      <c r="S12" s="197">
        <f t="shared" si="2"/>
        <v>2070</v>
      </c>
      <c r="T12" s="208"/>
      <c r="U12" s="208"/>
    </row>
    <row r="13" spans="1:21" ht="21" customHeight="1">
      <c r="A13" s="34">
        <v>1</v>
      </c>
      <c r="B13" s="211" t="s">
        <v>151</v>
      </c>
      <c r="C13" s="197">
        <f>SUM(D13:M13)+SUM(Q13:S13)</f>
        <v>11502</v>
      </c>
      <c r="D13" s="88"/>
      <c r="E13" s="88"/>
      <c r="F13" s="88"/>
      <c r="G13" s="88"/>
      <c r="H13" s="88">
        <f>+'Chi 2025'!E30</f>
        <v>315</v>
      </c>
      <c r="I13" s="88"/>
      <c r="J13" s="88"/>
      <c r="K13" s="88"/>
      <c r="L13" s="88"/>
      <c r="M13" s="88">
        <f>N13+O13+P13</f>
        <v>0</v>
      </c>
      <c r="N13" s="88"/>
      <c r="O13" s="88"/>
      <c r="P13" s="88"/>
      <c r="Q13" s="88">
        <f>+'Chi 2025'!E56</f>
        <v>11187</v>
      </c>
      <c r="R13" s="88"/>
      <c r="S13" s="88"/>
      <c r="T13" s="208"/>
      <c r="U13" s="208"/>
    </row>
    <row r="14" spans="1:21" ht="21" customHeight="1">
      <c r="A14" s="34">
        <v>2</v>
      </c>
      <c r="B14" s="211" t="s">
        <v>152</v>
      </c>
      <c r="C14" s="197">
        <f>SUM(D14:M14)+SUM(Q14:S14)</f>
        <v>6045</v>
      </c>
      <c r="D14" s="88"/>
      <c r="E14" s="88"/>
      <c r="F14" s="88"/>
      <c r="G14" s="88"/>
      <c r="H14" s="88"/>
      <c r="I14" s="88"/>
      <c r="J14" s="88"/>
      <c r="K14" s="88"/>
      <c r="L14" s="88"/>
      <c r="M14" s="88">
        <f t="shared" ref="M14:M34" si="3">N14+O14+P14</f>
        <v>200</v>
      </c>
      <c r="N14" s="88"/>
      <c r="O14" s="88"/>
      <c r="P14" s="88">
        <f>+'Chi 2025'!F35</f>
        <v>200</v>
      </c>
      <c r="Q14" s="88">
        <f>+'Chi 2025'!F57</f>
        <v>5845</v>
      </c>
      <c r="R14" s="88"/>
      <c r="S14" s="88"/>
      <c r="T14" s="651"/>
      <c r="U14" s="208"/>
    </row>
    <row r="15" spans="1:21" ht="21" customHeight="1">
      <c r="A15" s="34">
        <v>3</v>
      </c>
      <c r="B15" s="211" t="s">
        <v>150</v>
      </c>
      <c r="C15" s="197">
        <f t="shared" ref="C15:C35" si="4">SUM(D15:M15)+SUM(Q15:S15)</f>
        <v>10142</v>
      </c>
      <c r="D15" s="88"/>
      <c r="E15" s="88"/>
      <c r="F15" s="88"/>
      <c r="G15" s="88"/>
      <c r="H15" s="88"/>
      <c r="I15" s="88"/>
      <c r="J15" s="88"/>
      <c r="K15" s="88"/>
      <c r="L15" s="88"/>
      <c r="M15" s="88">
        <f t="shared" si="3"/>
        <v>0</v>
      </c>
      <c r="N15" s="88"/>
      <c r="O15" s="88"/>
      <c r="P15" s="88"/>
      <c r="Q15" s="88">
        <f>+'Chi 2025'!G54</f>
        <v>10142</v>
      </c>
      <c r="R15" s="88"/>
      <c r="S15" s="88"/>
      <c r="T15" s="198"/>
    </row>
    <row r="16" spans="1:21" ht="21" customHeight="1">
      <c r="A16" s="34">
        <v>4</v>
      </c>
      <c r="B16" s="211" t="s">
        <v>302</v>
      </c>
      <c r="C16" s="197">
        <f t="shared" si="4"/>
        <v>7357</v>
      </c>
      <c r="D16" s="88"/>
      <c r="E16" s="88"/>
      <c r="F16" s="88"/>
      <c r="G16" s="88"/>
      <c r="H16" s="88"/>
      <c r="I16" s="88"/>
      <c r="J16" s="88"/>
      <c r="K16" s="88"/>
      <c r="L16" s="88"/>
      <c r="M16" s="88">
        <f t="shared" si="3"/>
        <v>6055</v>
      </c>
      <c r="N16" s="88"/>
      <c r="O16" s="88">
        <f>+'Chi 2025'!H36</f>
        <v>6055</v>
      </c>
      <c r="P16" s="88"/>
      <c r="Q16" s="88">
        <f>+'Chi 2025'!H54</f>
        <v>1302</v>
      </c>
      <c r="R16" s="88"/>
      <c r="S16" s="88"/>
      <c r="T16" s="198"/>
    </row>
    <row r="17" spans="1:20" ht="21" customHeight="1">
      <c r="A17" s="34">
        <v>5</v>
      </c>
      <c r="B17" s="211" t="s">
        <v>303</v>
      </c>
      <c r="C17" s="197">
        <f t="shared" si="4"/>
        <v>1876</v>
      </c>
      <c r="D17" s="88"/>
      <c r="E17" s="88"/>
      <c r="F17" s="88"/>
      <c r="G17" s="88"/>
      <c r="H17" s="88"/>
      <c r="I17" s="88"/>
      <c r="J17" s="88"/>
      <c r="K17" s="88"/>
      <c r="L17" s="88"/>
      <c r="M17" s="88">
        <f t="shared" si="3"/>
        <v>0</v>
      </c>
      <c r="N17" s="88"/>
      <c r="O17" s="88"/>
      <c r="P17" s="88"/>
      <c r="Q17" s="88">
        <f>+'Chi 2025'!I54</f>
        <v>1876</v>
      </c>
      <c r="R17" s="88"/>
      <c r="S17" s="88"/>
      <c r="T17" s="198"/>
    </row>
    <row r="18" spans="1:20" ht="21" customHeight="1">
      <c r="A18" s="34">
        <v>6</v>
      </c>
      <c r="B18" s="211" t="s">
        <v>304</v>
      </c>
      <c r="C18" s="197">
        <f t="shared" si="4"/>
        <v>12749</v>
      </c>
      <c r="D18" s="88"/>
      <c r="E18" s="88"/>
      <c r="F18" s="88"/>
      <c r="G18" s="88"/>
      <c r="H18" s="88"/>
      <c r="I18" s="88"/>
      <c r="J18" s="88"/>
      <c r="K18" s="88"/>
      <c r="L18" s="88">
        <f>+'Chi 2025'!J34</f>
        <v>9220</v>
      </c>
      <c r="M18" s="88">
        <f t="shared" si="3"/>
        <v>2029</v>
      </c>
      <c r="N18" s="88"/>
      <c r="O18" s="88"/>
      <c r="P18" s="88">
        <f>+'Chi 2025'!J35</f>
        <v>2029</v>
      </c>
      <c r="Q18" s="88">
        <f>+'Chi 2025'!J54</f>
        <v>1500</v>
      </c>
      <c r="R18" s="88"/>
      <c r="S18" s="88"/>
      <c r="T18" s="198"/>
    </row>
    <row r="19" spans="1:20" ht="21" customHeight="1">
      <c r="A19" s="34">
        <v>7</v>
      </c>
      <c r="B19" s="211" t="s">
        <v>156</v>
      </c>
      <c r="C19" s="197">
        <f t="shared" si="4"/>
        <v>1235</v>
      </c>
      <c r="D19" s="88"/>
      <c r="E19" s="88"/>
      <c r="F19" s="88"/>
      <c r="G19" s="88"/>
      <c r="H19" s="88"/>
      <c r="I19" s="88"/>
      <c r="J19" s="88"/>
      <c r="K19" s="88"/>
      <c r="L19" s="88"/>
      <c r="M19" s="88">
        <f t="shared" si="3"/>
        <v>0</v>
      </c>
      <c r="N19" s="88"/>
      <c r="O19" s="88"/>
      <c r="P19" s="88"/>
      <c r="Q19" s="88">
        <f>+'Chi 2025'!K54</f>
        <v>1235</v>
      </c>
      <c r="R19" s="88"/>
      <c r="S19" s="88"/>
      <c r="T19" s="198"/>
    </row>
    <row r="20" spans="1:20" ht="21" customHeight="1">
      <c r="A20" s="34">
        <v>8</v>
      </c>
      <c r="B20" s="211" t="s">
        <v>157</v>
      </c>
      <c r="C20" s="197">
        <f t="shared" si="4"/>
        <v>992</v>
      </c>
      <c r="D20" s="88"/>
      <c r="E20" s="88"/>
      <c r="F20" s="88"/>
      <c r="G20" s="88"/>
      <c r="H20" s="88"/>
      <c r="I20" s="88"/>
      <c r="J20" s="88"/>
      <c r="K20" s="88"/>
      <c r="L20" s="88"/>
      <c r="M20" s="88">
        <f t="shared" si="3"/>
        <v>0</v>
      </c>
      <c r="N20" s="88"/>
      <c r="O20" s="88"/>
      <c r="P20" s="88"/>
      <c r="Q20" s="88">
        <f>+'Chi 2025'!L54</f>
        <v>992</v>
      </c>
      <c r="R20" s="88"/>
      <c r="S20" s="88"/>
      <c r="T20" s="198"/>
    </row>
    <row r="21" spans="1:20" ht="21" customHeight="1">
      <c r="A21" s="34">
        <v>9</v>
      </c>
      <c r="B21" s="211" t="s">
        <v>158</v>
      </c>
      <c r="C21" s="197">
        <f t="shared" si="4"/>
        <v>4181</v>
      </c>
      <c r="D21" s="88"/>
      <c r="E21" s="88"/>
      <c r="F21" s="88"/>
      <c r="G21" s="88"/>
      <c r="H21" s="88"/>
      <c r="I21" s="88"/>
      <c r="J21" s="88"/>
      <c r="K21" s="88"/>
      <c r="L21" s="88"/>
      <c r="M21" s="88">
        <f>N21+O21+P21</f>
        <v>3000</v>
      </c>
      <c r="N21" s="88"/>
      <c r="O21" s="88"/>
      <c r="P21" s="88">
        <f>+'Chi 2025'!M44</f>
        <v>3000</v>
      </c>
      <c r="Q21" s="88">
        <f>+'Chi 2025'!M54</f>
        <v>1181</v>
      </c>
      <c r="R21" s="88"/>
      <c r="S21" s="88"/>
      <c r="T21" s="198"/>
    </row>
    <row r="22" spans="1:20" ht="21" customHeight="1">
      <c r="A22" s="34">
        <v>10</v>
      </c>
      <c r="B22" s="211" t="s">
        <v>159</v>
      </c>
      <c r="C22" s="197">
        <f>SUM(D22:M22)+SUM(Q22:S22)</f>
        <v>793</v>
      </c>
      <c r="D22" s="88"/>
      <c r="E22" s="88"/>
      <c r="F22" s="88"/>
      <c r="G22" s="88"/>
      <c r="H22" s="88"/>
      <c r="I22" s="88"/>
      <c r="J22" s="88"/>
      <c r="K22" s="88"/>
      <c r="L22" s="88"/>
      <c r="M22" s="88">
        <f t="shared" si="3"/>
        <v>0</v>
      </c>
      <c r="N22" s="88"/>
      <c r="O22" s="88"/>
      <c r="P22" s="88"/>
      <c r="Q22" s="88">
        <f>+'Chi 2025'!N54</f>
        <v>793</v>
      </c>
      <c r="R22" s="88"/>
      <c r="S22" s="88"/>
      <c r="T22" s="198"/>
    </row>
    <row r="23" spans="1:20" ht="21" customHeight="1">
      <c r="A23" s="34">
        <v>11</v>
      </c>
      <c r="B23" s="211" t="s">
        <v>160</v>
      </c>
      <c r="C23" s="197">
        <f t="shared" si="4"/>
        <v>4573</v>
      </c>
      <c r="D23" s="88">
        <f>+'Chi 2025'!O15</f>
        <v>1800</v>
      </c>
      <c r="E23" s="88"/>
      <c r="F23" s="88"/>
      <c r="G23" s="88"/>
      <c r="H23" s="88"/>
      <c r="I23" s="88"/>
      <c r="J23" s="88"/>
      <c r="K23" s="88"/>
      <c r="L23" s="88"/>
      <c r="M23" s="88">
        <f t="shared" si="3"/>
        <v>0</v>
      </c>
      <c r="N23" s="88"/>
      <c r="O23" s="88"/>
      <c r="P23" s="88"/>
      <c r="Q23" s="88">
        <f>+'Chi 2025'!O54</f>
        <v>2773</v>
      </c>
      <c r="R23" s="88"/>
      <c r="S23" s="88"/>
      <c r="T23" s="198"/>
    </row>
    <row r="24" spans="1:20" ht="21" customHeight="1">
      <c r="A24" s="34">
        <v>12</v>
      </c>
      <c r="B24" s="211" t="s">
        <v>305</v>
      </c>
      <c r="C24" s="197">
        <f t="shared" si="4"/>
        <v>73699</v>
      </c>
      <c r="D24" s="88"/>
      <c r="E24" s="88"/>
      <c r="F24" s="88"/>
      <c r="G24" s="88"/>
      <c r="H24" s="88"/>
      <c r="I24" s="88"/>
      <c r="J24" s="88"/>
      <c r="K24" s="88"/>
      <c r="L24" s="88"/>
      <c r="M24" s="88">
        <f t="shared" si="3"/>
        <v>0</v>
      </c>
      <c r="N24" s="88"/>
      <c r="O24" s="88"/>
      <c r="P24" s="88"/>
      <c r="Q24" s="88">
        <f>+'Chi 2025'!P54</f>
        <v>1278</v>
      </c>
      <c r="R24" s="88">
        <f>+'Chi 2025'!P69</f>
        <v>72421</v>
      </c>
      <c r="S24" s="88"/>
      <c r="T24" s="198"/>
    </row>
    <row r="25" spans="1:20" ht="21" customHeight="1">
      <c r="A25" s="34">
        <v>13</v>
      </c>
      <c r="B25" s="211" t="s">
        <v>161</v>
      </c>
      <c r="C25" s="197">
        <f t="shared" si="4"/>
        <v>875</v>
      </c>
      <c r="D25" s="88"/>
      <c r="E25" s="88"/>
      <c r="F25" s="88"/>
      <c r="G25" s="88"/>
      <c r="H25" s="88"/>
      <c r="I25" s="88"/>
      <c r="J25" s="88"/>
      <c r="K25" s="88"/>
      <c r="L25" s="88"/>
      <c r="M25" s="88">
        <f t="shared" si="3"/>
        <v>0</v>
      </c>
      <c r="N25" s="88"/>
      <c r="O25" s="88"/>
      <c r="P25" s="88"/>
      <c r="Q25" s="88">
        <f>+'Chi 2025'!Q54</f>
        <v>690</v>
      </c>
      <c r="R25" s="88">
        <f>+'Chi 2025'!Q69</f>
        <v>185</v>
      </c>
      <c r="S25" s="88"/>
      <c r="T25" s="198"/>
    </row>
    <row r="26" spans="1:20" ht="21" customHeight="1">
      <c r="A26" s="34">
        <v>14</v>
      </c>
      <c r="B26" s="211" t="s">
        <v>306</v>
      </c>
      <c r="C26" s="197">
        <f t="shared" si="4"/>
        <v>1219</v>
      </c>
      <c r="D26" s="88"/>
      <c r="E26" s="88"/>
      <c r="F26" s="88"/>
      <c r="G26" s="88"/>
      <c r="H26" s="88"/>
      <c r="I26" s="88"/>
      <c r="J26" s="88"/>
      <c r="K26" s="88"/>
      <c r="L26" s="88"/>
      <c r="M26" s="88">
        <f t="shared" si="3"/>
        <v>0</v>
      </c>
      <c r="N26" s="88"/>
      <c r="O26" s="88"/>
      <c r="P26" s="88"/>
      <c r="Q26" s="88">
        <f>+'Chi 2025'!R54</f>
        <v>1219</v>
      </c>
      <c r="R26" s="88"/>
      <c r="S26" s="88"/>
      <c r="T26" s="198"/>
    </row>
    <row r="27" spans="1:20" ht="21" customHeight="1">
      <c r="A27" s="34">
        <v>15</v>
      </c>
      <c r="B27" s="211" t="s">
        <v>307</v>
      </c>
      <c r="C27" s="197">
        <f t="shared" si="4"/>
        <v>636496</v>
      </c>
      <c r="D27" s="88">
        <f>+'Chi 2025'!S15</f>
        <v>634459</v>
      </c>
      <c r="E27" s="88"/>
      <c r="F27" s="88"/>
      <c r="G27" s="88"/>
      <c r="H27" s="88"/>
      <c r="I27" s="88"/>
      <c r="J27" s="88"/>
      <c r="K27" s="88"/>
      <c r="L27" s="88"/>
      <c r="M27" s="88">
        <f t="shared" si="3"/>
        <v>0</v>
      </c>
      <c r="N27" s="88"/>
      <c r="O27" s="88"/>
      <c r="P27" s="88"/>
      <c r="Q27" s="88">
        <f>+'Chi 2025'!S54</f>
        <v>2037</v>
      </c>
      <c r="R27" s="88"/>
      <c r="S27" s="88"/>
      <c r="T27" s="198"/>
    </row>
    <row r="28" spans="1:20" ht="21" customHeight="1">
      <c r="A28" s="34">
        <v>16</v>
      </c>
      <c r="B28" s="211" t="s">
        <v>299</v>
      </c>
      <c r="C28" s="197">
        <f t="shared" si="4"/>
        <v>907</v>
      </c>
      <c r="D28" s="88">
        <f>+'Chi 2025'!T14</f>
        <v>907</v>
      </c>
      <c r="E28" s="88"/>
      <c r="F28" s="88"/>
      <c r="G28" s="88"/>
      <c r="H28" s="88"/>
      <c r="I28" s="88"/>
      <c r="J28" s="88"/>
      <c r="K28" s="88"/>
      <c r="L28" s="88"/>
      <c r="M28" s="88">
        <f t="shared" si="3"/>
        <v>0</v>
      </c>
      <c r="N28" s="88"/>
      <c r="O28" s="88"/>
      <c r="P28" s="88"/>
      <c r="Q28" s="88"/>
      <c r="R28" s="88"/>
      <c r="S28" s="88"/>
      <c r="T28" s="198"/>
    </row>
    <row r="29" spans="1:20" ht="21" customHeight="1">
      <c r="A29" s="34">
        <v>17</v>
      </c>
      <c r="B29" s="211" t="s">
        <v>200</v>
      </c>
      <c r="C29" s="197">
        <f t="shared" si="4"/>
        <v>3799</v>
      </c>
      <c r="D29" s="88">
        <f>+'Chi 2025'!U14</f>
        <v>3799</v>
      </c>
      <c r="E29" s="88"/>
      <c r="F29" s="88"/>
      <c r="G29" s="88"/>
      <c r="H29" s="88"/>
      <c r="I29" s="88"/>
      <c r="J29" s="88"/>
      <c r="K29" s="88"/>
      <c r="L29" s="88"/>
      <c r="M29" s="88">
        <f t="shared" si="3"/>
        <v>0</v>
      </c>
      <c r="N29" s="88"/>
      <c r="O29" s="88"/>
      <c r="P29" s="88"/>
      <c r="Q29" s="88"/>
      <c r="R29" s="88"/>
      <c r="S29" s="88"/>
      <c r="T29" s="198"/>
    </row>
    <row r="30" spans="1:20" ht="21" customHeight="1">
      <c r="A30" s="34">
        <v>18</v>
      </c>
      <c r="B30" s="211" t="s">
        <v>205</v>
      </c>
      <c r="C30" s="197">
        <f t="shared" si="4"/>
        <v>9064</v>
      </c>
      <c r="D30" s="88"/>
      <c r="E30" s="88"/>
      <c r="F30" s="88"/>
      <c r="G30" s="88"/>
      <c r="H30" s="88"/>
      <c r="I30" s="88"/>
      <c r="J30" s="88"/>
      <c r="K30" s="88"/>
      <c r="L30" s="88"/>
      <c r="M30" s="88">
        <f t="shared" si="3"/>
        <v>9064</v>
      </c>
      <c r="N30" s="88"/>
      <c r="O30" s="88">
        <f>+'Chi 2025'!V36</f>
        <v>100</v>
      </c>
      <c r="P30" s="88">
        <f>+'Chi 2025'!V44</f>
        <v>8964</v>
      </c>
      <c r="Q30" s="88"/>
      <c r="R30" s="88"/>
      <c r="S30" s="88"/>
      <c r="T30" s="198"/>
    </row>
    <row r="31" spans="1:20" ht="21" customHeight="1">
      <c r="A31" s="34">
        <v>19</v>
      </c>
      <c r="B31" s="211" t="s">
        <v>863</v>
      </c>
      <c r="C31" s="197">
        <f t="shared" si="4"/>
        <v>6035</v>
      </c>
      <c r="D31" s="88"/>
      <c r="E31" s="88"/>
      <c r="F31" s="88"/>
      <c r="G31" s="88"/>
      <c r="H31" s="88"/>
      <c r="I31" s="88">
        <f>+'Chi 2025'!W31</f>
        <v>1876</v>
      </c>
      <c r="J31" s="88">
        <f>+'Chi 2025'!W32</f>
        <v>3418</v>
      </c>
      <c r="K31" s="88">
        <f>+'Chi 2025'!W33</f>
        <v>741</v>
      </c>
      <c r="L31" s="88"/>
      <c r="M31" s="88">
        <f t="shared" si="3"/>
        <v>0</v>
      </c>
      <c r="N31" s="88"/>
      <c r="O31" s="88"/>
      <c r="P31" s="88"/>
      <c r="Q31" s="88"/>
      <c r="R31" s="88"/>
      <c r="S31" s="88"/>
      <c r="T31" s="198"/>
    </row>
    <row r="32" spans="1:20" ht="21" customHeight="1">
      <c r="A32" s="34">
        <v>20</v>
      </c>
      <c r="B32" s="211" t="s">
        <v>471</v>
      </c>
      <c r="C32" s="197">
        <f t="shared" si="4"/>
        <v>1900</v>
      </c>
      <c r="D32" s="88"/>
      <c r="E32" s="88"/>
      <c r="F32" s="88"/>
      <c r="G32" s="88">
        <f>+'Chi 2025'!D29</f>
        <v>1900</v>
      </c>
      <c r="H32" s="88"/>
      <c r="I32" s="88"/>
      <c r="J32" s="88"/>
      <c r="K32" s="88"/>
      <c r="L32" s="88"/>
      <c r="M32" s="88">
        <f t="shared" si="3"/>
        <v>0</v>
      </c>
      <c r="N32" s="88"/>
      <c r="O32" s="88"/>
      <c r="P32" s="88"/>
      <c r="Q32" s="88"/>
      <c r="R32" s="88"/>
      <c r="S32" s="88"/>
      <c r="T32" s="198"/>
    </row>
    <row r="33" spans="1:20" ht="21" customHeight="1">
      <c r="A33" s="34">
        <v>21</v>
      </c>
      <c r="B33" s="211" t="s">
        <v>851</v>
      </c>
      <c r="C33" s="197">
        <f>SUM(D33:M33)+SUM(Q33:S33)</f>
        <v>4500</v>
      </c>
      <c r="D33" s="88"/>
      <c r="E33" s="88"/>
      <c r="F33" s="88">
        <f>+'Chi 2025'!D28</f>
        <v>4500</v>
      </c>
      <c r="G33" s="88"/>
      <c r="H33" s="88"/>
      <c r="I33" s="88"/>
      <c r="J33" s="88"/>
      <c r="K33" s="88"/>
      <c r="L33" s="88"/>
      <c r="M33" s="88">
        <f>N33+O33+P33</f>
        <v>0</v>
      </c>
      <c r="N33" s="88"/>
      <c r="O33" s="88"/>
      <c r="P33" s="88"/>
      <c r="Q33" s="88"/>
      <c r="R33" s="88"/>
      <c r="S33" s="88"/>
      <c r="T33" s="198"/>
    </row>
    <row r="34" spans="1:20" ht="21" customHeight="1">
      <c r="A34" s="34">
        <v>22</v>
      </c>
      <c r="B34" s="211" t="s">
        <v>850</v>
      </c>
      <c r="C34" s="197">
        <f t="shared" si="4"/>
        <v>0</v>
      </c>
      <c r="D34" s="88"/>
      <c r="E34" s="88"/>
      <c r="F34" s="88"/>
      <c r="G34" s="88"/>
      <c r="H34" s="88"/>
      <c r="I34" s="88"/>
      <c r="J34" s="88"/>
      <c r="K34" s="88"/>
      <c r="L34" s="88"/>
      <c r="M34" s="88">
        <f t="shared" si="3"/>
        <v>0</v>
      </c>
      <c r="N34" s="650"/>
      <c r="O34" s="88"/>
      <c r="P34" s="650"/>
      <c r="Q34" s="88"/>
      <c r="R34" s="88"/>
      <c r="S34" s="88"/>
      <c r="T34" s="198"/>
    </row>
    <row r="35" spans="1:20" ht="21" customHeight="1">
      <c r="A35" s="34">
        <v>23</v>
      </c>
      <c r="B35" s="211" t="s">
        <v>163</v>
      </c>
      <c r="C35" s="197">
        <f t="shared" si="4"/>
        <v>37124</v>
      </c>
      <c r="D35" s="88">
        <f>+'Chi 2025'!AA14</f>
        <v>2023</v>
      </c>
      <c r="E35" s="88"/>
      <c r="F35" s="88"/>
      <c r="G35" s="88"/>
      <c r="H35" s="88"/>
      <c r="I35" s="88"/>
      <c r="J35" s="88"/>
      <c r="K35" s="88"/>
      <c r="L35" s="88"/>
      <c r="M35" s="88">
        <f>N35+O35+P35</f>
        <v>28322</v>
      </c>
      <c r="N35" s="88">
        <f>+'Chi 2025'!AA39</f>
        <v>22500</v>
      </c>
      <c r="O35" s="88">
        <f>+'Chi 2025'!AA36+'Chi 2025'!AA41</f>
        <v>4722</v>
      </c>
      <c r="P35" s="88">
        <f>+'Chi 2025'!AA44</f>
        <v>1100</v>
      </c>
      <c r="Q35" s="88">
        <f>+'Chi 2025'!AA53</f>
        <v>4709</v>
      </c>
      <c r="R35" s="88"/>
      <c r="S35" s="88">
        <f>+'Chi 2025'!AA75</f>
        <v>2070</v>
      </c>
      <c r="T35" s="198"/>
    </row>
    <row r="36" spans="1:20" s="200" customFormat="1" ht="21" customHeight="1">
      <c r="A36" s="84" t="s">
        <v>19</v>
      </c>
      <c r="B36" s="196" t="s">
        <v>328</v>
      </c>
      <c r="C36" s="197">
        <f t="shared" ref="C36:S36" si="5">SUM(C37:C41)</f>
        <v>498</v>
      </c>
      <c r="D36" s="197">
        <f t="shared" si="5"/>
        <v>0</v>
      </c>
      <c r="E36" s="197">
        <f t="shared" si="5"/>
        <v>0</v>
      </c>
      <c r="F36" s="197">
        <f t="shared" si="5"/>
        <v>0</v>
      </c>
      <c r="G36" s="197">
        <f t="shared" si="5"/>
        <v>0</v>
      </c>
      <c r="H36" s="197">
        <f t="shared" si="5"/>
        <v>0</v>
      </c>
      <c r="I36" s="197">
        <f t="shared" si="5"/>
        <v>0</v>
      </c>
      <c r="J36" s="197">
        <f t="shared" si="5"/>
        <v>0</v>
      </c>
      <c r="K36" s="197">
        <f t="shared" si="5"/>
        <v>0</v>
      </c>
      <c r="L36" s="197">
        <f t="shared" si="5"/>
        <v>0</v>
      </c>
      <c r="M36" s="197">
        <f t="shared" si="5"/>
        <v>0</v>
      </c>
      <c r="N36" s="197">
        <f t="shared" si="5"/>
        <v>0</v>
      </c>
      <c r="O36" s="197">
        <f t="shared" si="5"/>
        <v>0</v>
      </c>
      <c r="P36" s="197">
        <f t="shared" si="5"/>
        <v>0</v>
      </c>
      <c r="Q36" s="197">
        <f t="shared" si="5"/>
        <v>498</v>
      </c>
      <c r="R36" s="197">
        <f t="shared" si="5"/>
        <v>0</v>
      </c>
      <c r="S36" s="197">
        <f t="shared" si="5"/>
        <v>0</v>
      </c>
    </row>
    <row r="37" spans="1:20" ht="21" customHeight="1">
      <c r="A37" s="34">
        <v>1</v>
      </c>
      <c r="B37" s="211" t="s">
        <v>331</v>
      </c>
      <c r="C37" s="197">
        <f>SUM(D37:M37)+SUM(Q37:S37)</f>
        <v>96</v>
      </c>
      <c r="D37" s="88"/>
      <c r="E37" s="88"/>
      <c r="F37" s="88"/>
      <c r="G37" s="88"/>
      <c r="H37" s="88"/>
      <c r="I37" s="88"/>
      <c r="J37" s="88"/>
      <c r="K37" s="88"/>
      <c r="L37" s="88"/>
      <c r="M37" s="88">
        <f>N37+O37+P37</f>
        <v>0</v>
      </c>
      <c r="N37" s="88"/>
      <c r="O37" s="88"/>
      <c r="P37" s="88"/>
      <c r="Q37" s="88">
        <f>+'Chi 2025'!F63</f>
        <v>96</v>
      </c>
      <c r="R37" s="88"/>
      <c r="S37" s="88"/>
      <c r="T37" s="198"/>
    </row>
    <row r="38" spans="1:20" ht="21" customHeight="1">
      <c r="A38" s="34">
        <v>2</v>
      </c>
      <c r="B38" s="211" t="s">
        <v>329</v>
      </c>
      <c r="C38" s="197">
        <f>SUM(D38:M38)+SUM(Q38:S38)</f>
        <v>282</v>
      </c>
      <c r="D38" s="88"/>
      <c r="E38" s="88"/>
      <c r="F38" s="88"/>
      <c r="G38" s="88"/>
      <c r="H38" s="88"/>
      <c r="I38" s="88"/>
      <c r="J38" s="88"/>
      <c r="K38" s="88"/>
      <c r="L38" s="88"/>
      <c r="M38" s="88">
        <f>N38+O38+P38</f>
        <v>0</v>
      </c>
      <c r="N38" s="88"/>
      <c r="O38" s="88"/>
      <c r="P38" s="88"/>
      <c r="Q38" s="88">
        <f>+'Chi 2025'!G65</f>
        <v>282</v>
      </c>
      <c r="R38" s="88"/>
      <c r="S38" s="88"/>
      <c r="T38" s="198"/>
    </row>
    <row r="39" spans="1:20" ht="21" customHeight="1">
      <c r="A39" s="34">
        <v>3</v>
      </c>
      <c r="B39" s="211" t="s">
        <v>330</v>
      </c>
      <c r="C39" s="197">
        <f>SUM(D39:M39)+SUM(Q39:S39)</f>
        <v>40</v>
      </c>
      <c r="D39" s="88"/>
      <c r="E39" s="88"/>
      <c r="F39" s="88"/>
      <c r="G39" s="88"/>
      <c r="H39" s="88"/>
      <c r="I39" s="88"/>
      <c r="J39" s="88"/>
      <c r="K39" s="88"/>
      <c r="L39" s="88"/>
      <c r="M39" s="88">
        <f>N39+O39+P39</f>
        <v>0</v>
      </c>
      <c r="N39" s="88"/>
      <c r="O39" s="88"/>
      <c r="P39" s="88"/>
      <c r="Q39" s="88">
        <f>+'Chi 2025'!G66</f>
        <v>40</v>
      </c>
      <c r="R39" s="88"/>
      <c r="S39" s="88"/>
      <c r="T39" s="198"/>
    </row>
    <row r="40" spans="1:20" ht="21" customHeight="1">
      <c r="A40" s="34">
        <v>4</v>
      </c>
      <c r="B40" s="211" t="s">
        <v>861</v>
      </c>
      <c r="C40" s="197">
        <f>SUM(D40:M40)+SUM(Q40:S40)</f>
        <v>20</v>
      </c>
      <c r="D40" s="88"/>
      <c r="E40" s="88"/>
      <c r="F40" s="88"/>
      <c r="G40" s="88"/>
      <c r="H40" s="88"/>
      <c r="I40" s="88"/>
      <c r="J40" s="88"/>
      <c r="K40" s="88"/>
      <c r="L40" s="88"/>
      <c r="M40" s="88">
        <f t="shared" ref="M40:M41" si="6">N40+O40+P40</f>
        <v>0</v>
      </c>
      <c r="N40" s="88"/>
      <c r="O40" s="88"/>
      <c r="P40" s="88"/>
      <c r="Q40" s="88">
        <f>+'Chi 2025'!R63</f>
        <v>20</v>
      </c>
      <c r="R40" s="88"/>
      <c r="S40" s="88"/>
      <c r="T40" s="198"/>
    </row>
    <row r="41" spans="1:20" ht="21" customHeight="1">
      <c r="A41" s="34">
        <v>5</v>
      </c>
      <c r="B41" s="211" t="s">
        <v>862</v>
      </c>
      <c r="C41" s="197">
        <f>SUM(D41:M41)+SUM(Q41:S41)</f>
        <v>60</v>
      </c>
      <c r="D41" s="88"/>
      <c r="E41" s="88"/>
      <c r="F41" s="88"/>
      <c r="G41" s="88"/>
      <c r="H41" s="88"/>
      <c r="I41" s="88"/>
      <c r="J41" s="88"/>
      <c r="K41" s="88"/>
      <c r="L41" s="88"/>
      <c r="M41" s="88">
        <f t="shared" si="6"/>
        <v>0</v>
      </c>
      <c r="N41" s="88"/>
      <c r="O41" s="88"/>
      <c r="P41" s="88"/>
      <c r="Q41" s="88">
        <f>+'Chi 2025'!S63</f>
        <v>60</v>
      </c>
      <c r="R41" s="88"/>
      <c r="S41" s="88"/>
      <c r="T41" s="198"/>
    </row>
    <row r="42" spans="1:20" ht="21" customHeight="1">
      <c r="A42" s="79"/>
      <c r="B42" s="212"/>
      <c r="C42" s="79"/>
      <c r="D42" s="79"/>
      <c r="E42" s="79"/>
      <c r="F42" s="79"/>
      <c r="G42" s="79"/>
      <c r="H42" s="79"/>
      <c r="I42" s="79"/>
      <c r="J42" s="79"/>
      <c r="K42" s="79"/>
      <c r="L42" s="79"/>
      <c r="M42" s="79"/>
      <c r="N42" s="79"/>
      <c r="O42" s="79"/>
      <c r="P42" s="79"/>
      <c r="Q42" s="79"/>
      <c r="R42" s="79"/>
      <c r="S42" s="79"/>
    </row>
    <row r="43" spans="1:20" ht="21" customHeight="1">
      <c r="A43" s="79"/>
      <c r="B43" s="79"/>
      <c r="C43" s="79"/>
      <c r="D43" s="79"/>
      <c r="E43" s="79"/>
      <c r="F43" s="79"/>
      <c r="G43" s="79"/>
      <c r="H43" s="79"/>
      <c r="I43" s="79"/>
      <c r="J43" s="79"/>
      <c r="K43" s="79"/>
      <c r="L43" s="79"/>
      <c r="M43" s="79"/>
      <c r="N43" s="79"/>
      <c r="O43" s="79"/>
      <c r="P43" s="79"/>
      <c r="Q43" s="79"/>
      <c r="R43" s="79"/>
      <c r="S43" s="79"/>
    </row>
    <row r="46" spans="1:20">
      <c r="C46" s="198"/>
    </row>
    <row r="49" spans="1:19" ht="22.5" customHeight="1"/>
    <row r="50" spans="1:19" ht="18.75">
      <c r="A50" s="205"/>
      <c r="B50" s="205"/>
      <c r="C50" s="205"/>
      <c r="D50" s="205"/>
      <c r="E50" s="205"/>
      <c r="F50" s="205"/>
      <c r="G50" s="205"/>
      <c r="H50" s="205"/>
      <c r="I50" s="205"/>
      <c r="J50" s="205"/>
      <c r="K50" s="205"/>
      <c r="L50" s="205"/>
      <c r="M50" s="205"/>
      <c r="N50" s="205"/>
      <c r="O50" s="205"/>
      <c r="P50" s="205"/>
      <c r="Q50" s="205"/>
      <c r="R50" s="205"/>
      <c r="S50" s="205"/>
    </row>
    <row r="51" spans="1:19" ht="18.75">
      <c r="A51" s="205"/>
      <c r="B51" s="205"/>
      <c r="C51" s="205"/>
      <c r="D51" s="205"/>
      <c r="E51" s="205"/>
      <c r="F51" s="205"/>
      <c r="G51" s="205"/>
      <c r="H51" s="205"/>
      <c r="I51" s="205"/>
      <c r="J51" s="205"/>
      <c r="K51" s="205"/>
      <c r="L51" s="205"/>
      <c r="M51" s="205"/>
      <c r="N51" s="205"/>
      <c r="O51" s="205"/>
      <c r="P51" s="205"/>
      <c r="Q51" s="205"/>
      <c r="R51" s="205"/>
      <c r="S51" s="205"/>
    </row>
    <row r="52" spans="1:19" ht="18.75">
      <c r="A52" s="205"/>
      <c r="B52" s="205"/>
      <c r="C52" s="205"/>
      <c r="D52" s="205"/>
      <c r="E52" s="205"/>
      <c r="F52" s="205"/>
      <c r="G52" s="205"/>
      <c r="H52" s="205"/>
      <c r="I52" s="205"/>
      <c r="J52" s="205"/>
      <c r="K52" s="205"/>
      <c r="L52" s="205"/>
      <c r="M52" s="205"/>
      <c r="N52" s="205"/>
      <c r="O52" s="205"/>
      <c r="P52" s="205"/>
      <c r="Q52" s="205"/>
      <c r="R52" s="205"/>
      <c r="S52" s="205"/>
    </row>
    <row r="53" spans="1:19" ht="18.75">
      <c r="A53" s="205"/>
      <c r="B53" s="205"/>
      <c r="C53" s="205"/>
      <c r="D53" s="205"/>
      <c r="E53" s="205"/>
      <c r="F53" s="205"/>
      <c r="G53" s="205"/>
      <c r="H53" s="205"/>
      <c r="I53" s="205"/>
      <c r="J53" s="205"/>
      <c r="K53" s="205"/>
      <c r="L53" s="205"/>
      <c r="M53" s="205"/>
      <c r="N53" s="205"/>
      <c r="O53" s="205"/>
      <c r="P53" s="205"/>
      <c r="Q53" s="205"/>
      <c r="R53" s="205"/>
      <c r="S53" s="205"/>
    </row>
  </sheetData>
  <mergeCells count="21">
    <mergeCell ref="B6:B9"/>
    <mergeCell ref="L6:L9"/>
    <mergeCell ref="N6:P6"/>
    <mergeCell ref="K6:K9"/>
    <mergeCell ref="R6:R9"/>
    <mergeCell ref="A4:S4"/>
    <mergeCell ref="F6:F9"/>
    <mergeCell ref="A6:A9"/>
    <mergeCell ref="C6:C9"/>
    <mergeCell ref="D6:D9"/>
    <mergeCell ref="Q6:Q9"/>
    <mergeCell ref="G6:G9"/>
    <mergeCell ref="H6:H9"/>
    <mergeCell ref="I6:I9"/>
    <mergeCell ref="E6:E9"/>
    <mergeCell ref="O7:O9"/>
    <mergeCell ref="M6:M9"/>
    <mergeCell ref="P7:P9"/>
    <mergeCell ref="J6:J9"/>
    <mergeCell ref="S6:S9"/>
    <mergeCell ref="N7:N9"/>
  </mergeCells>
  <phoneticPr fontId="15" type="noConversion"/>
  <printOptions horizontalCentered="1"/>
  <pageMargins left="0.2" right="0" top="0.69" bottom="0.62" header="0.36" footer="0.44"/>
  <pageSetup paperSize="9" scale="64" fitToHeight="0" orientation="landscape" r:id="rId1"/>
  <headerFooter alignWithMargins="0">
    <oddFooter xml:space="preserve">&amp;C&amp;".VnTime,Italic"&amp;8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tabColor rgb="FFFFFF00"/>
    <pageSetUpPr fitToPage="1"/>
  </sheetPr>
  <dimension ref="A1:AB50"/>
  <sheetViews>
    <sheetView view="pageBreakPreview" zoomScale="70" zoomScaleNormal="55" zoomScaleSheetLayoutView="70" workbookViewId="0">
      <pane xSplit="3" ySplit="14" topLeftCell="D15" activePane="bottomRight" state="frozen"/>
      <selection pane="topRight" activeCell="D1" sqref="D1"/>
      <selection pane="bottomLeft" activeCell="A15" sqref="A15"/>
      <selection pane="bottomRight" activeCell="Y39" sqref="Y39"/>
    </sheetView>
  </sheetViews>
  <sheetFormatPr defaultColWidth="9" defaultRowHeight="15.75"/>
  <cols>
    <col min="1" max="1" width="5.6640625" style="2" customWidth="1"/>
    <col min="2" max="2" width="23.6640625" style="191" customWidth="1"/>
    <col min="3" max="4" width="9.21875" style="2" customWidth="1"/>
    <col min="5" max="6" width="8.33203125" style="2" customWidth="1"/>
    <col min="7" max="7" width="8.109375" style="2" customWidth="1"/>
    <col min="8" max="8" width="8" style="2" customWidth="1"/>
    <col min="9" max="9" width="6.21875" style="2" customWidth="1"/>
    <col min="10" max="12" width="7.44140625" style="2" customWidth="1"/>
    <col min="13" max="15" width="7.88671875" style="2" customWidth="1"/>
    <col min="16" max="16" width="6" style="2" customWidth="1"/>
    <col min="17" max="19" width="7.21875" style="2" customWidth="1"/>
    <col min="20" max="22" width="8.109375" style="2" customWidth="1"/>
    <col min="23" max="23" width="6.109375" style="2" customWidth="1"/>
    <col min="24" max="25" width="8.109375" style="2" customWidth="1"/>
    <col min="26" max="26" width="6.6640625" style="2" customWidth="1"/>
    <col min="27" max="28" width="9" style="2" customWidth="1"/>
    <col min="29" max="16384" width="9" style="2"/>
  </cols>
  <sheetData>
    <row r="1" spans="1:28" ht="23.25" customHeight="1">
      <c r="A1" s="116"/>
      <c r="B1" s="167"/>
      <c r="C1" s="117"/>
      <c r="D1" s="117"/>
      <c r="E1" s="117"/>
      <c r="F1" s="117"/>
      <c r="G1" s="117"/>
      <c r="H1" s="117"/>
      <c r="I1" s="117"/>
      <c r="J1" s="168"/>
      <c r="K1" s="168"/>
      <c r="L1" s="117"/>
      <c r="M1" s="117"/>
      <c r="N1" s="117"/>
      <c r="O1" s="117"/>
      <c r="P1" s="117"/>
      <c r="Q1" s="168"/>
      <c r="R1" s="168"/>
      <c r="S1" s="117"/>
      <c r="T1" s="817" t="s">
        <v>164</v>
      </c>
      <c r="U1" s="817"/>
      <c r="V1" s="817"/>
      <c r="W1" s="817"/>
      <c r="X1" s="817"/>
      <c r="Y1" s="817"/>
      <c r="Z1" s="817"/>
    </row>
    <row r="2" spans="1:28" ht="12.75" hidden="1" customHeight="1">
      <c r="A2" s="169"/>
      <c r="B2" s="170"/>
      <c r="C2" s="117"/>
      <c r="D2" s="117"/>
      <c r="E2" s="117"/>
      <c r="F2" s="117"/>
      <c r="G2" s="117"/>
      <c r="H2" s="117"/>
      <c r="I2" s="117"/>
      <c r="J2" s="117"/>
      <c r="K2" s="117"/>
      <c r="L2" s="117"/>
      <c r="M2" s="117"/>
      <c r="N2" s="117"/>
      <c r="O2" s="117"/>
      <c r="P2" s="117"/>
      <c r="Q2" s="117"/>
      <c r="R2" s="117"/>
      <c r="S2" s="117"/>
      <c r="T2" s="117"/>
      <c r="U2" s="117"/>
      <c r="V2" s="117"/>
      <c r="W2" s="117"/>
      <c r="X2" s="117"/>
      <c r="Y2" s="117"/>
      <c r="Z2" s="117"/>
    </row>
    <row r="3" spans="1:28" s="6" customFormat="1" ht="21" customHeight="1">
      <c r="A3" s="119" t="s">
        <v>856</v>
      </c>
      <c r="B3" s="171"/>
      <c r="C3" s="120"/>
      <c r="D3" s="120"/>
      <c r="E3" s="120"/>
      <c r="F3" s="120"/>
      <c r="G3" s="120"/>
      <c r="H3" s="120"/>
      <c r="I3" s="120"/>
      <c r="J3" s="120"/>
      <c r="K3" s="120"/>
      <c r="L3" s="120"/>
      <c r="M3" s="120"/>
      <c r="N3" s="120"/>
      <c r="O3" s="120"/>
      <c r="P3" s="120"/>
      <c r="Q3" s="120"/>
      <c r="R3" s="120"/>
      <c r="S3" s="120"/>
      <c r="T3" s="120"/>
      <c r="U3" s="120"/>
      <c r="V3" s="120"/>
      <c r="W3" s="120"/>
      <c r="X3" s="120"/>
      <c r="Y3" s="120"/>
      <c r="Z3" s="120"/>
    </row>
    <row r="4" spans="1:28" ht="21" customHeight="1">
      <c r="A4" s="819" t="str">
        <f>'PL15'!A3</f>
        <v xml:space="preserve"> Biểu kèm theo Báo cáo số 99/BC-BKTXH ngày 12/12/2024 của Ban KT-XH,HĐND huyện Tuần Giáo</v>
      </c>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172"/>
      <c r="AB4" s="172"/>
    </row>
    <row r="5" spans="1:28" ht="18" hidden="1" customHeight="1">
      <c r="A5" s="168"/>
      <c r="B5" s="173"/>
      <c r="C5" s="117"/>
      <c r="D5" s="117"/>
      <c r="E5" s="117"/>
      <c r="F5" s="117"/>
      <c r="G5" s="117"/>
      <c r="H5" s="117"/>
      <c r="I5" s="117"/>
      <c r="J5" s="117"/>
      <c r="K5" s="117"/>
      <c r="L5" s="117"/>
      <c r="M5" s="117"/>
      <c r="N5" s="117"/>
      <c r="O5" s="117"/>
      <c r="P5" s="117"/>
      <c r="Q5" s="117"/>
      <c r="R5" s="117"/>
      <c r="S5" s="117"/>
      <c r="T5" s="117"/>
      <c r="U5" s="117"/>
      <c r="V5" s="117"/>
      <c r="W5" s="117"/>
      <c r="X5" s="117"/>
      <c r="Y5" s="117"/>
      <c r="Z5" s="117"/>
    </row>
    <row r="6" spans="1:28" ht="14.25" hidden="1" customHeight="1">
      <c r="A6" s="174"/>
      <c r="B6" s="173"/>
      <c r="C6" s="117"/>
      <c r="D6" s="117"/>
      <c r="E6" s="117"/>
      <c r="F6" s="117"/>
      <c r="G6" s="117"/>
      <c r="H6" s="117"/>
      <c r="I6" s="117"/>
      <c r="J6" s="117"/>
      <c r="K6" s="117"/>
      <c r="L6" s="117"/>
      <c r="M6" s="117"/>
      <c r="N6" s="117"/>
      <c r="O6" s="117"/>
      <c r="P6" s="117"/>
      <c r="Q6" s="117"/>
      <c r="R6" s="117"/>
      <c r="S6" s="117"/>
      <c r="T6" s="117"/>
      <c r="U6" s="117"/>
      <c r="V6" s="117"/>
      <c r="W6" s="117"/>
      <c r="X6" s="117"/>
      <c r="Y6" s="117"/>
      <c r="Z6" s="117"/>
    </row>
    <row r="7" spans="1:28" ht="18.75" customHeight="1">
      <c r="A7" s="124"/>
      <c r="B7" s="175"/>
      <c r="C7" s="125"/>
      <c r="D7" s="125"/>
      <c r="E7" s="125"/>
      <c r="F7" s="125"/>
      <c r="G7" s="125"/>
      <c r="H7" s="125"/>
      <c r="I7" s="125"/>
      <c r="J7" s="594"/>
      <c r="K7" s="816"/>
      <c r="L7" s="816"/>
      <c r="M7" s="125"/>
      <c r="N7" s="125"/>
      <c r="O7" s="125"/>
      <c r="P7" s="125"/>
      <c r="Q7" s="594"/>
      <c r="R7" s="816"/>
      <c r="S7" s="816"/>
      <c r="T7" s="818" t="s">
        <v>87</v>
      </c>
      <c r="U7" s="818"/>
      <c r="V7" s="818"/>
      <c r="W7" s="818"/>
      <c r="X7" s="818"/>
      <c r="Y7" s="818"/>
      <c r="Z7" s="818"/>
    </row>
    <row r="8" spans="1:28" s="6" customFormat="1" ht="42.75" customHeight="1">
      <c r="A8" s="815" t="s">
        <v>58</v>
      </c>
      <c r="B8" s="815" t="s">
        <v>149</v>
      </c>
      <c r="C8" s="815" t="s">
        <v>76</v>
      </c>
      <c r="D8" s="815" t="s">
        <v>30</v>
      </c>
      <c r="E8" s="815"/>
      <c r="F8" s="815" t="s">
        <v>280</v>
      </c>
      <c r="G8" s="815"/>
      <c r="H8" s="815"/>
      <c r="I8" s="815"/>
      <c r="J8" s="815"/>
      <c r="K8" s="815"/>
      <c r="L8" s="815"/>
      <c r="M8" s="815" t="s">
        <v>147</v>
      </c>
      <c r="N8" s="815"/>
      <c r="O8" s="815"/>
      <c r="P8" s="815"/>
      <c r="Q8" s="815"/>
      <c r="R8" s="815"/>
      <c r="S8" s="815"/>
      <c r="T8" s="815" t="s">
        <v>148</v>
      </c>
      <c r="U8" s="815"/>
      <c r="V8" s="815"/>
      <c r="W8" s="815"/>
      <c r="X8" s="815"/>
      <c r="Y8" s="815"/>
      <c r="Z8" s="815"/>
    </row>
    <row r="9" spans="1:28" s="6" customFormat="1" ht="20.25" customHeight="1">
      <c r="A9" s="815"/>
      <c r="B9" s="815"/>
      <c r="C9" s="815"/>
      <c r="D9" s="814" t="s">
        <v>128</v>
      </c>
      <c r="E9" s="814" t="s">
        <v>129</v>
      </c>
      <c r="F9" s="814" t="s">
        <v>51</v>
      </c>
      <c r="G9" s="814" t="s">
        <v>128</v>
      </c>
      <c r="H9" s="814"/>
      <c r="I9" s="814"/>
      <c r="J9" s="814" t="s">
        <v>129</v>
      </c>
      <c r="K9" s="814"/>
      <c r="L9" s="814"/>
      <c r="M9" s="814" t="s">
        <v>51</v>
      </c>
      <c r="N9" s="814" t="s">
        <v>128</v>
      </c>
      <c r="O9" s="814"/>
      <c r="P9" s="814"/>
      <c r="Q9" s="814" t="s">
        <v>129</v>
      </c>
      <c r="R9" s="814"/>
      <c r="S9" s="814"/>
      <c r="T9" s="814" t="s">
        <v>51</v>
      </c>
      <c r="U9" s="814" t="s">
        <v>128</v>
      </c>
      <c r="V9" s="814"/>
      <c r="W9" s="814"/>
      <c r="X9" s="814" t="s">
        <v>129</v>
      </c>
      <c r="Y9" s="814"/>
      <c r="Z9" s="814"/>
    </row>
    <row r="10" spans="1:28" s="6" customFormat="1" ht="20.25" customHeight="1">
      <c r="A10" s="815"/>
      <c r="B10" s="815"/>
      <c r="C10" s="815"/>
      <c r="D10" s="814"/>
      <c r="E10" s="814"/>
      <c r="F10" s="814"/>
      <c r="G10" s="814" t="s">
        <v>76</v>
      </c>
      <c r="H10" s="814" t="s">
        <v>67</v>
      </c>
      <c r="I10" s="814" t="s">
        <v>68</v>
      </c>
      <c r="J10" s="814" t="s">
        <v>76</v>
      </c>
      <c r="K10" s="814" t="s">
        <v>67</v>
      </c>
      <c r="L10" s="814" t="s">
        <v>68</v>
      </c>
      <c r="M10" s="814"/>
      <c r="N10" s="814" t="s">
        <v>76</v>
      </c>
      <c r="O10" s="814" t="s">
        <v>67</v>
      </c>
      <c r="P10" s="814" t="s">
        <v>68</v>
      </c>
      <c r="Q10" s="814" t="s">
        <v>76</v>
      </c>
      <c r="R10" s="814" t="s">
        <v>67</v>
      </c>
      <c r="S10" s="814" t="s">
        <v>68</v>
      </c>
      <c r="T10" s="814"/>
      <c r="U10" s="814" t="s">
        <v>76</v>
      </c>
      <c r="V10" s="814" t="s">
        <v>67</v>
      </c>
      <c r="W10" s="814" t="s">
        <v>68</v>
      </c>
      <c r="X10" s="814" t="s">
        <v>76</v>
      </c>
      <c r="Y10" s="814" t="s">
        <v>67</v>
      </c>
      <c r="Z10" s="814" t="s">
        <v>68</v>
      </c>
    </row>
    <row r="11" spans="1:28" s="6" customFormat="1" ht="20.25" customHeight="1">
      <c r="A11" s="815"/>
      <c r="B11" s="815"/>
      <c r="C11" s="815"/>
      <c r="D11" s="814"/>
      <c r="E11" s="814"/>
      <c r="F11" s="814"/>
      <c r="G11" s="814"/>
      <c r="H11" s="814"/>
      <c r="I11" s="814"/>
      <c r="J11" s="814"/>
      <c r="K11" s="814"/>
      <c r="L11" s="814"/>
      <c r="M11" s="814"/>
      <c r="N11" s="814"/>
      <c r="O11" s="814"/>
      <c r="P11" s="814"/>
      <c r="Q11" s="814"/>
      <c r="R11" s="814"/>
      <c r="S11" s="814"/>
      <c r="T11" s="814"/>
      <c r="U11" s="814"/>
      <c r="V11" s="814"/>
      <c r="W11" s="814"/>
      <c r="X11" s="814"/>
      <c r="Y11" s="814"/>
      <c r="Z11" s="814"/>
    </row>
    <row r="12" spans="1:28" s="6" customFormat="1" ht="20.25" customHeight="1">
      <c r="A12" s="815"/>
      <c r="B12" s="815"/>
      <c r="C12" s="815"/>
      <c r="D12" s="814"/>
      <c r="E12" s="814"/>
      <c r="F12" s="814"/>
      <c r="G12" s="814"/>
      <c r="H12" s="814"/>
      <c r="I12" s="814"/>
      <c r="J12" s="814"/>
      <c r="K12" s="814"/>
      <c r="L12" s="814"/>
      <c r="M12" s="814"/>
      <c r="N12" s="814"/>
      <c r="O12" s="814"/>
      <c r="P12" s="814"/>
      <c r="Q12" s="814"/>
      <c r="R12" s="814"/>
      <c r="S12" s="814"/>
      <c r="T12" s="814"/>
      <c r="U12" s="814"/>
      <c r="V12" s="814"/>
      <c r="W12" s="814"/>
      <c r="X12" s="814"/>
      <c r="Y12" s="814"/>
      <c r="Z12" s="814"/>
    </row>
    <row r="13" spans="1:28" s="179" customFormat="1" ht="17.25" customHeight="1">
      <c r="A13" s="176" t="s">
        <v>8</v>
      </c>
      <c r="B13" s="177" t="s">
        <v>9</v>
      </c>
      <c r="C13" s="176" t="s">
        <v>46</v>
      </c>
      <c r="D13" s="176" t="s">
        <v>77</v>
      </c>
      <c r="E13" s="176" t="s">
        <v>78</v>
      </c>
      <c r="F13" s="176" t="s">
        <v>79</v>
      </c>
      <c r="G13" s="176" t="s">
        <v>80</v>
      </c>
      <c r="H13" s="176">
        <v>6</v>
      </c>
      <c r="I13" s="176">
        <f>H13+1</f>
        <v>7</v>
      </c>
      <c r="J13" s="176" t="s">
        <v>69</v>
      </c>
      <c r="K13" s="176">
        <v>9</v>
      </c>
      <c r="L13" s="176">
        <f>K13+1</f>
        <v>10</v>
      </c>
      <c r="M13" s="176" t="s">
        <v>79</v>
      </c>
      <c r="N13" s="176" t="s">
        <v>80</v>
      </c>
      <c r="O13" s="176">
        <v>6</v>
      </c>
      <c r="P13" s="176">
        <f>O13+1</f>
        <v>7</v>
      </c>
      <c r="Q13" s="176" t="s">
        <v>69</v>
      </c>
      <c r="R13" s="176">
        <v>9</v>
      </c>
      <c r="S13" s="176">
        <f>R13+1</f>
        <v>10</v>
      </c>
      <c r="T13" s="178" t="s">
        <v>81</v>
      </c>
      <c r="U13" s="178" t="s">
        <v>82</v>
      </c>
      <c r="V13" s="176">
        <v>13</v>
      </c>
      <c r="W13" s="176">
        <f>V13+1</f>
        <v>14</v>
      </c>
      <c r="X13" s="178" t="s">
        <v>83</v>
      </c>
      <c r="Y13" s="176">
        <v>16</v>
      </c>
      <c r="Z13" s="176">
        <f>Y13+1</f>
        <v>17</v>
      </c>
    </row>
    <row r="14" spans="1:28" s="182" customFormat="1" ht="21" customHeight="1">
      <c r="A14" s="180"/>
      <c r="B14" s="181" t="s">
        <v>28</v>
      </c>
      <c r="C14" s="660">
        <f>C15+C26</f>
        <v>101314</v>
      </c>
      <c r="D14" s="660">
        <f t="shared" ref="D14:Z14" si="0">D15+D26</f>
        <v>98744</v>
      </c>
      <c r="E14" s="660">
        <f t="shared" si="0"/>
        <v>2570</v>
      </c>
      <c r="F14" s="660">
        <f t="shared" si="0"/>
        <v>76540</v>
      </c>
      <c r="G14" s="660">
        <f t="shared" si="0"/>
        <v>76540</v>
      </c>
      <c r="H14" s="660">
        <f t="shared" si="0"/>
        <v>76540</v>
      </c>
      <c r="I14" s="660">
        <f t="shared" si="0"/>
        <v>0</v>
      </c>
      <c r="J14" s="660">
        <f t="shared" si="0"/>
        <v>0</v>
      </c>
      <c r="K14" s="660">
        <f t="shared" si="0"/>
        <v>0</v>
      </c>
      <c r="L14" s="660">
        <f t="shared" si="0"/>
        <v>0</v>
      </c>
      <c r="M14" s="660">
        <f t="shared" si="0"/>
        <v>11000</v>
      </c>
      <c r="N14" s="660">
        <f t="shared" si="0"/>
        <v>11000</v>
      </c>
      <c r="O14" s="660">
        <f t="shared" si="0"/>
        <v>11000</v>
      </c>
      <c r="P14" s="660">
        <f t="shared" si="0"/>
        <v>0</v>
      </c>
      <c r="Q14" s="660">
        <f t="shared" si="0"/>
        <v>0</v>
      </c>
      <c r="R14" s="660">
        <f t="shared" si="0"/>
        <v>0</v>
      </c>
      <c r="S14" s="660">
        <f t="shared" si="0"/>
        <v>0</v>
      </c>
      <c r="T14" s="660">
        <f t="shared" si="0"/>
        <v>13774</v>
      </c>
      <c r="U14" s="660">
        <f t="shared" si="0"/>
        <v>11204</v>
      </c>
      <c r="V14" s="660">
        <f t="shared" si="0"/>
        <v>11204</v>
      </c>
      <c r="W14" s="660">
        <f t="shared" si="0"/>
        <v>0</v>
      </c>
      <c r="X14" s="660">
        <f t="shared" si="0"/>
        <v>2570</v>
      </c>
      <c r="Y14" s="660">
        <f t="shared" si="0"/>
        <v>2570</v>
      </c>
      <c r="Z14" s="660">
        <f t="shared" si="0"/>
        <v>0</v>
      </c>
    </row>
    <row r="15" spans="1:28" s="182" customFormat="1" ht="21" customHeight="1">
      <c r="A15" s="180" t="s">
        <v>18</v>
      </c>
      <c r="B15" s="181" t="s">
        <v>144</v>
      </c>
      <c r="C15" s="660">
        <f>SUM(C16:C25)</f>
        <v>98066</v>
      </c>
      <c r="D15" s="660">
        <f>SUM(D16:D25)</f>
        <v>97576</v>
      </c>
      <c r="E15" s="660">
        <f t="shared" ref="E15:Z15" si="1">SUM(E16:E25)</f>
        <v>490</v>
      </c>
      <c r="F15" s="660">
        <f t="shared" si="1"/>
        <v>75372</v>
      </c>
      <c r="G15" s="660">
        <f t="shared" si="1"/>
        <v>75372</v>
      </c>
      <c r="H15" s="660">
        <f>SUM(H16:H25)</f>
        <v>75372</v>
      </c>
      <c r="I15" s="660">
        <f t="shared" si="1"/>
        <v>0</v>
      </c>
      <c r="J15" s="660">
        <f t="shared" si="1"/>
        <v>0</v>
      </c>
      <c r="K15" s="660">
        <f t="shared" si="1"/>
        <v>0</v>
      </c>
      <c r="L15" s="660">
        <f t="shared" si="1"/>
        <v>0</v>
      </c>
      <c r="M15" s="660">
        <f t="shared" si="1"/>
        <v>11000</v>
      </c>
      <c r="N15" s="660">
        <f t="shared" si="1"/>
        <v>11000</v>
      </c>
      <c r="O15" s="660">
        <f t="shared" si="1"/>
        <v>11000</v>
      </c>
      <c r="P15" s="660">
        <f t="shared" si="1"/>
        <v>0</v>
      </c>
      <c r="Q15" s="660">
        <f t="shared" si="1"/>
        <v>0</v>
      </c>
      <c r="R15" s="660">
        <f t="shared" si="1"/>
        <v>0</v>
      </c>
      <c r="S15" s="660">
        <f t="shared" si="1"/>
        <v>0</v>
      </c>
      <c r="T15" s="660">
        <f t="shared" si="1"/>
        <v>11694</v>
      </c>
      <c r="U15" s="660">
        <f t="shared" si="1"/>
        <v>11204</v>
      </c>
      <c r="V15" s="660">
        <f t="shared" si="1"/>
        <v>11204</v>
      </c>
      <c r="W15" s="660">
        <f t="shared" si="1"/>
        <v>0</v>
      </c>
      <c r="X15" s="660">
        <f t="shared" si="1"/>
        <v>490</v>
      </c>
      <c r="Y15" s="660">
        <f t="shared" si="1"/>
        <v>490</v>
      </c>
      <c r="Z15" s="660">
        <f t="shared" si="1"/>
        <v>0</v>
      </c>
    </row>
    <row r="16" spans="1:28" s="184" customFormat="1" ht="21" hidden="1" customHeight="1">
      <c r="A16" s="165">
        <v>1</v>
      </c>
      <c r="B16" s="183" t="s">
        <v>318</v>
      </c>
      <c r="C16" s="660">
        <f t="shared" ref="C16:C23" si="2">D16+E16</f>
        <v>0</v>
      </c>
      <c r="D16" s="660">
        <f>+G16+N16+U16</f>
        <v>0</v>
      </c>
      <c r="E16" s="660">
        <f>J16+Q16+X16</f>
        <v>0</v>
      </c>
      <c r="F16" s="660">
        <f>G16+J16</f>
        <v>0</v>
      </c>
      <c r="G16" s="660">
        <f>H16+I16</f>
        <v>0</v>
      </c>
      <c r="H16" s="660"/>
      <c r="I16" s="660"/>
      <c r="J16" s="660">
        <f t="shared" ref="J16:J25" si="3">K16+L16</f>
        <v>0</v>
      </c>
      <c r="K16" s="660"/>
      <c r="L16" s="660"/>
      <c r="M16" s="660">
        <f>N16+Q16</f>
        <v>0</v>
      </c>
      <c r="N16" s="660">
        <f t="shared" ref="N16:N25" si="4">O16+P16</f>
        <v>0</v>
      </c>
      <c r="O16" s="660"/>
      <c r="P16" s="660"/>
      <c r="Q16" s="660">
        <f t="shared" ref="Q16:Q25" si="5">R16+S16</f>
        <v>0</v>
      </c>
      <c r="R16" s="660"/>
      <c r="S16" s="660"/>
      <c r="T16" s="660">
        <f>U16+X16</f>
        <v>0</v>
      </c>
      <c r="U16" s="660">
        <f t="shared" ref="U16:U25" si="6">V16+W16</f>
        <v>0</v>
      </c>
      <c r="V16" s="660"/>
      <c r="W16" s="660"/>
      <c r="X16" s="660">
        <f t="shared" ref="X16:X25" si="7">Y16+Z16</f>
        <v>0</v>
      </c>
      <c r="Y16" s="660"/>
      <c r="Z16" s="660"/>
    </row>
    <row r="17" spans="1:26" s="184" customFormat="1" ht="21" customHeight="1">
      <c r="A17" s="165"/>
      <c r="B17" s="183" t="s">
        <v>302</v>
      </c>
      <c r="C17" s="661">
        <f t="shared" si="2"/>
        <v>490</v>
      </c>
      <c r="D17" s="661">
        <f t="shared" ref="D17:D23" si="8">+G17+N17+U17</f>
        <v>0</v>
      </c>
      <c r="E17" s="661">
        <f t="shared" ref="E17:E23" si="9">J17+Q17+X17</f>
        <v>490</v>
      </c>
      <c r="F17" s="661">
        <f t="shared" ref="F17:F25" si="10">G17+J17</f>
        <v>0</v>
      </c>
      <c r="G17" s="661">
        <f t="shared" ref="G17:G25" si="11">H17+I17</f>
        <v>0</v>
      </c>
      <c r="H17" s="661"/>
      <c r="I17" s="661"/>
      <c r="J17" s="661">
        <f t="shared" si="3"/>
        <v>0</v>
      </c>
      <c r="K17" s="661"/>
      <c r="L17" s="661"/>
      <c r="M17" s="661">
        <f t="shared" ref="M17:M25" si="12">N17+Q17</f>
        <v>0</v>
      </c>
      <c r="N17" s="661">
        <f t="shared" si="4"/>
        <v>0</v>
      </c>
      <c r="O17" s="661"/>
      <c r="P17" s="661"/>
      <c r="Q17" s="661">
        <f t="shared" si="5"/>
        <v>0</v>
      </c>
      <c r="R17" s="661"/>
      <c r="S17" s="661"/>
      <c r="T17" s="661">
        <f t="shared" ref="T17:T25" si="13">U17+X17</f>
        <v>490</v>
      </c>
      <c r="U17" s="661">
        <f t="shared" si="6"/>
        <v>0</v>
      </c>
      <c r="V17" s="661"/>
      <c r="W17" s="661"/>
      <c r="X17" s="661">
        <f t="shared" si="7"/>
        <v>490</v>
      </c>
      <c r="Y17" s="661">
        <f>+'Chi 2025'!H80</f>
        <v>490</v>
      </c>
      <c r="Z17" s="661"/>
    </row>
    <row r="18" spans="1:26" s="184" customFormat="1" ht="21" hidden="1" customHeight="1">
      <c r="A18" s="165"/>
      <c r="B18" s="183" t="s">
        <v>158</v>
      </c>
      <c r="C18" s="660">
        <f t="shared" si="2"/>
        <v>0</v>
      </c>
      <c r="D18" s="660">
        <f t="shared" si="8"/>
        <v>0</v>
      </c>
      <c r="E18" s="660">
        <f t="shared" si="9"/>
        <v>0</v>
      </c>
      <c r="F18" s="660">
        <f t="shared" si="10"/>
        <v>0</v>
      </c>
      <c r="G18" s="660">
        <f t="shared" si="11"/>
        <v>0</v>
      </c>
      <c r="H18" s="660"/>
      <c r="I18" s="660"/>
      <c r="J18" s="660">
        <f t="shared" si="3"/>
        <v>0</v>
      </c>
      <c r="K18" s="660"/>
      <c r="L18" s="660"/>
      <c r="M18" s="660">
        <f t="shared" si="12"/>
        <v>0</v>
      </c>
      <c r="N18" s="660">
        <f t="shared" si="4"/>
        <v>0</v>
      </c>
      <c r="O18" s="660"/>
      <c r="P18" s="660"/>
      <c r="Q18" s="660">
        <f t="shared" si="5"/>
        <v>0</v>
      </c>
      <c r="R18" s="660"/>
      <c r="S18" s="660"/>
      <c r="T18" s="660">
        <f t="shared" si="13"/>
        <v>0</v>
      </c>
      <c r="U18" s="660">
        <f t="shared" si="6"/>
        <v>0</v>
      </c>
      <c r="V18" s="660"/>
      <c r="W18" s="660"/>
      <c r="X18" s="660">
        <f t="shared" si="7"/>
        <v>0</v>
      </c>
      <c r="Y18" s="660"/>
      <c r="Z18" s="660"/>
    </row>
    <row r="19" spans="1:26" s="184" customFormat="1" ht="21" hidden="1" customHeight="1">
      <c r="A19" s="165"/>
      <c r="B19" s="183" t="s">
        <v>159</v>
      </c>
      <c r="C19" s="660">
        <f t="shared" si="2"/>
        <v>0</v>
      </c>
      <c r="D19" s="660">
        <f t="shared" si="8"/>
        <v>0</v>
      </c>
      <c r="E19" s="660">
        <f t="shared" si="9"/>
        <v>0</v>
      </c>
      <c r="F19" s="660">
        <f t="shared" si="10"/>
        <v>0</v>
      </c>
      <c r="G19" s="660">
        <f t="shared" si="11"/>
        <v>0</v>
      </c>
      <c r="H19" s="660"/>
      <c r="I19" s="660"/>
      <c r="J19" s="660">
        <f t="shared" si="3"/>
        <v>0</v>
      </c>
      <c r="K19" s="660"/>
      <c r="L19" s="660"/>
      <c r="M19" s="660">
        <f t="shared" si="12"/>
        <v>0</v>
      </c>
      <c r="N19" s="660">
        <f t="shared" si="4"/>
        <v>0</v>
      </c>
      <c r="O19" s="660"/>
      <c r="P19" s="660"/>
      <c r="Q19" s="660">
        <f t="shared" si="5"/>
        <v>0</v>
      </c>
      <c r="R19" s="660"/>
      <c r="S19" s="660"/>
      <c r="T19" s="660">
        <f t="shared" si="13"/>
        <v>0</v>
      </c>
      <c r="U19" s="660">
        <f t="shared" si="6"/>
        <v>0</v>
      </c>
      <c r="V19" s="660"/>
      <c r="W19" s="660"/>
      <c r="X19" s="660">
        <f t="shared" si="7"/>
        <v>0</v>
      </c>
      <c r="Y19" s="660"/>
      <c r="Z19" s="660"/>
    </row>
    <row r="20" spans="1:26" s="184" customFormat="1" ht="21" hidden="1" customHeight="1">
      <c r="A20" s="165"/>
      <c r="B20" s="183" t="s">
        <v>317</v>
      </c>
      <c r="C20" s="660">
        <f t="shared" si="2"/>
        <v>0</v>
      </c>
      <c r="D20" s="660">
        <f t="shared" si="8"/>
        <v>0</v>
      </c>
      <c r="E20" s="660">
        <f t="shared" si="9"/>
        <v>0</v>
      </c>
      <c r="F20" s="660">
        <f t="shared" si="10"/>
        <v>0</v>
      </c>
      <c r="G20" s="660">
        <f t="shared" si="11"/>
        <v>0</v>
      </c>
      <c r="H20" s="660"/>
      <c r="I20" s="660"/>
      <c r="J20" s="660">
        <f t="shared" si="3"/>
        <v>0</v>
      </c>
      <c r="K20" s="660"/>
      <c r="L20" s="660"/>
      <c r="M20" s="660">
        <f t="shared" si="12"/>
        <v>0</v>
      </c>
      <c r="N20" s="660">
        <f t="shared" si="4"/>
        <v>0</v>
      </c>
      <c r="O20" s="660"/>
      <c r="P20" s="660"/>
      <c r="Q20" s="660">
        <f t="shared" si="5"/>
        <v>0</v>
      </c>
      <c r="R20" s="660"/>
      <c r="S20" s="660"/>
      <c r="T20" s="660">
        <f t="shared" si="13"/>
        <v>0</v>
      </c>
      <c r="U20" s="660">
        <f t="shared" si="6"/>
        <v>0</v>
      </c>
      <c r="V20" s="660"/>
      <c r="W20" s="660"/>
      <c r="X20" s="660">
        <f t="shared" si="7"/>
        <v>0</v>
      </c>
      <c r="Y20" s="660"/>
      <c r="Z20" s="660"/>
    </row>
    <row r="21" spans="1:26" s="184" customFormat="1" ht="21" hidden="1" customHeight="1">
      <c r="A21" s="165"/>
      <c r="B21" s="183" t="s">
        <v>161</v>
      </c>
      <c r="C21" s="660">
        <f t="shared" si="2"/>
        <v>0</v>
      </c>
      <c r="D21" s="660">
        <f t="shared" si="8"/>
        <v>0</v>
      </c>
      <c r="E21" s="660">
        <f t="shared" si="9"/>
        <v>0</v>
      </c>
      <c r="F21" s="660">
        <f t="shared" si="10"/>
        <v>0</v>
      </c>
      <c r="G21" s="660">
        <f t="shared" si="11"/>
        <v>0</v>
      </c>
      <c r="H21" s="660"/>
      <c r="I21" s="660"/>
      <c r="J21" s="660">
        <f t="shared" si="3"/>
        <v>0</v>
      </c>
      <c r="K21" s="660"/>
      <c r="L21" s="660"/>
      <c r="M21" s="660">
        <f t="shared" si="12"/>
        <v>0</v>
      </c>
      <c r="N21" s="660">
        <f t="shared" si="4"/>
        <v>0</v>
      </c>
      <c r="O21" s="660"/>
      <c r="P21" s="660"/>
      <c r="Q21" s="660">
        <f t="shared" si="5"/>
        <v>0</v>
      </c>
      <c r="R21" s="660"/>
      <c r="S21" s="660"/>
      <c r="T21" s="660">
        <f t="shared" si="13"/>
        <v>0</v>
      </c>
      <c r="U21" s="660">
        <f t="shared" si="6"/>
        <v>0</v>
      </c>
      <c r="V21" s="660"/>
      <c r="W21" s="660"/>
      <c r="X21" s="660">
        <f t="shared" si="7"/>
        <v>0</v>
      </c>
      <c r="Y21" s="660"/>
      <c r="Z21" s="660"/>
    </row>
    <row r="22" spans="1:26" s="184" customFormat="1" ht="21" hidden="1" customHeight="1">
      <c r="A22" s="165"/>
      <c r="B22" s="183" t="s">
        <v>306</v>
      </c>
      <c r="C22" s="660">
        <f t="shared" si="2"/>
        <v>0</v>
      </c>
      <c r="D22" s="660">
        <f t="shared" si="8"/>
        <v>0</v>
      </c>
      <c r="E22" s="660">
        <f t="shared" si="9"/>
        <v>0</v>
      </c>
      <c r="F22" s="660">
        <f t="shared" si="10"/>
        <v>0</v>
      </c>
      <c r="G22" s="660">
        <f t="shared" si="11"/>
        <v>0</v>
      </c>
      <c r="H22" s="660"/>
      <c r="I22" s="660"/>
      <c r="J22" s="660">
        <f t="shared" si="3"/>
        <v>0</v>
      </c>
      <c r="K22" s="660"/>
      <c r="L22" s="660"/>
      <c r="M22" s="660">
        <f t="shared" si="12"/>
        <v>0</v>
      </c>
      <c r="N22" s="660">
        <f t="shared" si="4"/>
        <v>0</v>
      </c>
      <c r="O22" s="660"/>
      <c r="P22" s="660"/>
      <c r="Q22" s="660">
        <f t="shared" si="5"/>
        <v>0</v>
      </c>
      <c r="R22" s="660"/>
      <c r="S22" s="660"/>
      <c r="T22" s="660">
        <f t="shared" si="13"/>
        <v>0</v>
      </c>
      <c r="U22" s="660">
        <f t="shared" si="6"/>
        <v>0</v>
      </c>
      <c r="V22" s="660"/>
      <c r="W22" s="660"/>
      <c r="X22" s="660">
        <f t="shared" si="7"/>
        <v>0</v>
      </c>
      <c r="Y22" s="660"/>
      <c r="Z22" s="660"/>
    </row>
    <row r="23" spans="1:26" s="184" customFormat="1" ht="21" hidden="1" customHeight="1">
      <c r="A23" s="165"/>
      <c r="B23" s="183" t="s">
        <v>200</v>
      </c>
      <c r="C23" s="660">
        <f t="shared" si="2"/>
        <v>0</v>
      </c>
      <c r="D23" s="660">
        <f t="shared" si="8"/>
        <v>0</v>
      </c>
      <c r="E23" s="660">
        <f t="shared" si="9"/>
        <v>0</v>
      </c>
      <c r="F23" s="660">
        <f t="shared" si="10"/>
        <v>0</v>
      </c>
      <c r="G23" s="660">
        <f t="shared" si="11"/>
        <v>0</v>
      </c>
      <c r="H23" s="660"/>
      <c r="I23" s="660"/>
      <c r="J23" s="660">
        <f t="shared" si="3"/>
        <v>0</v>
      </c>
      <c r="K23" s="660"/>
      <c r="L23" s="660"/>
      <c r="M23" s="660">
        <f t="shared" si="12"/>
        <v>0</v>
      </c>
      <c r="N23" s="660">
        <f t="shared" si="4"/>
        <v>0</v>
      </c>
      <c r="O23" s="660"/>
      <c r="P23" s="660"/>
      <c r="Q23" s="660">
        <f t="shared" si="5"/>
        <v>0</v>
      </c>
      <c r="R23" s="660"/>
      <c r="S23" s="660"/>
      <c r="T23" s="660">
        <f t="shared" si="13"/>
        <v>0</v>
      </c>
      <c r="U23" s="660">
        <f t="shared" si="6"/>
        <v>0</v>
      </c>
      <c r="V23" s="660"/>
      <c r="W23" s="660"/>
      <c r="X23" s="660">
        <f t="shared" si="7"/>
        <v>0</v>
      </c>
      <c r="Y23" s="660"/>
      <c r="Z23" s="660"/>
    </row>
    <row r="24" spans="1:26" s="184" customFormat="1" ht="21" hidden="1" customHeight="1">
      <c r="A24" s="165"/>
      <c r="B24" s="183" t="s">
        <v>320</v>
      </c>
      <c r="C24" s="660">
        <f>D24+E24</f>
        <v>0</v>
      </c>
      <c r="D24" s="660">
        <f>+G24+N24+U24</f>
        <v>0</v>
      </c>
      <c r="E24" s="660">
        <f>J24+Q24+X24</f>
        <v>0</v>
      </c>
      <c r="F24" s="660">
        <f>G24+J24</f>
        <v>0</v>
      </c>
      <c r="G24" s="660">
        <f t="shared" si="11"/>
        <v>0</v>
      </c>
      <c r="H24" s="660"/>
      <c r="I24" s="660"/>
      <c r="J24" s="660">
        <f>K24+L24</f>
        <v>0</v>
      </c>
      <c r="K24" s="660"/>
      <c r="L24" s="660"/>
      <c r="M24" s="660">
        <f>N24+Q24</f>
        <v>0</v>
      </c>
      <c r="N24" s="660">
        <f>O24+P24</f>
        <v>0</v>
      </c>
      <c r="O24" s="660"/>
      <c r="P24" s="660"/>
      <c r="Q24" s="660">
        <f>R24+S24</f>
        <v>0</v>
      </c>
      <c r="R24" s="660"/>
      <c r="S24" s="660"/>
      <c r="T24" s="660">
        <f>U24+X24</f>
        <v>0</v>
      </c>
      <c r="U24" s="660">
        <f t="shared" si="6"/>
        <v>0</v>
      </c>
      <c r="V24" s="660"/>
      <c r="W24" s="660"/>
      <c r="X24" s="660">
        <f>Y24+Z24</f>
        <v>0</v>
      </c>
      <c r="Y24" s="660"/>
      <c r="Z24" s="660"/>
    </row>
    <row r="25" spans="1:26" s="184" customFormat="1" ht="21" customHeight="1">
      <c r="A25" s="165"/>
      <c r="B25" s="183" t="s">
        <v>722</v>
      </c>
      <c r="C25" s="661">
        <f>D25+E25</f>
        <v>97576</v>
      </c>
      <c r="D25" s="661">
        <f>+G25+N25+U25</f>
        <v>97576</v>
      </c>
      <c r="E25" s="661">
        <f>J25+Q25+X25</f>
        <v>0</v>
      </c>
      <c r="F25" s="661">
        <f t="shared" si="10"/>
        <v>75372</v>
      </c>
      <c r="G25" s="661">
        <f t="shared" si="11"/>
        <v>75372</v>
      </c>
      <c r="H25" s="661">
        <f>+'Chi 2025'!Z84</f>
        <v>75372</v>
      </c>
      <c r="I25" s="661"/>
      <c r="J25" s="661">
        <f t="shared" si="3"/>
        <v>0</v>
      </c>
      <c r="K25" s="661"/>
      <c r="L25" s="661"/>
      <c r="M25" s="661">
        <f t="shared" si="12"/>
        <v>11000</v>
      </c>
      <c r="N25" s="661">
        <f t="shared" si="4"/>
        <v>11000</v>
      </c>
      <c r="O25" s="661">
        <f>+'Chi 2025'!Z105</f>
        <v>11000</v>
      </c>
      <c r="P25" s="661"/>
      <c r="Q25" s="661">
        <f t="shared" si="5"/>
        <v>0</v>
      </c>
      <c r="R25" s="661"/>
      <c r="S25" s="661"/>
      <c r="T25" s="661">
        <f t="shared" si="13"/>
        <v>11204</v>
      </c>
      <c r="U25" s="661">
        <f t="shared" si="6"/>
        <v>11204</v>
      </c>
      <c r="V25" s="661">
        <f>+'Chi 2025'!Z128</f>
        <v>11204</v>
      </c>
      <c r="W25" s="661"/>
      <c r="X25" s="661">
        <f t="shared" si="7"/>
        <v>0</v>
      </c>
      <c r="Y25" s="661"/>
      <c r="Z25" s="661"/>
    </row>
    <row r="26" spans="1:26" s="186" customFormat="1" ht="21" customHeight="1">
      <c r="A26" s="568" t="s">
        <v>19</v>
      </c>
      <c r="B26" s="185" t="s">
        <v>145</v>
      </c>
      <c r="C26" s="660">
        <f>SUM(C27:C45)</f>
        <v>3248</v>
      </c>
      <c r="D26" s="660">
        <f t="shared" ref="D26:Z26" si="14">SUM(D27:D45)</f>
        <v>1168</v>
      </c>
      <c r="E26" s="660">
        <f t="shared" si="14"/>
        <v>2080</v>
      </c>
      <c r="F26" s="660">
        <f>SUM(F27:F45)</f>
        <v>1168</v>
      </c>
      <c r="G26" s="660">
        <f t="shared" ref="G26:L26" si="15">SUM(G27:G45)</f>
        <v>1168</v>
      </c>
      <c r="H26" s="660">
        <f>SUM(H27:H45)</f>
        <v>1168</v>
      </c>
      <c r="I26" s="660">
        <f t="shared" si="15"/>
        <v>0</v>
      </c>
      <c r="J26" s="660">
        <f t="shared" si="15"/>
        <v>0</v>
      </c>
      <c r="K26" s="660">
        <f t="shared" si="15"/>
        <v>0</v>
      </c>
      <c r="L26" s="660">
        <f t="shared" si="15"/>
        <v>0</v>
      </c>
      <c r="M26" s="660">
        <f t="shared" si="14"/>
        <v>0</v>
      </c>
      <c r="N26" s="660">
        <f t="shared" si="14"/>
        <v>0</v>
      </c>
      <c r="O26" s="660">
        <f t="shared" si="14"/>
        <v>0</v>
      </c>
      <c r="P26" s="660">
        <f t="shared" si="14"/>
        <v>0</v>
      </c>
      <c r="Q26" s="660">
        <f t="shared" si="14"/>
        <v>0</v>
      </c>
      <c r="R26" s="660">
        <f t="shared" si="14"/>
        <v>0</v>
      </c>
      <c r="S26" s="660">
        <f t="shared" si="14"/>
        <v>0</v>
      </c>
      <c r="T26" s="660">
        <f t="shared" si="14"/>
        <v>2080</v>
      </c>
      <c r="U26" s="660">
        <f t="shared" si="14"/>
        <v>0</v>
      </c>
      <c r="V26" s="660">
        <f t="shared" si="14"/>
        <v>0</v>
      </c>
      <c r="W26" s="660">
        <f t="shared" si="14"/>
        <v>0</v>
      </c>
      <c r="X26" s="660">
        <f t="shared" si="14"/>
        <v>2080</v>
      </c>
      <c r="Y26" s="660">
        <f t="shared" si="14"/>
        <v>2080</v>
      </c>
      <c r="Z26" s="660">
        <f t="shared" si="14"/>
        <v>0</v>
      </c>
    </row>
    <row r="27" spans="1:26" s="182" customFormat="1" ht="21" customHeight="1">
      <c r="A27" s="187">
        <v>1</v>
      </c>
      <c r="B27" s="188" t="s">
        <v>262</v>
      </c>
      <c r="C27" s="661">
        <f t="shared" ref="C27:C46" si="16">D27+E27</f>
        <v>1200</v>
      </c>
      <c r="D27" s="661">
        <f t="shared" ref="D27:D45" si="17">+G27+N27+U27</f>
        <v>1090</v>
      </c>
      <c r="E27" s="661">
        <f>J27+Q27+X27</f>
        <v>110</v>
      </c>
      <c r="F27" s="661">
        <f t="shared" ref="F27:F29" si="18">G27+J27</f>
        <v>1090</v>
      </c>
      <c r="G27" s="661">
        <f t="shared" ref="G27:G29" si="19">H27+I27</f>
        <v>1090</v>
      </c>
      <c r="H27" s="661">
        <f>+'Chi xã,TT 2025'!D42</f>
        <v>1090</v>
      </c>
      <c r="I27" s="661"/>
      <c r="J27" s="661">
        <f t="shared" ref="J27:J45" si="20">K27+L27</f>
        <v>0</v>
      </c>
      <c r="K27" s="661"/>
      <c r="L27" s="661"/>
      <c r="M27" s="661">
        <f>N27+Q27</f>
        <v>0</v>
      </c>
      <c r="N27" s="661">
        <f t="shared" ref="N27:N45" si="21">O27+P27</f>
        <v>0</v>
      </c>
      <c r="O27" s="661"/>
      <c r="P27" s="661"/>
      <c r="Q27" s="661">
        <f t="shared" ref="Q27:Q45" si="22">R27+S27</f>
        <v>0</v>
      </c>
      <c r="R27" s="661"/>
      <c r="S27" s="661"/>
      <c r="T27" s="661">
        <f>U27+X27</f>
        <v>110</v>
      </c>
      <c r="U27" s="661">
        <f>V27+W27</f>
        <v>0</v>
      </c>
      <c r="V27" s="661"/>
      <c r="W27" s="661"/>
      <c r="X27" s="661">
        <f t="shared" ref="X27:X45" si="23">Y27+Z27</f>
        <v>110</v>
      </c>
      <c r="Y27" s="661">
        <f>+'Chi xã,TT 2025'!D56</f>
        <v>110</v>
      </c>
      <c r="Z27" s="661"/>
    </row>
    <row r="28" spans="1:26" s="182" customFormat="1" ht="21" customHeight="1">
      <c r="A28" s="187">
        <v>2</v>
      </c>
      <c r="B28" s="188" t="s">
        <v>263</v>
      </c>
      <c r="C28" s="661">
        <f t="shared" si="16"/>
        <v>10</v>
      </c>
      <c r="D28" s="661">
        <f t="shared" si="17"/>
        <v>0</v>
      </c>
      <c r="E28" s="661">
        <f t="shared" ref="E28:E45" si="24">J28+Q28+X28</f>
        <v>10</v>
      </c>
      <c r="F28" s="661">
        <f t="shared" si="18"/>
        <v>0</v>
      </c>
      <c r="G28" s="661">
        <f t="shared" si="19"/>
        <v>0</v>
      </c>
      <c r="H28" s="661"/>
      <c r="I28" s="661"/>
      <c r="J28" s="661">
        <f t="shared" si="20"/>
        <v>0</v>
      </c>
      <c r="K28" s="661"/>
      <c r="L28" s="661"/>
      <c r="M28" s="661">
        <f t="shared" ref="M28:M45" si="25">N28+Q28</f>
        <v>0</v>
      </c>
      <c r="N28" s="661">
        <f t="shared" si="21"/>
        <v>0</v>
      </c>
      <c r="O28" s="661"/>
      <c r="P28" s="661"/>
      <c r="Q28" s="661">
        <f t="shared" si="22"/>
        <v>0</v>
      </c>
      <c r="R28" s="661"/>
      <c r="S28" s="661"/>
      <c r="T28" s="661">
        <f t="shared" ref="T28:T45" si="26">U28+X28</f>
        <v>10</v>
      </c>
      <c r="U28" s="661">
        <f>V28+W28</f>
        <v>0</v>
      </c>
      <c r="V28" s="661"/>
      <c r="W28" s="661"/>
      <c r="X28" s="661">
        <f t="shared" si="23"/>
        <v>10</v>
      </c>
      <c r="Y28" s="661">
        <f>+'Chi xã,TT 2025'!E56</f>
        <v>10</v>
      </c>
      <c r="Z28" s="661"/>
    </row>
    <row r="29" spans="1:26" s="182" customFormat="1" ht="21" customHeight="1">
      <c r="A29" s="187">
        <v>3</v>
      </c>
      <c r="B29" s="188" t="s">
        <v>264</v>
      </c>
      <c r="C29" s="661">
        <f t="shared" si="16"/>
        <v>410</v>
      </c>
      <c r="D29" s="661">
        <f t="shared" si="17"/>
        <v>0</v>
      </c>
      <c r="E29" s="661">
        <f t="shared" si="24"/>
        <v>410</v>
      </c>
      <c r="F29" s="661">
        <f t="shared" si="18"/>
        <v>0</v>
      </c>
      <c r="G29" s="661">
        <f t="shared" si="19"/>
        <v>0</v>
      </c>
      <c r="H29" s="661"/>
      <c r="I29" s="661"/>
      <c r="J29" s="661">
        <f t="shared" si="20"/>
        <v>0</v>
      </c>
      <c r="K29" s="661"/>
      <c r="L29" s="661"/>
      <c r="M29" s="661">
        <f t="shared" si="25"/>
        <v>0</v>
      </c>
      <c r="N29" s="661">
        <f t="shared" si="21"/>
        <v>0</v>
      </c>
      <c r="O29" s="661"/>
      <c r="P29" s="661"/>
      <c r="Q29" s="661">
        <f t="shared" si="22"/>
        <v>0</v>
      </c>
      <c r="R29" s="661"/>
      <c r="S29" s="661"/>
      <c r="T29" s="661">
        <f t="shared" si="26"/>
        <v>410</v>
      </c>
      <c r="U29" s="661">
        <f t="shared" ref="U29:U45" si="27">V29+W29</f>
        <v>0</v>
      </c>
      <c r="V29" s="661"/>
      <c r="W29" s="661"/>
      <c r="X29" s="661">
        <f t="shared" si="23"/>
        <v>410</v>
      </c>
      <c r="Y29" s="661">
        <f>+'Chi xã,TT 2025'!F56</f>
        <v>410</v>
      </c>
      <c r="Z29" s="661"/>
    </row>
    <row r="30" spans="1:26" s="182" customFormat="1" ht="21" customHeight="1">
      <c r="A30" s="187">
        <v>4</v>
      </c>
      <c r="B30" s="188" t="s">
        <v>265</v>
      </c>
      <c r="C30" s="661">
        <f t="shared" si="16"/>
        <v>110</v>
      </c>
      <c r="D30" s="661">
        <f t="shared" si="17"/>
        <v>0</v>
      </c>
      <c r="E30" s="661">
        <f t="shared" si="24"/>
        <v>110</v>
      </c>
      <c r="F30" s="661">
        <f t="shared" ref="F30:F33" si="28">G30+J30</f>
        <v>0</v>
      </c>
      <c r="G30" s="661">
        <f t="shared" ref="G30:G33" si="29">H30+I30</f>
        <v>0</v>
      </c>
      <c r="H30" s="661"/>
      <c r="I30" s="661"/>
      <c r="J30" s="661">
        <f t="shared" si="20"/>
        <v>0</v>
      </c>
      <c r="K30" s="661"/>
      <c r="L30" s="661"/>
      <c r="M30" s="661">
        <f t="shared" si="25"/>
        <v>0</v>
      </c>
      <c r="N30" s="661">
        <f t="shared" si="21"/>
        <v>0</v>
      </c>
      <c r="O30" s="661"/>
      <c r="P30" s="661"/>
      <c r="Q30" s="661">
        <f t="shared" si="22"/>
        <v>0</v>
      </c>
      <c r="R30" s="661"/>
      <c r="S30" s="661"/>
      <c r="T30" s="661">
        <f t="shared" si="26"/>
        <v>110</v>
      </c>
      <c r="U30" s="661">
        <f t="shared" si="27"/>
        <v>0</v>
      </c>
      <c r="V30" s="661"/>
      <c r="W30" s="661"/>
      <c r="X30" s="661">
        <f t="shared" si="23"/>
        <v>110</v>
      </c>
      <c r="Y30" s="661">
        <f>+'Chi xã,TT 2025'!G56</f>
        <v>110</v>
      </c>
      <c r="Z30" s="661"/>
    </row>
    <row r="31" spans="1:26" s="182" customFormat="1" ht="21" customHeight="1">
      <c r="A31" s="187">
        <v>5</v>
      </c>
      <c r="B31" s="188" t="s">
        <v>266</v>
      </c>
      <c r="C31" s="661">
        <f t="shared" si="16"/>
        <v>310</v>
      </c>
      <c r="D31" s="661">
        <f t="shared" si="17"/>
        <v>0</v>
      </c>
      <c r="E31" s="661">
        <f t="shared" si="24"/>
        <v>310</v>
      </c>
      <c r="F31" s="661">
        <f t="shared" si="28"/>
        <v>0</v>
      </c>
      <c r="G31" s="661">
        <f t="shared" si="29"/>
        <v>0</v>
      </c>
      <c r="H31" s="661"/>
      <c r="I31" s="661"/>
      <c r="J31" s="661">
        <f t="shared" si="20"/>
        <v>0</v>
      </c>
      <c r="K31" s="661"/>
      <c r="L31" s="661"/>
      <c r="M31" s="661">
        <f t="shared" si="25"/>
        <v>0</v>
      </c>
      <c r="N31" s="661">
        <f t="shared" si="21"/>
        <v>0</v>
      </c>
      <c r="O31" s="661"/>
      <c r="P31" s="661"/>
      <c r="Q31" s="661">
        <f t="shared" si="22"/>
        <v>0</v>
      </c>
      <c r="R31" s="661"/>
      <c r="S31" s="661"/>
      <c r="T31" s="661">
        <f t="shared" si="26"/>
        <v>310</v>
      </c>
      <c r="U31" s="661">
        <f t="shared" si="27"/>
        <v>0</v>
      </c>
      <c r="V31" s="661"/>
      <c r="W31" s="661"/>
      <c r="X31" s="661">
        <f t="shared" si="23"/>
        <v>310</v>
      </c>
      <c r="Y31" s="661">
        <f>+'Chi xã,TT 2025'!H56</f>
        <v>310</v>
      </c>
      <c r="Z31" s="661"/>
    </row>
    <row r="32" spans="1:26" s="182" customFormat="1" ht="21" customHeight="1">
      <c r="A32" s="187">
        <v>6</v>
      </c>
      <c r="B32" s="188" t="s">
        <v>578</v>
      </c>
      <c r="C32" s="661">
        <f t="shared" si="16"/>
        <v>0</v>
      </c>
      <c r="D32" s="661">
        <f t="shared" si="17"/>
        <v>0</v>
      </c>
      <c r="E32" s="661">
        <f t="shared" si="24"/>
        <v>0</v>
      </c>
      <c r="F32" s="661">
        <f t="shared" si="28"/>
        <v>0</v>
      </c>
      <c r="G32" s="661">
        <f t="shared" si="29"/>
        <v>0</v>
      </c>
      <c r="H32" s="661"/>
      <c r="I32" s="661"/>
      <c r="J32" s="661">
        <f t="shared" si="20"/>
        <v>0</v>
      </c>
      <c r="K32" s="661"/>
      <c r="L32" s="661"/>
      <c r="M32" s="661">
        <f t="shared" si="25"/>
        <v>0</v>
      </c>
      <c r="N32" s="661">
        <f t="shared" si="21"/>
        <v>0</v>
      </c>
      <c r="O32" s="661"/>
      <c r="P32" s="661"/>
      <c r="Q32" s="661">
        <f t="shared" si="22"/>
        <v>0</v>
      </c>
      <c r="R32" s="661"/>
      <c r="S32" s="661"/>
      <c r="T32" s="661">
        <f t="shared" si="26"/>
        <v>0</v>
      </c>
      <c r="U32" s="661">
        <f t="shared" si="27"/>
        <v>0</v>
      </c>
      <c r="V32" s="661"/>
      <c r="W32" s="661"/>
      <c r="X32" s="661">
        <f t="shared" si="23"/>
        <v>0</v>
      </c>
      <c r="Y32" s="661">
        <f>+'Chi xã,TT 2025'!I56</f>
        <v>0</v>
      </c>
      <c r="Z32" s="661"/>
    </row>
    <row r="33" spans="1:26" s="182" customFormat="1" ht="21" customHeight="1">
      <c r="A33" s="187">
        <v>7</v>
      </c>
      <c r="B33" s="188" t="s">
        <v>267</v>
      </c>
      <c r="C33" s="661">
        <f t="shared" si="16"/>
        <v>310</v>
      </c>
      <c r="D33" s="661">
        <f t="shared" si="17"/>
        <v>0</v>
      </c>
      <c r="E33" s="661">
        <f t="shared" si="24"/>
        <v>310</v>
      </c>
      <c r="F33" s="661">
        <f t="shared" si="28"/>
        <v>0</v>
      </c>
      <c r="G33" s="661">
        <f t="shared" si="29"/>
        <v>0</v>
      </c>
      <c r="H33" s="661"/>
      <c r="I33" s="661"/>
      <c r="J33" s="661">
        <f t="shared" si="20"/>
        <v>0</v>
      </c>
      <c r="K33" s="661"/>
      <c r="L33" s="661"/>
      <c r="M33" s="661">
        <f t="shared" si="25"/>
        <v>0</v>
      </c>
      <c r="N33" s="661">
        <f t="shared" si="21"/>
        <v>0</v>
      </c>
      <c r="O33" s="661"/>
      <c r="P33" s="661"/>
      <c r="Q33" s="661">
        <f t="shared" si="22"/>
        <v>0</v>
      </c>
      <c r="R33" s="661"/>
      <c r="S33" s="661"/>
      <c r="T33" s="661">
        <f t="shared" si="26"/>
        <v>310</v>
      </c>
      <c r="U33" s="661">
        <f t="shared" si="27"/>
        <v>0</v>
      </c>
      <c r="V33" s="661"/>
      <c r="W33" s="661"/>
      <c r="X33" s="661">
        <f t="shared" si="23"/>
        <v>310</v>
      </c>
      <c r="Y33" s="661">
        <f>+'Chi xã,TT 2025'!J56</f>
        <v>310</v>
      </c>
      <c r="Z33" s="661"/>
    </row>
    <row r="34" spans="1:26" s="182" customFormat="1" ht="21" customHeight="1">
      <c r="A34" s="187">
        <v>8</v>
      </c>
      <c r="B34" s="188" t="s">
        <v>268</v>
      </c>
      <c r="C34" s="661">
        <f t="shared" si="16"/>
        <v>10</v>
      </c>
      <c r="D34" s="661">
        <f t="shared" si="17"/>
        <v>0</v>
      </c>
      <c r="E34" s="661">
        <f t="shared" si="24"/>
        <v>10</v>
      </c>
      <c r="F34" s="661">
        <f t="shared" ref="F34:F45" si="30">G34+J34</f>
        <v>0</v>
      </c>
      <c r="G34" s="661">
        <f t="shared" ref="G34:G45" si="31">H34+I34</f>
        <v>0</v>
      </c>
      <c r="H34" s="661"/>
      <c r="I34" s="661"/>
      <c r="J34" s="661">
        <f t="shared" si="20"/>
        <v>0</v>
      </c>
      <c r="K34" s="661"/>
      <c r="L34" s="661"/>
      <c r="M34" s="661">
        <f t="shared" si="25"/>
        <v>0</v>
      </c>
      <c r="N34" s="661">
        <f t="shared" si="21"/>
        <v>0</v>
      </c>
      <c r="O34" s="661"/>
      <c r="P34" s="661"/>
      <c r="Q34" s="661">
        <f t="shared" si="22"/>
        <v>0</v>
      </c>
      <c r="R34" s="661"/>
      <c r="S34" s="661"/>
      <c r="T34" s="661">
        <f t="shared" si="26"/>
        <v>10</v>
      </c>
      <c r="U34" s="661">
        <f t="shared" si="27"/>
        <v>0</v>
      </c>
      <c r="V34" s="661"/>
      <c r="W34" s="661"/>
      <c r="X34" s="661">
        <f t="shared" si="23"/>
        <v>10</v>
      </c>
      <c r="Y34" s="661">
        <f>+'Chi xã,TT 2025'!K56</f>
        <v>10</v>
      </c>
      <c r="Z34" s="661"/>
    </row>
    <row r="35" spans="1:26" s="182" customFormat="1" ht="21" customHeight="1">
      <c r="A35" s="187">
        <v>9</v>
      </c>
      <c r="B35" s="188" t="s">
        <v>269</v>
      </c>
      <c r="C35" s="661">
        <f t="shared" si="16"/>
        <v>310</v>
      </c>
      <c r="D35" s="661">
        <f t="shared" si="17"/>
        <v>0</v>
      </c>
      <c r="E35" s="661">
        <f t="shared" si="24"/>
        <v>310</v>
      </c>
      <c r="F35" s="661">
        <f t="shared" si="30"/>
        <v>0</v>
      </c>
      <c r="G35" s="661">
        <f t="shared" si="31"/>
        <v>0</v>
      </c>
      <c r="H35" s="661"/>
      <c r="I35" s="661"/>
      <c r="J35" s="661">
        <f t="shared" si="20"/>
        <v>0</v>
      </c>
      <c r="K35" s="661"/>
      <c r="L35" s="661"/>
      <c r="M35" s="661">
        <f t="shared" si="25"/>
        <v>0</v>
      </c>
      <c r="N35" s="661">
        <f t="shared" si="21"/>
        <v>0</v>
      </c>
      <c r="O35" s="661"/>
      <c r="P35" s="661"/>
      <c r="Q35" s="661">
        <f t="shared" si="22"/>
        <v>0</v>
      </c>
      <c r="R35" s="661"/>
      <c r="S35" s="661"/>
      <c r="T35" s="661">
        <f t="shared" si="26"/>
        <v>310</v>
      </c>
      <c r="U35" s="661">
        <f t="shared" si="27"/>
        <v>0</v>
      </c>
      <c r="V35" s="661"/>
      <c r="W35" s="661"/>
      <c r="X35" s="661">
        <f t="shared" si="23"/>
        <v>310</v>
      </c>
      <c r="Y35" s="661">
        <f>+'Chi xã,TT 2025'!L56</f>
        <v>310</v>
      </c>
      <c r="Z35" s="661"/>
    </row>
    <row r="36" spans="1:26" s="182" customFormat="1" ht="21" customHeight="1">
      <c r="A36" s="187">
        <v>10</v>
      </c>
      <c r="B36" s="188" t="s">
        <v>270</v>
      </c>
      <c r="C36" s="661">
        <f t="shared" si="16"/>
        <v>10</v>
      </c>
      <c r="D36" s="661">
        <f t="shared" si="17"/>
        <v>0</v>
      </c>
      <c r="E36" s="661">
        <f t="shared" si="24"/>
        <v>10</v>
      </c>
      <c r="F36" s="661">
        <f t="shared" si="30"/>
        <v>0</v>
      </c>
      <c r="G36" s="661">
        <f t="shared" si="31"/>
        <v>0</v>
      </c>
      <c r="H36" s="661"/>
      <c r="I36" s="661"/>
      <c r="J36" s="661">
        <f t="shared" si="20"/>
        <v>0</v>
      </c>
      <c r="K36" s="661"/>
      <c r="L36" s="661"/>
      <c r="M36" s="661">
        <f t="shared" si="25"/>
        <v>0</v>
      </c>
      <c r="N36" s="661">
        <f t="shared" si="21"/>
        <v>0</v>
      </c>
      <c r="O36" s="661"/>
      <c r="P36" s="661"/>
      <c r="Q36" s="661">
        <f t="shared" si="22"/>
        <v>0</v>
      </c>
      <c r="R36" s="661"/>
      <c r="S36" s="661"/>
      <c r="T36" s="661">
        <f t="shared" si="26"/>
        <v>10</v>
      </c>
      <c r="U36" s="661">
        <f t="shared" si="27"/>
        <v>0</v>
      </c>
      <c r="V36" s="661"/>
      <c r="W36" s="661"/>
      <c r="X36" s="661">
        <f t="shared" si="23"/>
        <v>10</v>
      </c>
      <c r="Y36" s="661">
        <f>+'Chi xã,TT 2025'!M56</f>
        <v>10</v>
      </c>
      <c r="Z36" s="661"/>
    </row>
    <row r="37" spans="1:26" s="182" customFormat="1" ht="21" customHeight="1">
      <c r="A37" s="187">
        <v>11</v>
      </c>
      <c r="B37" s="188" t="s">
        <v>271</v>
      </c>
      <c r="C37" s="661">
        <f t="shared" si="16"/>
        <v>10</v>
      </c>
      <c r="D37" s="661">
        <f t="shared" si="17"/>
        <v>0</v>
      </c>
      <c r="E37" s="661">
        <f t="shared" si="24"/>
        <v>10</v>
      </c>
      <c r="F37" s="661">
        <f t="shared" si="30"/>
        <v>0</v>
      </c>
      <c r="G37" s="661">
        <f t="shared" si="31"/>
        <v>0</v>
      </c>
      <c r="H37" s="661"/>
      <c r="I37" s="661"/>
      <c r="J37" s="661">
        <f t="shared" si="20"/>
        <v>0</v>
      </c>
      <c r="K37" s="661"/>
      <c r="L37" s="661"/>
      <c r="M37" s="661">
        <f t="shared" si="25"/>
        <v>0</v>
      </c>
      <c r="N37" s="661">
        <f t="shared" si="21"/>
        <v>0</v>
      </c>
      <c r="O37" s="661"/>
      <c r="P37" s="661"/>
      <c r="Q37" s="661">
        <f t="shared" si="22"/>
        <v>0</v>
      </c>
      <c r="R37" s="661"/>
      <c r="S37" s="661"/>
      <c r="T37" s="661">
        <f t="shared" si="26"/>
        <v>10</v>
      </c>
      <c r="U37" s="661">
        <f t="shared" si="27"/>
        <v>0</v>
      </c>
      <c r="V37" s="661"/>
      <c r="W37" s="661"/>
      <c r="X37" s="661">
        <f t="shared" si="23"/>
        <v>10</v>
      </c>
      <c r="Y37" s="661">
        <f>+'Chi xã,TT 2025'!N56</f>
        <v>10</v>
      </c>
      <c r="Z37" s="661"/>
    </row>
    <row r="38" spans="1:26" s="182" customFormat="1" ht="21" customHeight="1">
      <c r="A38" s="187">
        <v>12</v>
      </c>
      <c r="B38" s="188" t="s">
        <v>272</v>
      </c>
      <c r="C38" s="661">
        <f t="shared" si="16"/>
        <v>10</v>
      </c>
      <c r="D38" s="661">
        <f t="shared" si="17"/>
        <v>0</v>
      </c>
      <c r="E38" s="661">
        <f t="shared" si="24"/>
        <v>10</v>
      </c>
      <c r="F38" s="661">
        <f t="shared" si="30"/>
        <v>0</v>
      </c>
      <c r="G38" s="661">
        <f t="shared" si="31"/>
        <v>0</v>
      </c>
      <c r="H38" s="661"/>
      <c r="I38" s="661"/>
      <c r="J38" s="661">
        <f t="shared" si="20"/>
        <v>0</v>
      </c>
      <c r="K38" s="661"/>
      <c r="L38" s="661"/>
      <c r="M38" s="661">
        <f t="shared" si="25"/>
        <v>0</v>
      </c>
      <c r="N38" s="661">
        <f t="shared" si="21"/>
        <v>0</v>
      </c>
      <c r="O38" s="661"/>
      <c r="P38" s="661"/>
      <c r="Q38" s="661">
        <f t="shared" si="22"/>
        <v>0</v>
      </c>
      <c r="R38" s="661"/>
      <c r="S38" s="661"/>
      <c r="T38" s="661">
        <f t="shared" si="26"/>
        <v>10</v>
      </c>
      <c r="U38" s="661">
        <f t="shared" si="27"/>
        <v>0</v>
      </c>
      <c r="V38" s="661"/>
      <c r="W38" s="661"/>
      <c r="X38" s="661">
        <f t="shared" si="23"/>
        <v>10</v>
      </c>
      <c r="Y38" s="661">
        <f>+'Chi xã,TT 2025'!O56</f>
        <v>10</v>
      </c>
      <c r="Z38" s="661"/>
    </row>
    <row r="39" spans="1:26" s="182" customFormat="1" ht="21" customHeight="1">
      <c r="A39" s="187">
        <v>13</v>
      </c>
      <c r="B39" s="188" t="s">
        <v>273</v>
      </c>
      <c r="C39" s="661">
        <f t="shared" si="16"/>
        <v>10</v>
      </c>
      <c r="D39" s="661">
        <f t="shared" si="17"/>
        <v>0</v>
      </c>
      <c r="E39" s="661">
        <f t="shared" si="24"/>
        <v>10</v>
      </c>
      <c r="F39" s="661">
        <f t="shared" si="30"/>
        <v>0</v>
      </c>
      <c r="G39" s="661">
        <f t="shared" si="31"/>
        <v>0</v>
      </c>
      <c r="H39" s="661"/>
      <c r="I39" s="661"/>
      <c r="J39" s="661">
        <f t="shared" si="20"/>
        <v>0</v>
      </c>
      <c r="K39" s="661"/>
      <c r="L39" s="661"/>
      <c r="M39" s="661">
        <f t="shared" si="25"/>
        <v>0</v>
      </c>
      <c r="N39" s="661">
        <f t="shared" si="21"/>
        <v>0</v>
      </c>
      <c r="O39" s="661"/>
      <c r="P39" s="661"/>
      <c r="Q39" s="661">
        <f t="shared" si="22"/>
        <v>0</v>
      </c>
      <c r="R39" s="661"/>
      <c r="S39" s="661"/>
      <c r="T39" s="661">
        <f t="shared" si="26"/>
        <v>10</v>
      </c>
      <c r="U39" s="661">
        <f t="shared" si="27"/>
        <v>0</v>
      </c>
      <c r="V39" s="661"/>
      <c r="W39" s="661"/>
      <c r="X39" s="661">
        <f t="shared" si="23"/>
        <v>10</v>
      </c>
      <c r="Y39" s="661">
        <f>+'Chi xã,TT 2025'!P56</f>
        <v>10</v>
      </c>
      <c r="Z39" s="661"/>
    </row>
    <row r="40" spans="1:26" s="182" customFormat="1" ht="21" customHeight="1">
      <c r="A40" s="187">
        <v>14</v>
      </c>
      <c r="B40" s="188" t="s">
        <v>274</v>
      </c>
      <c r="C40" s="661">
        <f t="shared" si="16"/>
        <v>388</v>
      </c>
      <c r="D40" s="661">
        <f t="shared" si="17"/>
        <v>78</v>
      </c>
      <c r="E40" s="661">
        <f t="shared" si="24"/>
        <v>310</v>
      </c>
      <c r="F40" s="661">
        <f t="shared" si="30"/>
        <v>78</v>
      </c>
      <c r="G40" s="661">
        <f t="shared" si="31"/>
        <v>78</v>
      </c>
      <c r="H40" s="661">
        <f>+'Chi xã,TT 2025'!Q41</f>
        <v>78</v>
      </c>
      <c r="I40" s="661"/>
      <c r="J40" s="661">
        <f t="shared" si="20"/>
        <v>0</v>
      </c>
      <c r="K40" s="661"/>
      <c r="L40" s="661"/>
      <c r="M40" s="661">
        <f t="shared" si="25"/>
        <v>0</v>
      </c>
      <c r="N40" s="661">
        <f t="shared" si="21"/>
        <v>0</v>
      </c>
      <c r="O40" s="661"/>
      <c r="P40" s="661"/>
      <c r="Q40" s="661">
        <f t="shared" si="22"/>
        <v>0</v>
      </c>
      <c r="R40" s="661"/>
      <c r="S40" s="661"/>
      <c r="T40" s="661">
        <f t="shared" si="26"/>
        <v>310</v>
      </c>
      <c r="U40" s="661">
        <f t="shared" si="27"/>
        <v>0</v>
      </c>
      <c r="V40" s="661"/>
      <c r="W40" s="661"/>
      <c r="X40" s="661">
        <f t="shared" si="23"/>
        <v>310</v>
      </c>
      <c r="Y40" s="661">
        <f>+'Chi xã,TT 2025'!Q56</f>
        <v>310</v>
      </c>
      <c r="Z40" s="661"/>
    </row>
    <row r="41" spans="1:26" s="182" customFormat="1" ht="21" customHeight="1">
      <c r="A41" s="187">
        <v>15</v>
      </c>
      <c r="B41" s="188" t="s">
        <v>275</v>
      </c>
      <c r="C41" s="661">
        <f t="shared" si="16"/>
        <v>10</v>
      </c>
      <c r="D41" s="661">
        <f t="shared" si="17"/>
        <v>0</v>
      </c>
      <c r="E41" s="661">
        <f t="shared" si="24"/>
        <v>10</v>
      </c>
      <c r="F41" s="661">
        <f t="shared" si="30"/>
        <v>0</v>
      </c>
      <c r="G41" s="661">
        <f t="shared" si="31"/>
        <v>0</v>
      </c>
      <c r="H41" s="661"/>
      <c r="I41" s="661"/>
      <c r="J41" s="661">
        <f t="shared" si="20"/>
        <v>0</v>
      </c>
      <c r="K41" s="661"/>
      <c r="L41" s="661"/>
      <c r="M41" s="661">
        <f t="shared" si="25"/>
        <v>0</v>
      </c>
      <c r="N41" s="661">
        <f t="shared" si="21"/>
        <v>0</v>
      </c>
      <c r="O41" s="661"/>
      <c r="P41" s="661"/>
      <c r="Q41" s="661">
        <f t="shared" si="22"/>
        <v>0</v>
      </c>
      <c r="R41" s="661"/>
      <c r="S41" s="661"/>
      <c r="T41" s="661">
        <f t="shared" si="26"/>
        <v>10</v>
      </c>
      <c r="U41" s="661">
        <f t="shared" si="27"/>
        <v>0</v>
      </c>
      <c r="V41" s="661"/>
      <c r="W41" s="661"/>
      <c r="X41" s="661">
        <f t="shared" si="23"/>
        <v>10</v>
      </c>
      <c r="Y41" s="661">
        <f>+'Chi xã,TT 2025'!R56</f>
        <v>10</v>
      </c>
      <c r="Z41" s="661"/>
    </row>
    <row r="42" spans="1:26" s="182" customFormat="1" ht="21" customHeight="1">
      <c r="A42" s="187">
        <v>16</v>
      </c>
      <c r="B42" s="188" t="s">
        <v>276</v>
      </c>
      <c r="C42" s="661">
        <f t="shared" si="16"/>
        <v>10</v>
      </c>
      <c r="D42" s="661">
        <f t="shared" si="17"/>
        <v>0</v>
      </c>
      <c r="E42" s="661">
        <f t="shared" si="24"/>
        <v>10</v>
      </c>
      <c r="F42" s="661">
        <f t="shared" si="30"/>
        <v>0</v>
      </c>
      <c r="G42" s="661">
        <f t="shared" si="31"/>
        <v>0</v>
      </c>
      <c r="H42" s="661"/>
      <c r="I42" s="661"/>
      <c r="J42" s="661">
        <f t="shared" si="20"/>
        <v>0</v>
      </c>
      <c r="K42" s="661"/>
      <c r="L42" s="661"/>
      <c r="M42" s="661">
        <f t="shared" si="25"/>
        <v>0</v>
      </c>
      <c r="N42" s="661">
        <f t="shared" si="21"/>
        <v>0</v>
      </c>
      <c r="O42" s="661"/>
      <c r="P42" s="661"/>
      <c r="Q42" s="661">
        <f t="shared" si="22"/>
        <v>0</v>
      </c>
      <c r="R42" s="661"/>
      <c r="S42" s="661"/>
      <c r="T42" s="661">
        <f t="shared" si="26"/>
        <v>10</v>
      </c>
      <c r="U42" s="661">
        <f t="shared" si="27"/>
        <v>0</v>
      </c>
      <c r="V42" s="661"/>
      <c r="W42" s="661"/>
      <c r="X42" s="661">
        <f t="shared" si="23"/>
        <v>10</v>
      </c>
      <c r="Y42" s="661">
        <f>+'Chi xã,TT 2025'!S56</f>
        <v>10</v>
      </c>
      <c r="Z42" s="661"/>
    </row>
    <row r="43" spans="1:26" s="182" customFormat="1" ht="21" customHeight="1">
      <c r="A43" s="187">
        <v>17</v>
      </c>
      <c r="B43" s="188" t="s">
        <v>277</v>
      </c>
      <c r="C43" s="661">
        <f t="shared" si="16"/>
        <v>10</v>
      </c>
      <c r="D43" s="661">
        <f t="shared" si="17"/>
        <v>0</v>
      </c>
      <c r="E43" s="661">
        <f t="shared" si="24"/>
        <v>10</v>
      </c>
      <c r="F43" s="661">
        <f t="shared" si="30"/>
        <v>0</v>
      </c>
      <c r="G43" s="661">
        <f t="shared" si="31"/>
        <v>0</v>
      </c>
      <c r="H43" s="661"/>
      <c r="I43" s="661"/>
      <c r="J43" s="661">
        <f t="shared" si="20"/>
        <v>0</v>
      </c>
      <c r="K43" s="661"/>
      <c r="L43" s="661"/>
      <c r="M43" s="661">
        <f t="shared" si="25"/>
        <v>0</v>
      </c>
      <c r="N43" s="661">
        <f t="shared" si="21"/>
        <v>0</v>
      </c>
      <c r="O43" s="661"/>
      <c r="P43" s="661"/>
      <c r="Q43" s="661">
        <f t="shared" si="22"/>
        <v>0</v>
      </c>
      <c r="R43" s="661"/>
      <c r="S43" s="661"/>
      <c r="T43" s="661">
        <f t="shared" si="26"/>
        <v>10</v>
      </c>
      <c r="U43" s="661">
        <f t="shared" si="27"/>
        <v>0</v>
      </c>
      <c r="V43" s="661"/>
      <c r="W43" s="661"/>
      <c r="X43" s="661">
        <f t="shared" si="23"/>
        <v>10</v>
      </c>
      <c r="Y43" s="661">
        <f>+'Chi xã,TT 2025'!T56</f>
        <v>10</v>
      </c>
      <c r="Z43" s="661"/>
    </row>
    <row r="44" spans="1:26" s="182" customFormat="1" ht="21" customHeight="1">
      <c r="A44" s="187">
        <v>18</v>
      </c>
      <c r="B44" s="188" t="s">
        <v>278</v>
      </c>
      <c r="C44" s="661">
        <f>D44+E44</f>
        <v>110</v>
      </c>
      <c r="D44" s="661">
        <f t="shared" si="17"/>
        <v>0</v>
      </c>
      <c r="E44" s="661">
        <f t="shared" si="24"/>
        <v>110</v>
      </c>
      <c r="F44" s="661">
        <f t="shared" si="30"/>
        <v>0</v>
      </c>
      <c r="G44" s="661">
        <f t="shared" si="31"/>
        <v>0</v>
      </c>
      <c r="H44" s="661"/>
      <c r="I44" s="661"/>
      <c r="J44" s="661">
        <f t="shared" si="20"/>
        <v>0</v>
      </c>
      <c r="K44" s="661"/>
      <c r="L44" s="661"/>
      <c r="M44" s="661">
        <f t="shared" si="25"/>
        <v>0</v>
      </c>
      <c r="N44" s="661">
        <f t="shared" si="21"/>
        <v>0</v>
      </c>
      <c r="O44" s="661"/>
      <c r="P44" s="661"/>
      <c r="Q44" s="661">
        <f t="shared" si="22"/>
        <v>0</v>
      </c>
      <c r="R44" s="661"/>
      <c r="S44" s="661"/>
      <c r="T44" s="661">
        <f t="shared" si="26"/>
        <v>110</v>
      </c>
      <c r="U44" s="661">
        <f t="shared" si="27"/>
        <v>0</v>
      </c>
      <c r="V44" s="661"/>
      <c r="W44" s="661"/>
      <c r="X44" s="661">
        <f t="shared" si="23"/>
        <v>110</v>
      </c>
      <c r="Y44" s="661">
        <f>+'Chi xã,TT 2025'!U56</f>
        <v>110</v>
      </c>
      <c r="Z44" s="661"/>
    </row>
    <row r="45" spans="1:26" s="182" customFormat="1" ht="21" customHeight="1" thickBot="1">
      <c r="A45" s="187">
        <v>19</v>
      </c>
      <c r="B45" s="189" t="s">
        <v>279</v>
      </c>
      <c r="C45" s="661">
        <f t="shared" si="16"/>
        <v>10</v>
      </c>
      <c r="D45" s="661">
        <f t="shared" si="17"/>
        <v>0</v>
      </c>
      <c r="E45" s="661">
        <f t="shared" si="24"/>
        <v>10</v>
      </c>
      <c r="F45" s="661">
        <f t="shared" si="30"/>
        <v>0</v>
      </c>
      <c r="G45" s="661">
        <f t="shared" si="31"/>
        <v>0</v>
      </c>
      <c r="H45" s="661"/>
      <c r="I45" s="661"/>
      <c r="J45" s="661">
        <f t="shared" si="20"/>
        <v>0</v>
      </c>
      <c r="K45" s="661"/>
      <c r="L45" s="661"/>
      <c r="M45" s="661">
        <f t="shared" si="25"/>
        <v>0</v>
      </c>
      <c r="N45" s="661">
        <f t="shared" si="21"/>
        <v>0</v>
      </c>
      <c r="O45" s="661"/>
      <c r="P45" s="661"/>
      <c r="Q45" s="661">
        <f t="shared" si="22"/>
        <v>0</v>
      </c>
      <c r="R45" s="661"/>
      <c r="S45" s="661"/>
      <c r="T45" s="661">
        <f t="shared" si="26"/>
        <v>10</v>
      </c>
      <c r="U45" s="661">
        <f t="shared" si="27"/>
        <v>0</v>
      </c>
      <c r="V45" s="661"/>
      <c r="W45" s="661"/>
      <c r="X45" s="661">
        <f t="shared" si="23"/>
        <v>10</v>
      </c>
      <c r="Y45" s="661">
        <f>+'Chi xã,TT 2025'!V56</f>
        <v>10</v>
      </c>
      <c r="Z45" s="661"/>
    </row>
    <row r="46" spans="1:26" ht="22.5" customHeight="1" thickTop="1">
      <c r="A46" s="3"/>
      <c r="B46" s="190"/>
      <c r="C46" s="3">
        <f t="shared" si="16"/>
        <v>0</v>
      </c>
      <c r="D46" s="3">
        <f>D14-'Chi 2025'!C81</f>
        <v>0</v>
      </c>
      <c r="E46" s="3">
        <f>E14-'Chi 2025'!C82</f>
        <v>0</v>
      </c>
      <c r="F46" s="3"/>
      <c r="G46" s="3"/>
      <c r="H46" s="3"/>
      <c r="I46" s="3"/>
      <c r="J46" s="3"/>
      <c r="K46" s="3"/>
      <c r="L46" s="3"/>
      <c r="M46" s="3"/>
      <c r="N46" s="3"/>
      <c r="O46" s="3"/>
      <c r="P46" s="3"/>
      <c r="Q46" s="3"/>
      <c r="R46" s="3"/>
      <c r="S46" s="3"/>
      <c r="T46" s="3"/>
      <c r="U46" s="3"/>
      <c r="V46" s="3"/>
      <c r="W46" s="3"/>
      <c r="X46" s="3"/>
      <c r="Y46" s="3"/>
      <c r="Z46" s="3"/>
    </row>
    <row r="47" spans="1:26" ht="18.75">
      <c r="A47" s="3"/>
      <c r="B47" s="190"/>
      <c r="C47" s="3"/>
      <c r="E47" s="3"/>
      <c r="F47" s="3"/>
      <c r="G47" s="3"/>
      <c r="H47" s="3"/>
      <c r="I47" s="3"/>
      <c r="J47" s="3"/>
      <c r="K47" s="3"/>
      <c r="L47" s="3"/>
      <c r="M47" s="3"/>
      <c r="N47" s="3"/>
      <c r="O47" s="3"/>
      <c r="P47" s="3"/>
      <c r="Q47" s="3"/>
      <c r="R47" s="3"/>
      <c r="S47" s="3"/>
      <c r="T47" s="3"/>
      <c r="U47" s="3"/>
      <c r="V47" s="3"/>
      <c r="W47" s="3"/>
      <c r="X47" s="3"/>
      <c r="Y47" s="3"/>
      <c r="Z47" s="3"/>
    </row>
    <row r="48" spans="1:26" ht="18.75">
      <c r="A48" s="3"/>
      <c r="B48" s="190"/>
      <c r="C48" s="3"/>
      <c r="D48" s="3"/>
      <c r="E48" s="3"/>
      <c r="F48" s="3"/>
      <c r="G48" s="3"/>
      <c r="H48" s="3"/>
      <c r="I48" s="3"/>
      <c r="J48" s="3"/>
      <c r="K48" s="3"/>
      <c r="L48" s="3"/>
      <c r="M48" s="3"/>
      <c r="N48" s="3"/>
      <c r="O48" s="3"/>
      <c r="P48" s="3"/>
      <c r="Q48" s="3"/>
      <c r="R48" s="3"/>
      <c r="S48" s="3"/>
      <c r="T48" s="3"/>
      <c r="U48" s="3"/>
      <c r="V48" s="3"/>
      <c r="W48" s="3"/>
      <c r="X48" s="3"/>
      <c r="Y48" s="3"/>
      <c r="Z48" s="3"/>
    </row>
    <row r="49" spans="1:26" ht="18.75">
      <c r="A49" s="3"/>
      <c r="B49" s="190"/>
      <c r="C49" s="3"/>
      <c r="D49" s="3"/>
      <c r="E49" s="3"/>
      <c r="F49" s="3"/>
      <c r="G49" s="3"/>
      <c r="H49" s="3"/>
      <c r="I49" s="3"/>
      <c r="J49" s="3"/>
      <c r="K49" s="3"/>
      <c r="L49" s="3"/>
      <c r="M49" s="3"/>
      <c r="N49" s="3"/>
      <c r="O49" s="3"/>
      <c r="P49" s="3"/>
      <c r="Q49" s="3"/>
      <c r="R49" s="3"/>
      <c r="S49" s="3"/>
      <c r="T49" s="3"/>
      <c r="U49" s="3"/>
      <c r="V49" s="3"/>
      <c r="W49" s="3"/>
      <c r="X49" s="3"/>
      <c r="Y49" s="3"/>
      <c r="Z49" s="3"/>
    </row>
    <row r="50" spans="1:26" ht="18.75">
      <c r="A50" s="3"/>
      <c r="B50" s="190"/>
      <c r="C50" s="3"/>
      <c r="D50" s="3"/>
      <c r="E50" s="3"/>
      <c r="F50" s="3"/>
      <c r="G50" s="3"/>
      <c r="H50" s="3"/>
      <c r="I50" s="3"/>
      <c r="J50" s="3"/>
      <c r="K50" s="3"/>
      <c r="L50" s="3"/>
      <c r="M50" s="3"/>
      <c r="N50" s="3"/>
      <c r="O50" s="3"/>
      <c r="P50" s="3"/>
      <c r="Q50" s="3"/>
      <c r="R50" s="3"/>
      <c r="S50" s="3"/>
      <c r="T50" s="3"/>
      <c r="U50" s="3"/>
      <c r="V50" s="3"/>
      <c r="W50" s="3"/>
      <c r="X50" s="3"/>
      <c r="Y50" s="3"/>
      <c r="Z50" s="3"/>
    </row>
  </sheetData>
  <mergeCells count="41">
    <mergeCell ref="K7:L7"/>
    <mergeCell ref="F8:L8"/>
    <mergeCell ref="L10:L12"/>
    <mergeCell ref="T1:Z1"/>
    <mergeCell ref="R7:S7"/>
    <mergeCell ref="T7:Z7"/>
    <mergeCell ref="X10:X12"/>
    <mergeCell ref="T8:Z8"/>
    <mergeCell ref="A4:Z4"/>
    <mergeCell ref="Z10:Z12"/>
    <mergeCell ref="A8:A12"/>
    <mergeCell ref="B8:B12"/>
    <mergeCell ref="C8:C12"/>
    <mergeCell ref="U10:U12"/>
    <mergeCell ref="K10:K12"/>
    <mergeCell ref="M8:S8"/>
    <mergeCell ref="D8:E8"/>
    <mergeCell ref="W10:W12"/>
    <mergeCell ref="U9:W9"/>
    <mergeCell ref="J9:L9"/>
    <mergeCell ref="Q10:Q12"/>
    <mergeCell ref="S10:S12"/>
    <mergeCell ref="G10:G12"/>
    <mergeCell ref="H10:H12"/>
    <mergeCell ref="J10:J12"/>
    <mergeCell ref="O10:O12"/>
    <mergeCell ref="N10:N12"/>
    <mergeCell ref="T9:T12"/>
    <mergeCell ref="N9:P9"/>
    <mergeCell ref="P10:P12"/>
    <mergeCell ref="Q9:S9"/>
    <mergeCell ref="M9:M12"/>
    <mergeCell ref="X9:Z9"/>
    <mergeCell ref="R10:R12"/>
    <mergeCell ref="D9:D12"/>
    <mergeCell ref="E9:E12"/>
    <mergeCell ref="F9:F12"/>
    <mergeCell ref="I10:I12"/>
    <mergeCell ref="G9:I9"/>
    <mergeCell ref="Y10:Y12"/>
    <mergeCell ref="V10:V12"/>
  </mergeCells>
  <phoneticPr fontId="15" type="noConversion"/>
  <printOptions horizontalCentered="1"/>
  <pageMargins left="0.3" right="0.22" top="0.35" bottom="0.35" header="0.2" footer="0.16"/>
  <pageSetup paperSize="9" scale="55" fitToHeight="0" orientation="landscape" r:id="rId1"/>
  <headerFooter alignWithMargins="0">
    <oddFooter xml:space="preserve">&amp;C&amp;".VnTime,Italic"&amp;8
</oddFooter>
  </headerFooter>
  <colBreaks count="1" manualBreakCount="1">
    <brk id="2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tabColor rgb="FFFFFF00"/>
    <pageSetUpPr fitToPage="1"/>
  </sheetPr>
  <dimension ref="A1:W44"/>
  <sheetViews>
    <sheetView view="pageBreakPreview" zoomScaleNormal="100" zoomScaleSheetLayoutView="100" workbookViewId="0">
      <selection activeCell="H17" sqref="H17"/>
    </sheetView>
  </sheetViews>
  <sheetFormatPr defaultColWidth="9" defaultRowHeight="15.75"/>
  <cols>
    <col min="1" max="1" width="8.33203125" style="2" customWidth="1"/>
    <col min="2" max="2" width="19.6640625" style="2" customWidth="1"/>
    <col min="3" max="3" width="9.77734375" style="2" customWidth="1"/>
    <col min="4" max="4" width="12.21875" style="2" customWidth="1"/>
    <col min="5" max="5" width="11.77734375" style="2" customWidth="1"/>
    <col min="6" max="6" width="10" style="2" customWidth="1"/>
    <col min="7" max="7" width="18.33203125" style="2" customWidth="1"/>
    <col min="8" max="8" width="12.109375" style="2" customWidth="1"/>
    <col min="9" max="9" width="11.6640625" style="2" customWidth="1"/>
    <col min="10" max="10" width="9" style="2"/>
    <col min="11" max="11" width="10" style="2" bestFit="1" customWidth="1"/>
    <col min="12" max="16384" width="9" style="2"/>
  </cols>
  <sheetData>
    <row r="1" spans="1:11" ht="21" customHeight="1">
      <c r="A1" s="116"/>
      <c r="B1" s="116"/>
      <c r="C1" s="117"/>
      <c r="D1" s="117"/>
      <c r="E1" s="117"/>
      <c r="F1" s="117"/>
      <c r="G1" s="117"/>
      <c r="H1" s="117"/>
      <c r="I1" s="595" t="s">
        <v>165</v>
      </c>
      <c r="J1" s="118"/>
      <c r="K1" s="118"/>
    </row>
    <row r="2" spans="1:11" s="6" customFormat="1" ht="27" customHeight="1">
      <c r="A2" s="119" t="s">
        <v>123</v>
      </c>
      <c r="B2" s="119"/>
      <c r="C2" s="120"/>
      <c r="D2" s="120"/>
      <c r="E2" s="120"/>
      <c r="F2" s="120"/>
      <c r="G2" s="120"/>
      <c r="H2" s="120"/>
      <c r="I2" s="120"/>
      <c r="J2" s="121"/>
      <c r="K2" s="121"/>
    </row>
    <row r="3" spans="1:11" s="6" customFormat="1" ht="21" customHeight="1">
      <c r="A3" s="821" t="s">
        <v>857</v>
      </c>
      <c r="B3" s="821"/>
      <c r="C3" s="821"/>
      <c r="D3" s="821"/>
      <c r="E3" s="821"/>
      <c r="F3" s="821"/>
      <c r="G3" s="821"/>
      <c r="H3" s="821"/>
      <c r="I3" s="821"/>
      <c r="J3" s="121"/>
      <c r="K3" s="121"/>
    </row>
    <row r="4" spans="1:11" ht="21.75" customHeight="1">
      <c r="A4" s="122" t="str">
        <f>'PL15'!A3</f>
        <v xml:space="preserve"> Biểu kèm theo Báo cáo số 99/BC-BKTXH ngày 12/12/2024 của Ban KT-XH,HĐND huyện Tuần Giáo</v>
      </c>
      <c r="B4" s="123"/>
      <c r="C4" s="117"/>
      <c r="D4" s="117"/>
      <c r="E4" s="117"/>
      <c r="F4" s="117"/>
      <c r="G4" s="117"/>
      <c r="H4" s="117"/>
      <c r="I4" s="117"/>
      <c r="J4" s="118"/>
      <c r="K4" s="118"/>
    </row>
    <row r="5" spans="1:11" ht="32.25" customHeight="1">
      <c r="A5" s="124"/>
      <c r="B5" s="124"/>
      <c r="C5" s="125"/>
      <c r="D5" s="125"/>
      <c r="E5" s="125"/>
      <c r="F5" s="125"/>
      <c r="G5" s="125"/>
      <c r="H5" s="125"/>
      <c r="I5" s="126" t="s">
        <v>87</v>
      </c>
      <c r="J5" s="118"/>
      <c r="K5" s="118"/>
    </row>
    <row r="6" spans="1:11" s="3" customFormat="1" ht="22.5" customHeight="1">
      <c r="A6" s="822" t="s">
        <v>58</v>
      </c>
      <c r="B6" s="825" t="s">
        <v>29</v>
      </c>
      <c r="C6" s="815" t="s">
        <v>52</v>
      </c>
      <c r="D6" s="815" t="s">
        <v>53</v>
      </c>
      <c r="E6" s="815" t="s">
        <v>50</v>
      </c>
      <c r="F6" s="815"/>
      <c r="G6" s="815"/>
      <c r="H6" s="815" t="s">
        <v>55</v>
      </c>
      <c r="I6" s="815" t="s">
        <v>56</v>
      </c>
      <c r="J6" s="125"/>
      <c r="K6" s="125"/>
    </row>
    <row r="7" spans="1:11" s="3" customFormat="1" ht="22.5" customHeight="1">
      <c r="A7" s="823"/>
      <c r="B7" s="825"/>
      <c r="C7" s="815"/>
      <c r="D7" s="815"/>
      <c r="E7" s="815" t="s">
        <v>54</v>
      </c>
      <c r="F7" s="815" t="s">
        <v>65</v>
      </c>
      <c r="G7" s="820"/>
      <c r="H7" s="815"/>
      <c r="I7" s="815"/>
      <c r="J7" s="125"/>
      <c r="K7" s="125"/>
    </row>
    <row r="8" spans="1:11" s="3" customFormat="1" ht="13.5" customHeight="1">
      <c r="A8" s="823"/>
      <c r="B8" s="825"/>
      <c r="C8" s="815"/>
      <c r="D8" s="815"/>
      <c r="E8" s="815"/>
      <c r="F8" s="815" t="s">
        <v>66</v>
      </c>
      <c r="G8" s="815" t="s">
        <v>121</v>
      </c>
      <c r="H8" s="815"/>
      <c r="I8" s="815"/>
      <c r="J8" s="125"/>
      <c r="K8" s="125"/>
    </row>
    <row r="9" spans="1:11" s="3" customFormat="1" ht="13.5" customHeight="1">
      <c r="A9" s="823"/>
      <c r="B9" s="825"/>
      <c r="C9" s="815"/>
      <c r="D9" s="815"/>
      <c r="E9" s="815"/>
      <c r="F9" s="815"/>
      <c r="G9" s="820"/>
      <c r="H9" s="815"/>
      <c r="I9" s="815"/>
      <c r="J9" s="125"/>
      <c r="K9" s="125"/>
    </row>
    <row r="10" spans="1:11" s="3" customFormat="1" ht="13.5" customHeight="1">
      <c r="A10" s="824"/>
      <c r="B10" s="825"/>
      <c r="C10" s="815"/>
      <c r="D10" s="815"/>
      <c r="E10" s="815"/>
      <c r="F10" s="815"/>
      <c r="G10" s="820"/>
      <c r="H10" s="815"/>
      <c r="I10" s="815"/>
      <c r="J10" s="125"/>
      <c r="K10" s="125"/>
    </row>
    <row r="11" spans="1:11" s="3" customFormat="1" ht="18.75" customHeight="1">
      <c r="A11" s="4" t="s">
        <v>8</v>
      </c>
      <c r="B11" s="4" t="s">
        <v>9</v>
      </c>
      <c r="C11" s="4">
        <v>1</v>
      </c>
      <c r="D11" s="4" t="s">
        <v>122</v>
      </c>
      <c r="E11" s="4">
        <v>3</v>
      </c>
      <c r="F11" s="4">
        <f>E11+1</f>
        <v>4</v>
      </c>
      <c r="G11" s="4">
        <f>F11+1</f>
        <v>5</v>
      </c>
      <c r="H11" s="4">
        <f>G11+1</f>
        <v>6</v>
      </c>
      <c r="I11" s="4" t="s">
        <v>207</v>
      </c>
      <c r="J11" s="125"/>
      <c r="K11" s="125"/>
    </row>
    <row r="12" spans="1:11" s="3" customFormat="1" ht="27.75" customHeight="1">
      <c r="A12" s="596"/>
      <c r="B12" s="644" t="s">
        <v>28</v>
      </c>
      <c r="C12" s="63">
        <f t="shared" ref="C12:G12" si="0">SUM(C13:C31)</f>
        <v>4525</v>
      </c>
      <c r="D12" s="63">
        <f t="shared" si="0"/>
        <v>4525</v>
      </c>
      <c r="E12" s="63">
        <f t="shared" si="0"/>
        <v>1285</v>
      </c>
      <c r="F12" s="63">
        <f t="shared" si="0"/>
        <v>18000</v>
      </c>
      <c r="G12" s="63">
        <f t="shared" si="0"/>
        <v>3240</v>
      </c>
      <c r="H12" s="63">
        <f>SUM(H13:H31)</f>
        <v>135407</v>
      </c>
      <c r="I12" s="63">
        <f>SUM(I13:I31)</f>
        <v>139932</v>
      </c>
      <c r="J12" s="127">
        <f>+I12-'Chi xã,TT 2025'!C18-'Chi xã,TT 2025'!C20-'Chi xã,TT 2025'!C36</f>
        <v>0</v>
      </c>
      <c r="K12" s="128"/>
    </row>
    <row r="13" spans="1:11" s="3" customFormat="1" ht="25.5" customHeight="1">
      <c r="A13" s="87">
        <v>1</v>
      </c>
      <c r="B13" s="88" t="s">
        <v>262</v>
      </c>
      <c r="C13" s="62">
        <f>+D13</f>
        <v>80</v>
      </c>
      <c r="D13" s="62">
        <f>+E13+G13</f>
        <v>80</v>
      </c>
      <c r="E13" s="62">
        <f>+'PL31-NSX'!H10</f>
        <v>80</v>
      </c>
      <c r="F13" s="89"/>
      <c r="G13" s="62"/>
      <c r="H13" s="62">
        <f>'Chi xã,TT 2025'!D15</f>
        <v>9700</v>
      </c>
      <c r="I13" s="62">
        <f>D13+H13</f>
        <v>9780</v>
      </c>
      <c r="J13" s="128"/>
      <c r="K13" s="125"/>
    </row>
    <row r="14" spans="1:11" s="3" customFormat="1" ht="25.5" customHeight="1">
      <c r="A14" s="87">
        <v>2</v>
      </c>
      <c r="B14" s="88" t="s">
        <v>263</v>
      </c>
      <c r="C14" s="62">
        <f t="shared" ref="C14:C31" si="1">+D14</f>
        <v>18</v>
      </c>
      <c r="D14" s="62">
        <f t="shared" ref="D14:D31" si="2">+E14+G14</f>
        <v>18</v>
      </c>
      <c r="E14" s="62">
        <f>+'PL31-NSX'!H11</f>
        <v>18</v>
      </c>
      <c r="F14" s="89"/>
      <c r="G14" s="62"/>
      <c r="H14" s="62">
        <f>'Chi xã,TT 2025'!E15</f>
        <v>6850</v>
      </c>
      <c r="I14" s="62">
        <f t="shared" ref="I14:I31" si="3">D14+H14</f>
        <v>6868</v>
      </c>
      <c r="J14" s="125"/>
      <c r="K14" s="125"/>
    </row>
    <row r="15" spans="1:11" s="3" customFormat="1" ht="25.5" customHeight="1">
      <c r="A15" s="87">
        <v>3</v>
      </c>
      <c r="B15" s="88" t="s">
        <v>264</v>
      </c>
      <c r="C15" s="62">
        <f t="shared" si="1"/>
        <v>45</v>
      </c>
      <c r="D15" s="62">
        <f t="shared" si="2"/>
        <v>45</v>
      </c>
      <c r="E15" s="62">
        <f>+'PL31-NSX'!H12</f>
        <v>45</v>
      </c>
      <c r="F15" s="89"/>
      <c r="G15" s="62"/>
      <c r="H15" s="62">
        <f>'Chi xã,TT 2025'!F15</f>
        <v>6475</v>
      </c>
      <c r="I15" s="62">
        <f t="shared" si="3"/>
        <v>6520</v>
      </c>
      <c r="J15" s="125"/>
      <c r="K15" s="125"/>
    </row>
    <row r="16" spans="1:11" s="3" customFormat="1" ht="25.5" customHeight="1">
      <c r="A16" s="87">
        <v>4</v>
      </c>
      <c r="B16" s="88" t="s">
        <v>265</v>
      </c>
      <c r="C16" s="62">
        <f t="shared" si="1"/>
        <v>50</v>
      </c>
      <c r="D16" s="62">
        <f t="shared" si="2"/>
        <v>50</v>
      </c>
      <c r="E16" s="62">
        <f>+'PL31-NSX'!H13</f>
        <v>50</v>
      </c>
      <c r="F16" s="89"/>
      <c r="G16" s="62"/>
      <c r="H16" s="62">
        <f>'Chi xã,TT 2025'!G15</f>
        <v>8739</v>
      </c>
      <c r="I16" s="62">
        <f t="shared" si="3"/>
        <v>8789</v>
      </c>
      <c r="J16" s="125"/>
      <c r="K16" s="125"/>
    </row>
    <row r="17" spans="1:21" s="3" customFormat="1" ht="25.5" customHeight="1">
      <c r="A17" s="87">
        <v>5</v>
      </c>
      <c r="B17" s="88" t="s">
        <v>266</v>
      </c>
      <c r="C17" s="62">
        <f t="shared" si="1"/>
        <v>35</v>
      </c>
      <c r="D17" s="62">
        <f t="shared" si="2"/>
        <v>35</v>
      </c>
      <c r="E17" s="62">
        <f>+'PL31-NSX'!H14</f>
        <v>35</v>
      </c>
      <c r="F17" s="89"/>
      <c r="G17" s="62"/>
      <c r="H17" s="62">
        <f>'Chi xã,TT 2025'!H15</f>
        <v>6864</v>
      </c>
      <c r="I17" s="62">
        <f t="shared" si="3"/>
        <v>6899</v>
      </c>
      <c r="J17" s="125"/>
      <c r="K17" s="125"/>
    </row>
    <row r="18" spans="1:21" s="3" customFormat="1" ht="25.5" customHeight="1">
      <c r="A18" s="87">
        <v>6</v>
      </c>
      <c r="B18" s="88" t="s">
        <v>578</v>
      </c>
      <c r="C18" s="62">
        <f t="shared" si="1"/>
        <v>3945</v>
      </c>
      <c r="D18" s="62">
        <f t="shared" si="2"/>
        <v>3945</v>
      </c>
      <c r="E18" s="62">
        <f>+'PL31-NSX'!H15-G18</f>
        <v>705</v>
      </c>
      <c r="F18" s="89">
        <f>+'Thu 2024'!F30</f>
        <v>18000</v>
      </c>
      <c r="G18" s="62">
        <f>F18*18%</f>
        <v>3240</v>
      </c>
      <c r="H18" s="62">
        <f>'Chi xã,TT 2025'!I15</f>
        <v>7557</v>
      </c>
      <c r="I18" s="62">
        <f t="shared" si="3"/>
        <v>11502</v>
      </c>
      <c r="J18" s="125"/>
      <c r="K18" s="125"/>
    </row>
    <row r="19" spans="1:21" s="3" customFormat="1" ht="25.5" customHeight="1">
      <c r="A19" s="87">
        <v>7</v>
      </c>
      <c r="B19" s="88" t="s">
        <v>267</v>
      </c>
      <c r="C19" s="62">
        <f t="shared" si="1"/>
        <v>65</v>
      </c>
      <c r="D19" s="62">
        <f t="shared" si="2"/>
        <v>65</v>
      </c>
      <c r="E19" s="62">
        <f>+'PL31-NSX'!H16</f>
        <v>65</v>
      </c>
      <c r="F19" s="89"/>
      <c r="G19" s="62"/>
      <c r="H19" s="62">
        <f>'Chi xã,TT 2025'!J15</f>
        <v>7674</v>
      </c>
      <c r="I19" s="62">
        <f t="shared" si="3"/>
        <v>7739</v>
      </c>
      <c r="J19" s="125"/>
      <c r="K19" s="125"/>
    </row>
    <row r="20" spans="1:21" s="3" customFormat="1" ht="25.5" customHeight="1">
      <c r="A20" s="87">
        <v>8</v>
      </c>
      <c r="B20" s="88" t="s">
        <v>268</v>
      </c>
      <c r="C20" s="62">
        <f t="shared" si="1"/>
        <v>25</v>
      </c>
      <c r="D20" s="62">
        <f t="shared" si="2"/>
        <v>25</v>
      </c>
      <c r="E20" s="62">
        <f>+'PL31-NSX'!H17</f>
        <v>25</v>
      </c>
      <c r="F20" s="89"/>
      <c r="G20" s="62"/>
      <c r="H20" s="62">
        <f>'Chi xã,TT 2025'!K15</f>
        <v>7571</v>
      </c>
      <c r="I20" s="62">
        <f t="shared" si="3"/>
        <v>7596</v>
      </c>
      <c r="J20" s="125"/>
      <c r="K20" s="125"/>
    </row>
    <row r="21" spans="1:21" s="3" customFormat="1" ht="25.5" customHeight="1">
      <c r="A21" s="87">
        <v>9</v>
      </c>
      <c r="B21" s="88" t="s">
        <v>269</v>
      </c>
      <c r="C21" s="62">
        <f t="shared" si="1"/>
        <v>35</v>
      </c>
      <c r="D21" s="62">
        <f t="shared" si="2"/>
        <v>35</v>
      </c>
      <c r="E21" s="62">
        <f>+'PL31-NSX'!H18</f>
        <v>35</v>
      </c>
      <c r="F21" s="89"/>
      <c r="G21" s="62"/>
      <c r="H21" s="62">
        <f>'Chi xã,TT 2025'!L15</f>
        <v>7575</v>
      </c>
      <c r="I21" s="62">
        <f t="shared" si="3"/>
        <v>7610</v>
      </c>
      <c r="J21" s="125"/>
      <c r="K21" s="125"/>
    </row>
    <row r="22" spans="1:21" s="3" customFormat="1" ht="25.5" customHeight="1">
      <c r="A22" s="87">
        <v>10</v>
      </c>
      <c r="B22" s="88" t="s">
        <v>270</v>
      </c>
      <c r="C22" s="62">
        <f t="shared" si="1"/>
        <v>15</v>
      </c>
      <c r="D22" s="62">
        <f t="shared" si="2"/>
        <v>15</v>
      </c>
      <c r="E22" s="62">
        <f>+'PL31-NSX'!H19</f>
        <v>15</v>
      </c>
      <c r="F22" s="89"/>
      <c r="G22" s="62"/>
      <c r="H22" s="62">
        <f>'Chi xã,TT 2025'!M15</f>
        <v>6739</v>
      </c>
      <c r="I22" s="62">
        <f t="shared" si="3"/>
        <v>6754</v>
      </c>
      <c r="J22" s="125"/>
      <c r="K22" s="125"/>
    </row>
    <row r="23" spans="1:21" s="3" customFormat="1" ht="25.5" customHeight="1">
      <c r="A23" s="87">
        <v>11</v>
      </c>
      <c r="B23" s="88" t="s">
        <v>271</v>
      </c>
      <c r="C23" s="62">
        <f t="shared" si="1"/>
        <v>25</v>
      </c>
      <c r="D23" s="62">
        <f t="shared" si="2"/>
        <v>25</v>
      </c>
      <c r="E23" s="62">
        <f>+'PL31-NSX'!H20</f>
        <v>25</v>
      </c>
      <c r="F23" s="89"/>
      <c r="G23" s="62"/>
      <c r="H23" s="62">
        <f>'Chi xã,TT 2025'!N15</f>
        <v>6301</v>
      </c>
      <c r="I23" s="62">
        <f t="shared" si="3"/>
        <v>6326</v>
      </c>
      <c r="J23" s="125"/>
      <c r="K23" s="125"/>
    </row>
    <row r="24" spans="1:21" s="3" customFormat="1" ht="25.5" customHeight="1">
      <c r="A24" s="87">
        <v>12</v>
      </c>
      <c r="B24" s="88" t="s">
        <v>272</v>
      </c>
      <c r="C24" s="62">
        <f t="shared" si="1"/>
        <v>17</v>
      </c>
      <c r="D24" s="62">
        <f t="shared" si="2"/>
        <v>17</v>
      </c>
      <c r="E24" s="62">
        <f>+'PL31-NSX'!H21</f>
        <v>17</v>
      </c>
      <c r="F24" s="89"/>
      <c r="G24" s="62"/>
      <c r="H24" s="62">
        <f>'Chi xã,TT 2025'!O15</f>
        <v>6237</v>
      </c>
      <c r="I24" s="62">
        <f t="shared" si="3"/>
        <v>6254</v>
      </c>
      <c r="J24" s="125"/>
      <c r="K24" s="125"/>
    </row>
    <row r="25" spans="1:21" s="3" customFormat="1" ht="25.5" customHeight="1">
      <c r="A25" s="87">
        <v>13</v>
      </c>
      <c r="B25" s="88" t="s">
        <v>273</v>
      </c>
      <c r="C25" s="62">
        <f t="shared" si="1"/>
        <v>15</v>
      </c>
      <c r="D25" s="62">
        <f t="shared" si="2"/>
        <v>15</v>
      </c>
      <c r="E25" s="62">
        <f>+'PL31-NSX'!H22</f>
        <v>15</v>
      </c>
      <c r="F25" s="89"/>
      <c r="G25" s="62"/>
      <c r="H25" s="62">
        <f>'Chi xã,TT 2025'!P15</f>
        <v>6656</v>
      </c>
      <c r="I25" s="62">
        <f t="shared" si="3"/>
        <v>6671</v>
      </c>
      <c r="J25" s="125"/>
      <c r="K25" s="125"/>
    </row>
    <row r="26" spans="1:21" s="3" customFormat="1" ht="25.5" customHeight="1">
      <c r="A26" s="87">
        <v>14</v>
      </c>
      <c r="B26" s="88" t="s">
        <v>274</v>
      </c>
      <c r="C26" s="62">
        <f t="shared" si="1"/>
        <v>20</v>
      </c>
      <c r="D26" s="62">
        <f t="shared" si="2"/>
        <v>20</v>
      </c>
      <c r="E26" s="62">
        <f>+'PL31-NSX'!H23</f>
        <v>20</v>
      </c>
      <c r="F26" s="89"/>
      <c r="G26" s="62"/>
      <c r="H26" s="62">
        <f>'Chi xã,TT 2025'!Q15</f>
        <v>6882</v>
      </c>
      <c r="I26" s="62">
        <f t="shared" si="3"/>
        <v>6902</v>
      </c>
      <c r="J26" s="125"/>
      <c r="K26" s="125"/>
    </row>
    <row r="27" spans="1:21" s="3" customFormat="1" ht="25.5" customHeight="1">
      <c r="A27" s="87">
        <v>15</v>
      </c>
      <c r="B27" s="88" t="s">
        <v>275</v>
      </c>
      <c r="C27" s="62">
        <f t="shared" si="1"/>
        <v>15</v>
      </c>
      <c r="D27" s="62">
        <f t="shared" si="2"/>
        <v>15</v>
      </c>
      <c r="E27" s="62">
        <f>+'PL31-NSX'!H24</f>
        <v>15</v>
      </c>
      <c r="F27" s="89"/>
      <c r="G27" s="62"/>
      <c r="H27" s="62">
        <f>'Chi xã,TT 2025'!R15</f>
        <v>6960</v>
      </c>
      <c r="I27" s="62">
        <f t="shared" si="3"/>
        <v>6975</v>
      </c>
      <c r="J27" s="125"/>
      <c r="K27" s="125"/>
    </row>
    <row r="28" spans="1:21" ht="25.5" customHeight="1">
      <c r="A28" s="87">
        <v>16</v>
      </c>
      <c r="B28" s="88" t="s">
        <v>276</v>
      </c>
      <c r="C28" s="62">
        <f t="shared" si="1"/>
        <v>15</v>
      </c>
      <c r="D28" s="62">
        <f t="shared" si="2"/>
        <v>15</v>
      </c>
      <c r="E28" s="62">
        <f>+'PL31-NSX'!H25</f>
        <v>15</v>
      </c>
      <c r="F28" s="89"/>
      <c r="G28" s="62"/>
      <c r="H28" s="62">
        <f>'Chi xã,TT 2025'!S15</f>
        <v>5684</v>
      </c>
      <c r="I28" s="62">
        <f t="shared" si="3"/>
        <v>5699</v>
      </c>
      <c r="J28" s="125"/>
      <c r="K28" s="118"/>
    </row>
    <row r="29" spans="1:21" ht="25.5" customHeight="1">
      <c r="A29" s="87">
        <v>17</v>
      </c>
      <c r="B29" s="88" t="s">
        <v>277</v>
      </c>
      <c r="C29" s="62">
        <f t="shared" si="1"/>
        <v>20</v>
      </c>
      <c r="D29" s="62">
        <f t="shared" si="2"/>
        <v>20</v>
      </c>
      <c r="E29" s="62">
        <f>+'PL31-NSX'!H26</f>
        <v>20</v>
      </c>
      <c r="F29" s="89"/>
      <c r="G29" s="62"/>
      <c r="H29" s="62">
        <f>'Chi xã,TT 2025'!T15</f>
        <v>6897</v>
      </c>
      <c r="I29" s="62">
        <f t="shared" si="3"/>
        <v>6917</v>
      </c>
      <c r="J29" s="125"/>
      <c r="K29" s="118"/>
    </row>
    <row r="30" spans="1:21" ht="25.5" customHeight="1">
      <c r="A30" s="87">
        <v>18</v>
      </c>
      <c r="B30" s="88" t="s">
        <v>278</v>
      </c>
      <c r="C30" s="62">
        <f t="shared" si="1"/>
        <v>65</v>
      </c>
      <c r="D30" s="62">
        <f t="shared" si="2"/>
        <v>65</v>
      </c>
      <c r="E30" s="62">
        <f>+'PL31-NSX'!H27</f>
        <v>65</v>
      </c>
      <c r="F30" s="89">
        <f>+G30/80*100</f>
        <v>0</v>
      </c>
      <c r="G30" s="62"/>
      <c r="H30" s="62">
        <f>'Chi xã,TT 2025'!U15</f>
        <v>7454</v>
      </c>
      <c r="I30" s="62">
        <f t="shared" si="3"/>
        <v>7519</v>
      </c>
      <c r="J30" s="125"/>
      <c r="K30" s="118"/>
    </row>
    <row r="31" spans="1:21" ht="25.5" customHeight="1" thickBot="1">
      <c r="A31" s="645">
        <v>19</v>
      </c>
      <c r="B31" s="153" t="s">
        <v>279</v>
      </c>
      <c r="C31" s="62">
        <f t="shared" si="1"/>
        <v>20</v>
      </c>
      <c r="D31" s="62">
        <f t="shared" si="2"/>
        <v>20</v>
      </c>
      <c r="E31" s="62">
        <f>+'PL31-NSX'!H28</f>
        <v>20</v>
      </c>
      <c r="F31" s="646"/>
      <c r="G31" s="62"/>
      <c r="H31" s="62">
        <f>'Chi xã,TT 2025'!V15</f>
        <v>6592</v>
      </c>
      <c r="I31" s="62">
        <f t="shared" si="3"/>
        <v>6612</v>
      </c>
      <c r="J31" s="125"/>
      <c r="K31" s="118"/>
    </row>
    <row r="32" spans="1:21" ht="19.5" thickTop="1">
      <c r="A32" s="3"/>
      <c r="B32" s="3"/>
      <c r="C32" s="3"/>
      <c r="D32" s="3"/>
      <c r="U32" s="3"/>
    </row>
    <row r="33" spans="1:23" ht="18.75">
      <c r="A33" s="5"/>
      <c r="B33" s="3"/>
      <c r="V33" s="3"/>
      <c r="W33" s="3"/>
    </row>
    <row r="34" spans="1:23" ht="18.75">
      <c r="A34" s="3"/>
      <c r="B34" s="3"/>
      <c r="C34" s="3"/>
      <c r="D34" s="3"/>
      <c r="E34" s="3"/>
      <c r="F34" s="3"/>
      <c r="G34" s="3"/>
      <c r="H34" s="3"/>
      <c r="I34" s="3"/>
    </row>
    <row r="35" spans="1:23" ht="18.75">
      <c r="A35" s="3"/>
      <c r="B35" s="3"/>
      <c r="C35" s="3"/>
      <c r="D35" s="3"/>
      <c r="E35" s="3"/>
      <c r="F35" s="3"/>
      <c r="G35" s="3"/>
      <c r="H35" s="3"/>
      <c r="I35" s="3"/>
    </row>
    <row r="36" spans="1:23" ht="18.75">
      <c r="A36" s="3"/>
      <c r="B36" s="3"/>
      <c r="C36" s="3"/>
      <c r="D36" s="3"/>
      <c r="E36" s="3"/>
      <c r="F36" s="3"/>
      <c r="G36" s="3"/>
      <c r="H36" s="3"/>
      <c r="I36" s="3"/>
    </row>
    <row r="37" spans="1:23" ht="18.75">
      <c r="A37" s="3"/>
      <c r="B37" s="3"/>
      <c r="C37" s="3"/>
      <c r="D37" s="3"/>
      <c r="E37" s="3"/>
      <c r="F37" s="3"/>
      <c r="G37" s="3"/>
      <c r="H37" s="3"/>
      <c r="I37" s="3"/>
    </row>
    <row r="38" spans="1:23" ht="18.75">
      <c r="A38" s="3"/>
      <c r="B38" s="3"/>
      <c r="C38" s="3"/>
      <c r="D38" s="3"/>
      <c r="E38" s="3"/>
      <c r="F38" s="3"/>
      <c r="G38" s="3"/>
      <c r="H38" s="3"/>
      <c r="I38" s="3"/>
    </row>
    <row r="39" spans="1:23" ht="18.75">
      <c r="A39" s="3"/>
      <c r="B39" s="3"/>
      <c r="C39" s="3"/>
      <c r="D39" s="3"/>
      <c r="E39" s="3"/>
      <c r="F39" s="3"/>
      <c r="G39" s="3"/>
      <c r="H39" s="3"/>
      <c r="I39" s="3"/>
    </row>
    <row r="40" spans="1:23" ht="22.5" customHeight="1">
      <c r="A40" s="3"/>
      <c r="B40" s="3"/>
      <c r="C40" s="3"/>
      <c r="D40" s="3"/>
      <c r="E40" s="3"/>
      <c r="F40" s="3"/>
      <c r="G40" s="3"/>
      <c r="H40" s="3"/>
      <c r="I40" s="3"/>
    </row>
    <row r="41" spans="1:23" ht="18.75">
      <c r="A41" s="3"/>
      <c r="B41" s="3"/>
      <c r="C41" s="3"/>
      <c r="D41" s="3"/>
      <c r="E41" s="3"/>
      <c r="F41" s="3"/>
      <c r="G41" s="3"/>
      <c r="H41" s="3"/>
      <c r="I41" s="3"/>
    </row>
    <row r="42" spans="1:23" ht="18.75">
      <c r="A42" s="3"/>
      <c r="B42" s="3"/>
      <c r="C42" s="3"/>
      <c r="D42" s="3"/>
      <c r="E42" s="3"/>
      <c r="F42" s="3"/>
      <c r="G42" s="3"/>
      <c r="H42" s="3"/>
      <c r="I42" s="3"/>
    </row>
    <row r="43" spans="1:23" ht="18.75">
      <c r="A43" s="3"/>
      <c r="B43" s="3"/>
      <c r="C43" s="3"/>
      <c r="D43" s="3"/>
      <c r="E43" s="3"/>
      <c r="F43" s="3"/>
      <c r="G43" s="3"/>
      <c r="H43" s="3"/>
      <c r="I43" s="3"/>
    </row>
    <row r="44" spans="1:23" ht="18.75">
      <c r="A44" s="3"/>
      <c r="B44" s="3"/>
      <c r="C44" s="3"/>
      <c r="D44" s="3"/>
      <c r="E44" s="3"/>
      <c r="F44" s="3"/>
      <c r="G44" s="3"/>
      <c r="H44" s="3"/>
      <c r="I44" s="3"/>
    </row>
  </sheetData>
  <mergeCells count="12">
    <mergeCell ref="E7:E10"/>
    <mergeCell ref="F7:G7"/>
    <mergeCell ref="F8:F10"/>
    <mergeCell ref="G8:G10"/>
    <mergeCell ref="A3:I3"/>
    <mergeCell ref="H6:H10"/>
    <mergeCell ref="I6:I10"/>
    <mergeCell ref="A6:A10"/>
    <mergeCell ref="B6:B10"/>
    <mergeCell ref="C6:C10"/>
    <mergeCell ref="D6:D10"/>
    <mergeCell ref="E6:G6"/>
  </mergeCells>
  <phoneticPr fontId="15" type="noConversion"/>
  <printOptions horizontalCentered="1"/>
  <pageMargins left="0.56000000000000005" right="0.23" top="0.9" bottom="0.17" header="0.53" footer="0.26"/>
  <pageSetup paperSize="9" scale="70" fitToHeight="0" orientation="portrait" r:id="rId1"/>
  <headerFooter alignWithMargins="0">
    <oddFooter xml:space="preserve">&amp;C&amp;".VnTime,Italic"&amp;8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V39"/>
  <sheetViews>
    <sheetView view="pageBreakPreview" zoomScaleNormal="70" zoomScaleSheetLayoutView="100" workbookViewId="0">
      <selection activeCell="G28" sqref="G28"/>
    </sheetView>
  </sheetViews>
  <sheetFormatPr defaultColWidth="9" defaultRowHeight="15.75"/>
  <cols>
    <col min="1" max="1" width="5.77734375" style="41" customWidth="1"/>
    <col min="2" max="2" width="16.109375" style="41" customWidth="1"/>
    <col min="3" max="3" width="10.6640625" style="41" customWidth="1"/>
    <col min="4" max="4" width="10.21875" style="41" customWidth="1"/>
    <col min="5" max="5" width="9.77734375" style="41" customWidth="1"/>
    <col min="6" max="6" width="7.109375" style="41" customWidth="1"/>
    <col min="7" max="7" width="6.6640625" style="41" customWidth="1"/>
    <col min="8" max="8" width="6.88671875" style="41" customWidth="1"/>
    <col min="9" max="9" width="6.21875" style="41" customWidth="1"/>
    <col min="10" max="10" width="8.33203125" style="41" customWidth="1"/>
    <col min="11" max="11" width="10.21875" style="41" customWidth="1"/>
    <col min="12" max="12" width="7.44140625" style="79" customWidth="1"/>
    <col min="13" max="13" width="7.21875" style="41" customWidth="1"/>
    <col min="14" max="14" width="6.33203125" style="41" customWidth="1"/>
    <col min="15" max="15" width="9.6640625" style="41" customWidth="1"/>
    <col min="16" max="16" width="8.109375" style="41" customWidth="1"/>
    <col min="17" max="17" width="9.88671875" style="41" customWidth="1"/>
    <col min="18" max="19" width="9.21875" style="41" customWidth="1"/>
    <col min="20" max="20" width="11" style="41" customWidth="1"/>
    <col min="21" max="21" width="9" style="41" customWidth="1"/>
    <col min="22" max="16384" width="9" style="41"/>
  </cols>
  <sheetData>
    <row r="1" spans="1:20" ht="18.75">
      <c r="A1" s="54"/>
      <c r="B1" s="54"/>
      <c r="C1" s="56"/>
      <c r="D1" s="56"/>
      <c r="E1" s="56"/>
      <c r="F1" s="95"/>
      <c r="G1" s="95"/>
      <c r="H1" s="95"/>
      <c r="I1" s="56"/>
      <c r="J1" s="56"/>
      <c r="K1" s="56"/>
      <c r="L1" s="78"/>
      <c r="M1" s="95"/>
      <c r="N1" s="67"/>
      <c r="O1" s="56"/>
      <c r="P1" s="67"/>
      <c r="Q1" s="95"/>
      <c r="S1" s="93"/>
      <c r="T1" s="94" t="s">
        <v>195</v>
      </c>
    </row>
    <row r="2" spans="1:20" s="60" customFormat="1" ht="18.75">
      <c r="A2" s="803" t="s">
        <v>858</v>
      </c>
      <c r="B2" s="803"/>
      <c r="C2" s="803"/>
      <c r="D2" s="803"/>
      <c r="E2" s="803"/>
      <c r="F2" s="803"/>
      <c r="G2" s="803"/>
      <c r="H2" s="803"/>
      <c r="I2" s="803"/>
      <c r="J2" s="803"/>
      <c r="K2" s="803"/>
      <c r="L2" s="803"/>
      <c r="M2" s="803"/>
      <c r="N2" s="803"/>
      <c r="O2" s="803"/>
      <c r="P2" s="803"/>
      <c r="Q2" s="803"/>
      <c r="R2" s="803"/>
      <c r="S2" s="803"/>
      <c r="T2" s="803"/>
    </row>
    <row r="3" spans="1:20">
      <c r="A3" s="99" t="str">
        <f>'PL15'!A3</f>
        <v xml:space="preserve"> Biểu kèm theo Báo cáo số 99/BC-BKTXH ngày 12/12/2024 của Ban KT-XH,HĐND huyện Tuần Giáo</v>
      </c>
      <c r="B3" s="54"/>
      <c r="C3" s="56"/>
      <c r="D3" s="56"/>
      <c r="E3" s="56"/>
      <c r="F3" s="56"/>
      <c r="G3" s="56"/>
      <c r="H3" s="56"/>
      <c r="I3" s="56"/>
      <c r="J3" s="56"/>
      <c r="K3" s="56"/>
      <c r="L3" s="78"/>
      <c r="M3" s="56"/>
      <c r="N3" s="56"/>
      <c r="O3" s="56"/>
      <c r="P3" s="56"/>
      <c r="Q3" s="56"/>
      <c r="R3" s="56"/>
      <c r="S3" s="56"/>
      <c r="T3" s="56"/>
    </row>
    <row r="4" spans="1:20" s="25" customFormat="1" ht="15">
      <c r="A4" s="96"/>
      <c r="B4" s="96"/>
      <c r="F4" s="598"/>
      <c r="G4" s="830"/>
      <c r="H4" s="830"/>
      <c r="I4" s="830"/>
      <c r="J4" s="598"/>
      <c r="K4" s="830"/>
      <c r="L4" s="830"/>
      <c r="M4" s="830"/>
      <c r="N4" s="598"/>
      <c r="Q4" s="112"/>
      <c r="R4" s="112"/>
      <c r="S4" s="112"/>
      <c r="T4" s="113" t="s">
        <v>87</v>
      </c>
    </row>
    <row r="5" spans="1:20" s="25" customFormat="1" ht="18" customHeight="1">
      <c r="A5" s="826" t="s">
        <v>58</v>
      </c>
      <c r="B5" s="829" t="s">
        <v>29</v>
      </c>
      <c r="C5" s="826" t="s">
        <v>203</v>
      </c>
      <c r="D5" s="829" t="s">
        <v>43</v>
      </c>
      <c r="E5" s="829"/>
      <c r="F5" s="829"/>
      <c r="G5" s="829"/>
      <c r="H5" s="829"/>
      <c r="I5" s="829"/>
      <c r="J5" s="829"/>
      <c r="K5" s="829"/>
      <c r="L5" s="829"/>
      <c r="M5" s="829"/>
      <c r="N5" s="829"/>
      <c r="O5" s="829"/>
      <c r="P5" s="829"/>
      <c r="Q5" s="826" t="s">
        <v>60</v>
      </c>
      <c r="R5" s="826"/>
      <c r="S5" s="826"/>
      <c r="T5" s="826"/>
    </row>
    <row r="6" spans="1:20" s="25" customFormat="1" ht="7.5" customHeight="1">
      <c r="A6" s="826"/>
      <c r="B6" s="829"/>
      <c r="C6" s="826"/>
      <c r="D6" s="829"/>
      <c r="E6" s="829"/>
      <c r="F6" s="829"/>
      <c r="G6" s="829"/>
      <c r="H6" s="829"/>
      <c r="I6" s="829"/>
      <c r="J6" s="829"/>
      <c r="K6" s="829"/>
      <c r="L6" s="829"/>
      <c r="M6" s="829"/>
      <c r="N6" s="829"/>
      <c r="O6" s="829"/>
      <c r="P6" s="829"/>
      <c r="Q6" s="826"/>
      <c r="R6" s="826"/>
      <c r="S6" s="826"/>
      <c r="T6" s="826"/>
    </row>
    <row r="7" spans="1:20" s="25" customFormat="1" ht="27" customHeight="1">
      <c r="A7" s="826"/>
      <c r="B7" s="829"/>
      <c r="C7" s="826"/>
      <c r="D7" s="826" t="s">
        <v>66</v>
      </c>
      <c r="E7" s="829" t="s">
        <v>22</v>
      </c>
      <c r="F7" s="829"/>
      <c r="G7" s="829"/>
      <c r="H7" s="829"/>
      <c r="I7" s="829"/>
      <c r="J7" s="829"/>
      <c r="K7" s="829" t="s">
        <v>24</v>
      </c>
      <c r="L7" s="829"/>
      <c r="M7" s="829"/>
      <c r="N7" s="826" t="s">
        <v>26</v>
      </c>
      <c r="O7" s="826" t="s">
        <v>27</v>
      </c>
      <c r="P7" s="826" t="s">
        <v>73</v>
      </c>
      <c r="Q7" s="826" t="s">
        <v>76</v>
      </c>
      <c r="R7" s="826" t="s">
        <v>865</v>
      </c>
      <c r="S7" s="826" t="s">
        <v>693</v>
      </c>
      <c r="T7" s="826" t="s">
        <v>124</v>
      </c>
    </row>
    <row r="8" spans="1:20" s="25" customFormat="1" ht="18.75" customHeight="1">
      <c r="A8" s="826"/>
      <c r="B8" s="829"/>
      <c r="C8" s="826"/>
      <c r="D8" s="826"/>
      <c r="E8" s="826" t="s">
        <v>76</v>
      </c>
      <c r="F8" s="829" t="s">
        <v>30</v>
      </c>
      <c r="G8" s="829"/>
      <c r="H8" s="826" t="s">
        <v>118</v>
      </c>
      <c r="I8" s="826" t="s">
        <v>310</v>
      </c>
      <c r="J8" s="826" t="s">
        <v>23</v>
      </c>
      <c r="K8" s="826" t="s">
        <v>76</v>
      </c>
      <c r="L8" s="829" t="s">
        <v>30</v>
      </c>
      <c r="M8" s="829"/>
      <c r="N8" s="826"/>
      <c r="O8" s="826"/>
      <c r="P8" s="826"/>
      <c r="Q8" s="826"/>
      <c r="R8" s="826"/>
      <c r="S8" s="826"/>
      <c r="T8" s="826"/>
    </row>
    <row r="9" spans="1:20" s="25" customFormat="1" ht="17.25" customHeight="1">
      <c r="A9" s="826"/>
      <c r="B9" s="829"/>
      <c r="C9" s="826"/>
      <c r="D9" s="826"/>
      <c r="E9" s="826"/>
      <c r="F9" s="828" t="s">
        <v>93</v>
      </c>
      <c r="G9" s="828" t="s">
        <v>84</v>
      </c>
      <c r="H9" s="826"/>
      <c r="I9" s="826"/>
      <c r="J9" s="826"/>
      <c r="K9" s="826"/>
      <c r="L9" s="827" t="s">
        <v>93</v>
      </c>
      <c r="M9" s="828" t="s">
        <v>84</v>
      </c>
      <c r="N9" s="826"/>
      <c r="O9" s="826"/>
      <c r="P9" s="826"/>
      <c r="Q9" s="826"/>
      <c r="R9" s="826"/>
      <c r="S9" s="826"/>
      <c r="T9" s="826"/>
    </row>
    <row r="10" spans="1:20" s="25" customFormat="1" ht="17.25" customHeight="1">
      <c r="A10" s="826"/>
      <c r="B10" s="829"/>
      <c r="C10" s="826"/>
      <c r="D10" s="826"/>
      <c r="E10" s="826"/>
      <c r="F10" s="828"/>
      <c r="G10" s="828"/>
      <c r="H10" s="826"/>
      <c r="I10" s="826"/>
      <c r="J10" s="826"/>
      <c r="K10" s="826"/>
      <c r="L10" s="827"/>
      <c r="M10" s="828"/>
      <c r="N10" s="826"/>
      <c r="O10" s="826"/>
      <c r="P10" s="826"/>
      <c r="Q10" s="826"/>
      <c r="R10" s="826"/>
      <c r="S10" s="826"/>
      <c r="T10" s="826"/>
    </row>
    <row r="11" spans="1:20" s="25" customFormat="1" ht="17.25" customHeight="1">
      <c r="A11" s="826"/>
      <c r="B11" s="829"/>
      <c r="C11" s="826"/>
      <c r="D11" s="826"/>
      <c r="E11" s="826"/>
      <c r="F11" s="828"/>
      <c r="G11" s="828"/>
      <c r="H11" s="826"/>
      <c r="I11" s="826"/>
      <c r="J11" s="826"/>
      <c r="K11" s="826"/>
      <c r="L11" s="827"/>
      <c r="M11" s="828"/>
      <c r="N11" s="826"/>
      <c r="O11" s="826"/>
      <c r="P11" s="826"/>
      <c r="Q11" s="826"/>
      <c r="R11" s="826"/>
      <c r="S11" s="826"/>
      <c r="T11" s="826"/>
    </row>
    <row r="12" spans="1:20" s="25" customFormat="1" ht="17.25" customHeight="1">
      <c r="A12" s="826"/>
      <c r="B12" s="829"/>
      <c r="C12" s="826"/>
      <c r="D12" s="826"/>
      <c r="E12" s="826"/>
      <c r="F12" s="828"/>
      <c r="G12" s="828"/>
      <c r="H12" s="826"/>
      <c r="I12" s="826"/>
      <c r="J12" s="826"/>
      <c r="K12" s="826"/>
      <c r="L12" s="827"/>
      <c r="M12" s="828"/>
      <c r="N12" s="826"/>
      <c r="O12" s="826"/>
      <c r="P12" s="826"/>
      <c r="Q12" s="826"/>
      <c r="R12" s="826"/>
      <c r="S12" s="826"/>
      <c r="T12" s="826"/>
    </row>
    <row r="13" spans="1:20" s="25" customFormat="1" ht="17.25" customHeight="1">
      <c r="A13" s="826"/>
      <c r="B13" s="829"/>
      <c r="C13" s="826"/>
      <c r="D13" s="826"/>
      <c r="E13" s="826"/>
      <c r="F13" s="828"/>
      <c r="G13" s="828"/>
      <c r="H13" s="826"/>
      <c r="I13" s="826"/>
      <c r="J13" s="826"/>
      <c r="K13" s="826"/>
      <c r="L13" s="827"/>
      <c r="M13" s="828"/>
      <c r="N13" s="826"/>
      <c r="O13" s="826"/>
      <c r="P13" s="826"/>
      <c r="Q13" s="826"/>
      <c r="R13" s="826"/>
      <c r="S13" s="826"/>
      <c r="T13" s="826"/>
    </row>
    <row r="14" spans="1:20" s="25" customFormat="1" ht="17.25" customHeight="1">
      <c r="A14" s="826"/>
      <c r="B14" s="829"/>
      <c r="C14" s="826"/>
      <c r="D14" s="826"/>
      <c r="E14" s="826"/>
      <c r="F14" s="828"/>
      <c r="G14" s="828"/>
      <c r="H14" s="826"/>
      <c r="I14" s="826"/>
      <c r="J14" s="826"/>
      <c r="K14" s="826"/>
      <c r="L14" s="827"/>
      <c r="M14" s="828"/>
      <c r="N14" s="826"/>
      <c r="O14" s="826"/>
      <c r="P14" s="826"/>
      <c r="Q14" s="826"/>
      <c r="R14" s="826"/>
      <c r="S14" s="826"/>
      <c r="T14" s="826"/>
    </row>
    <row r="15" spans="1:20" s="25" customFormat="1" ht="17.25" customHeight="1">
      <c r="A15" s="826"/>
      <c r="B15" s="829"/>
      <c r="C15" s="826"/>
      <c r="D15" s="826"/>
      <c r="E15" s="826"/>
      <c r="F15" s="828"/>
      <c r="G15" s="828"/>
      <c r="H15" s="826"/>
      <c r="I15" s="826"/>
      <c r="J15" s="826"/>
      <c r="K15" s="826"/>
      <c r="L15" s="827"/>
      <c r="M15" s="828"/>
      <c r="N15" s="826"/>
      <c r="O15" s="826"/>
      <c r="P15" s="826"/>
      <c r="Q15" s="826"/>
      <c r="R15" s="826"/>
      <c r="S15" s="826"/>
      <c r="T15" s="826"/>
    </row>
    <row r="16" spans="1:20" s="25" customFormat="1" ht="17.25" customHeight="1">
      <c r="A16" s="24" t="s">
        <v>8</v>
      </c>
      <c r="B16" s="24" t="s">
        <v>9</v>
      </c>
      <c r="C16" s="43" t="s">
        <v>209</v>
      </c>
      <c r="D16" s="44" t="s">
        <v>126</v>
      </c>
      <c r="E16" s="45" t="s">
        <v>125</v>
      </c>
      <c r="F16" s="24">
        <v>4</v>
      </c>
      <c r="G16" s="24">
        <f t="shared" ref="G16:T16" si="0">F16+1</f>
        <v>5</v>
      </c>
      <c r="H16" s="24">
        <f t="shared" si="0"/>
        <v>6</v>
      </c>
      <c r="I16" s="24">
        <f t="shared" si="0"/>
        <v>7</v>
      </c>
      <c r="J16" s="24">
        <f t="shared" si="0"/>
        <v>8</v>
      </c>
      <c r="K16" s="24">
        <f t="shared" si="0"/>
        <v>9</v>
      </c>
      <c r="L16" s="165">
        <f t="shared" si="0"/>
        <v>10</v>
      </c>
      <c r="M16" s="24">
        <f t="shared" si="0"/>
        <v>11</v>
      </c>
      <c r="N16" s="24">
        <f t="shared" si="0"/>
        <v>12</v>
      </c>
      <c r="O16" s="24">
        <f>N16+1</f>
        <v>13</v>
      </c>
      <c r="P16" s="24">
        <f t="shared" si="0"/>
        <v>14</v>
      </c>
      <c r="Q16" s="43" t="s">
        <v>127</v>
      </c>
      <c r="R16" s="24">
        <v>16</v>
      </c>
      <c r="S16" s="24">
        <f>R16+1</f>
        <v>17</v>
      </c>
      <c r="T16" s="24">
        <f t="shared" si="0"/>
        <v>18</v>
      </c>
    </row>
    <row r="17" spans="1:20" s="59" customFormat="1" ht="24" customHeight="1">
      <c r="A17" s="597"/>
      <c r="B17" s="97" t="s">
        <v>28</v>
      </c>
      <c r="C17" s="114">
        <f>SUM(C18:C36)</f>
        <v>143180</v>
      </c>
      <c r="D17" s="114">
        <f>SUM(D18:D36)</f>
        <v>139932</v>
      </c>
      <c r="E17" s="114">
        <f>SUM(E18:E36)</f>
        <v>3240</v>
      </c>
      <c r="F17" s="114">
        <f t="shared" ref="F17:P17" si="1">SUM(F18:F36)</f>
        <v>0</v>
      </c>
      <c r="G17" s="114">
        <f t="shared" si="1"/>
        <v>0</v>
      </c>
      <c r="H17" s="114">
        <f t="shared" si="1"/>
        <v>0</v>
      </c>
      <c r="I17" s="114">
        <f t="shared" si="1"/>
        <v>0</v>
      </c>
      <c r="J17" s="114">
        <f>SUM(J18:J36)</f>
        <v>3240</v>
      </c>
      <c r="K17" s="114">
        <f>SUM(K18:K35)</f>
        <v>127404</v>
      </c>
      <c r="L17" s="166">
        <f t="shared" si="1"/>
        <v>0</v>
      </c>
      <c r="M17" s="114">
        <f t="shared" si="1"/>
        <v>0</v>
      </c>
      <c r="N17" s="114">
        <f t="shared" si="1"/>
        <v>0</v>
      </c>
      <c r="O17" s="114">
        <f>SUM(O18:O36)</f>
        <v>2809</v>
      </c>
      <c r="P17" s="114">
        <f t="shared" si="1"/>
        <v>0</v>
      </c>
      <c r="Q17" s="114">
        <f>SUM(Q18:Q36)</f>
        <v>3248</v>
      </c>
      <c r="R17" s="114">
        <f>SUM(R18:R36)</f>
        <v>0</v>
      </c>
      <c r="S17" s="114">
        <f>SUM(S18:S36)</f>
        <v>0</v>
      </c>
      <c r="T17" s="114">
        <f>SUM(T18:T36)</f>
        <v>3248</v>
      </c>
    </row>
    <row r="18" spans="1:20" s="59" customFormat="1" ht="21" customHeight="1">
      <c r="A18" s="100">
        <v>1</v>
      </c>
      <c r="B18" s="98" t="s">
        <v>262</v>
      </c>
      <c r="C18" s="115">
        <f>D18+Q18</f>
        <v>10980</v>
      </c>
      <c r="D18" s="115">
        <f>+E18+K18+N18+O18</f>
        <v>9780</v>
      </c>
      <c r="E18" s="115">
        <f>H18+I18+J18</f>
        <v>0</v>
      </c>
      <c r="F18" s="115"/>
      <c r="G18" s="115"/>
      <c r="H18" s="115"/>
      <c r="I18" s="115"/>
      <c r="J18" s="115"/>
      <c r="K18" s="115">
        <f>+'Chi xã,TT 2025'!D20</f>
        <v>9584</v>
      </c>
      <c r="L18" s="115"/>
      <c r="M18" s="115"/>
      <c r="N18" s="115"/>
      <c r="O18" s="115">
        <f>+'Chi xã,TT 2025'!D36</f>
        <v>196</v>
      </c>
      <c r="P18" s="115"/>
      <c r="Q18" s="115">
        <f>+R18+S18+T18</f>
        <v>1200</v>
      </c>
      <c r="R18" s="115"/>
      <c r="S18" s="115"/>
      <c r="T18" s="115">
        <f>+'Chi xã,TT 2025'!D40</f>
        <v>1200</v>
      </c>
    </row>
    <row r="19" spans="1:20" s="59" customFormat="1" ht="21" customHeight="1">
      <c r="A19" s="100">
        <v>2</v>
      </c>
      <c r="B19" s="98" t="s">
        <v>263</v>
      </c>
      <c r="C19" s="115">
        <f t="shared" ref="C19" si="2">D19+Q19</f>
        <v>6878</v>
      </c>
      <c r="D19" s="115">
        <f t="shared" ref="D19" si="3">+E19+K19+N19+O19</f>
        <v>6868</v>
      </c>
      <c r="E19" s="115">
        <f t="shared" ref="E19:E36" si="4">H19+I19+J19</f>
        <v>0</v>
      </c>
      <c r="F19" s="115"/>
      <c r="G19" s="115"/>
      <c r="H19" s="115"/>
      <c r="I19" s="115"/>
      <c r="J19" s="115"/>
      <c r="K19" s="115">
        <f>+'Chi xã,TT 2025'!E20</f>
        <v>6730</v>
      </c>
      <c r="L19" s="115"/>
      <c r="M19" s="115"/>
      <c r="N19" s="115"/>
      <c r="O19" s="115">
        <f>+'Chi xã,TT 2025'!E36</f>
        <v>138</v>
      </c>
      <c r="P19" s="115"/>
      <c r="Q19" s="115">
        <f>+R19+S19+T19</f>
        <v>10</v>
      </c>
      <c r="R19" s="115"/>
      <c r="S19" s="115"/>
      <c r="T19" s="115">
        <f>+'Chi xã,TT 2025'!E40</f>
        <v>10</v>
      </c>
    </row>
    <row r="20" spans="1:20" s="59" customFormat="1" ht="21" customHeight="1">
      <c r="A20" s="100">
        <v>3</v>
      </c>
      <c r="B20" s="98" t="s">
        <v>264</v>
      </c>
      <c r="C20" s="115">
        <f t="shared" ref="C20:C36" si="5">D20+Q20</f>
        <v>6930</v>
      </c>
      <c r="D20" s="115">
        <f t="shared" ref="D20:D36" si="6">+E20+K20+N20+O20</f>
        <v>6520</v>
      </c>
      <c r="E20" s="115">
        <f t="shared" si="4"/>
        <v>0</v>
      </c>
      <c r="F20" s="115"/>
      <c r="G20" s="115"/>
      <c r="H20" s="115"/>
      <c r="I20" s="115"/>
      <c r="J20" s="115"/>
      <c r="K20" s="115">
        <f>+'Chi xã,TT 2025'!F20</f>
        <v>6389</v>
      </c>
      <c r="L20" s="115"/>
      <c r="M20" s="115"/>
      <c r="N20" s="115"/>
      <c r="O20" s="115">
        <f>+'Chi xã,TT 2025'!F36</f>
        <v>131</v>
      </c>
      <c r="P20" s="115"/>
      <c r="Q20" s="115">
        <f t="shared" ref="Q20:Q36" si="7">+R20+S20+T20</f>
        <v>410</v>
      </c>
      <c r="R20" s="115"/>
      <c r="S20" s="115"/>
      <c r="T20" s="115">
        <f>+'Chi xã,TT 2025'!F40</f>
        <v>410</v>
      </c>
    </row>
    <row r="21" spans="1:20" s="59" customFormat="1" ht="21" customHeight="1">
      <c r="A21" s="100">
        <v>4</v>
      </c>
      <c r="B21" s="98" t="s">
        <v>265</v>
      </c>
      <c r="C21" s="115">
        <f t="shared" si="5"/>
        <v>8899</v>
      </c>
      <c r="D21" s="115">
        <f t="shared" si="6"/>
        <v>8789</v>
      </c>
      <c r="E21" s="115">
        <f t="shared" si="4"/>
        <v>0</v>
      </c>
      <c r="F21" s="115"/>
      <c r="G21" s="115"/>
      <c r="H21" s="115"/>
      <c r="I21" s="115"/>
      <c r="J21" s="115"/>
      <c r="K21" s="115">
        <f>+'Chi xã,TT 2025'!G20</f>
        <v>8613</v>
      </c>
      <c r="L21" s="115"/>
      <c r="M21" s="115"/>
      <c r="N21" s="115"/>
      <c r="O21" s="115">
        <f>+'Chi xã,TT 2025'!G36</f>
        <v>176</v>
      </c>
      <c r="P21" s="115"/>
      <c r="Q21" s="115">
        <f t="shared" si="7"/>
        <v>110</v>
      </c>
      <c r="R21" s="115"/>
      <c r="S21" s="115"/>
      <c r="T21" s="115">
        <f>+'Chi xã,TT 2025'!G40</f>
        <v>110</v>
      </c>
    </row>
    <row r="22" spans="1:20" ht="21" customHeight="1">
      <c r="A22" s="100">
        <v>5</v>
      </c>
      <c r="B22" s="98" t="s">
        <v>266</v>
      </c>
      <c r="C22" s="115">
        <f t="shared" si="5"/>
        <v>7209</v>
      </c>
      <c r="D22" s="115">
        <f t="shared" si="6"/>
        <v>6899</v>
      </c>
      <c r="E22" s="115">
        <f t="shared" si="4"/>
        <v>0</v>
      </c>
      <c r="F22" s="115"/>
      <c r="G22" s="115"/>
      <c r="H22" s="115"/>
      <c r="I22" s="115"/>
      <c r="J22" s="115"/>
      <c r="K22" s="115">
        <f>+'Chi xã,TT 2025'!H20</f>
        <v>6761</v>
      </c>
      <c r="L22" s="115"/>
      <c r="M22" s="115"/>
      <c r="N22" s="115"/>
      <c r="O22" s="115">
        <f>+'Chi xã,TT 2025'!H36</f>
        <v>138</v>
      </c>
      <c r="P22" s="115"/>
      <c r="Q22" s="115">
        <f t="shared" si="7"/>
        <v>310</v>
      </c>
      <c r="R22" s="115"/>
      <c r="S22" s="115"/>
      <c r="T22" s="115">
        <f>+'Chi xã,TT 2025'!H40</f>
        <v>310</v>
      </c>
    </row>
    <row r="23" spans="1:20" ht="21" customHeight="1">
      <c r="A23" s="100">
        <v>6</v>
      </c>
      <c r="B23" s="98" t="s">
        <v>578</v>
      </c>
      <c r="C23" s="115">
        <f t="shared" si="5"/>
        <v>11502</v>
      </c>
      <c r="D23" s="115">
        <f t="shared" si="6"/>
        <v>11502</v>
      </c>
      <c r="E23" s="115">
        <f>H23+I23+J23</f>
        <v>3240</v>
      </c>
      <c r="F23" s="115"/>
      <c r="G23" s="115"/>
      <c r="H23" s="115"/>
      <c r="I23" s="115"/>
      <c r="J23" s="115">
        <f>+'Chi xã,TT 2025'!I19</f>
        <v>3240</v>
      </c>
      <c r="K23" s="115">
        <f>+'Chi xã,TT 2025'!I20</f>
        <v>8031</v>
      </c>
      <c r="L23" s="115"/>
      <c r="M23" s="115"/>
      <c r="N23" s="115"/>
      <c r="O23" s="115">
        <f>+'Chi xã,TT 2025'!I36</f>
        <v>231</v>
      </c>
      <c r="P23" s="115"/>
      <c r="Q23" s="115">
        <f t="shared" si="7"/>
        <v>0</v>
      </c>
      <c r="R23" s="115"/>
      <c r="S23" s="115"/>
      <c r="T23" s="115">
        <f>+'Chi xã,TT 2025'!I40</f>
        <v>0</v>
      </c>
    </row>
    <row r="24" spans="1:20" ht="21" customHeight="1">
      <c r="A24" s="100">
        <v>7</v>
      </c>
      <c r="B24" s="98" t="s">
        <v>267</v>
      </c>
      <c r="C24" s="115">
        <f t="shared" si="5"/>
        <v>8049</v>
      </c>
      <c r="D24" s="115">
        <f t="shared" si="6"/>
        <v>7739</v>
      </c>
      <c r="E24" s="115">
        <f t="shared" si="4"/>
        <v>0</v>
      </c>
      <c r="F24" s="115"/>
      <c r="G24" s="115"/>
      <c r="H24" s="115"/>
      <c r="I24" s="115"/>
      <c r="J24" s="115"/>
      <c r="K24" s="115">
        <f>+'Chi xã,TT 2025'!J20</f>
        <v>7584</v>
      </c>
      <c r="L24" s="115"/>
      <c r="M24" s="115"/>
      <c r="N24" s="115"/>
      <c r="O24" s="115">
        <f>+'Chi xã,TT 2025'!J36</f>
        <v>155</v>
      </c>
      <c r="P24" s="115"/>
      <c r="Q24" s="115">
        <f t="shared" si="7"/>
        <v>310</v>
      </c>
      <c r="R24" s="115"/>
      <c r="S24" s="115"/>
      <c r="T24" s="115">
        <f>+'Chi xã,TT 2025'!J40</f>
        <v>310</v>
      </c>
    </row>
    <row r="25" spans="1:20" ht="21" customHeight="1">
      <c r="A25" s="100">
        <v>8</v>
      </c>
      <c r="B25" s="98" t="s">
        <v>268</v>
      </c>
      <c r="C25" s="115">
        <f t="shared" si="5"/>
        <v>7606</v>
      </c>
      <c r="D25" s="115">
        <f t="shared" si="6"/>
        <v>7596</v>
      </c>
      <c r="E25" s="115">
        <f t="shared" si="4"/>
        <v>0</v>
      </c>
      <c r="F25" s="115"/>
      <c r="G25" s="115"/>
      <c r="H25" s="115"/>
      <c r="I25" s="115"/>
      <c r="J25" s="115"/>
      <c r="K25" s="115">
        <f>+'Chi xã,TT 2025'!K20</f>
        <v>7444</v>
      </c>
      <c r="L25" s="115"/>
      <c r="M25" s="115"/>
      <c r="N25" s="115"/>
      <c r="O25" s="115">
        <f>+'Chi xã,TT 2025'!K36</f>
        <v>152</v>
      </c>
      <c r="P25" s="115"/>
      <c r="Q25" s="115">
        <f t="shared" si="7"/>
        <v>10</v>
      </c>
      <c r="R25" s="115"/>
      <c r="S25" s="115"/>
      <c r="T25" s="115">
        <f>+'Chi xã,TT 2025'!K40</f>
        <v>10</v>
      </c>
    </row>
    <row r="26" spans="1:20" ht="21" customHeight="1">
      <c r="A26" s="100">
        <v>9</v>
      </c>
      <c r="B26" s="98" t="s">
        <v>269</v>
      </c>
      <c r="C26" s="115">
        <f t="shared" si="5"/>
        <v>7920</v>
      </c>
      <c r="D26" s="115">
        <f t="shared" si="6"/>
        <v>7610</v>
      </c>
      <c r="E26" s="115">
        <f t="shared" si="4"/>
        <v>0</v>
      </c>
      <c r="F26" s="115"/>
      <c r="G26" s="115"/>
      <c r="H26" s="115"/>
      <c r="I26" s="115"/>
      <c r="J26" s="115"/>
      <c r="K26" s="115">
        <f>+'Chi xã,TT 2025'!L20</f>
        <v>7457</v>
      </c>
      <c r="L26" s="115"/>
      <c r="M26" s="115"/>
      <c r="N26" s="115"/>
      <c r="O26" s="115">
        <f>+'Chi xã,TT 2025'!L36</f>
        <v>153</v>
      </c>
      <c r="P26" s="115"/>
      <c r="Q26" s="115">
        <f t="shared" si="7"/>
        <v>310</v>
      </c>
      <c r="R26" s="115"/>
      <c r="S26" s="115"/>
      <c r="T26" s="115">
        <f>+'Chi xã,TT 2025'!L40</f>
        <v>310</v>
      </c>
    </row>
    <row r="27" spans="1:20" ht="21" customHeight="1">
      <c r="A27" s="100">
        <v>10</v>
      </c>
      <c r="B27" s="98" t="s">
        <v>270</v>
      </c>
      <c r="C27" s="115">
        <f t="shared" si="5"/>
        <v>6764</v>
      </c>
      <c r="D27" s="115">
        <f t="shared" si="6"/>
        <v>6754</v>
      </c>
      <c r="E27" s="115">
        <f t="shared" si="4"/>
        <v>0</v>
      </c>
      <c r="F27" s="115"/>
      <c r="G27" s="115"/>
      <c r="H27" s="115"/>
      <c r="I27" s="115"/>
      <c r="J27" s="115"/>
      <c r="K27" s="115">
        <f>+'Chi xã,TT 2025'!M20</f>
        <v>6618</v>
      </c>
      <c r="L27" s="115"/>
      <c r="M27" s="115"/>
      <c r="N27" s="115"/>
      <c r="O27" s="115">
        <f>+'Chi xã,TT 2025'!M36</f>
        <v>136</v>
      </c>
      <c r="P27" s="115"/>
      <c r="Q27" s="115">
        <f t="shared" si="7"/>
        <v>10</v>
      </c>
      <c r="R27" s="115"/>
      <c r="S27" s="115"/>
      <c r="T27" s="115">
        <f>+'Chi xã,TT 2025'!M40</f>
        <v>10</v>
      </c>
    </row>
    <row r="28" spans="1:20" ht="21" customHeight="1">
      <c r="A28" s="100">
        <v>11</v>
      </c>
      <c r="B28" s="98" t="s">
        <v>271</v>
      </c>
      <c r="C28" s="115">
        <f t="shared" si="5"/>
        <v>6336</v>
      </c>
      <c r="D28" s="115">
        <f t="shared" si="6"/>
        <v>6326</v>
      </c>
      <c r="E28" s="115">
        <f t="shared" si="4"/>
        <v>0</v>
      </c>
      <c r="F28" s="115"/>
      <c r="G28" s="115"/>
      <c r="H28" s="115"/>
      <c r="I28" s="115"/>
      <c r="J28" s="115"/>
      <c r="K28" s="115">
        <f>+'Chi xã,TT 2025'!N20</f>
        <v>6199</v>
      </c>
      <c r="L28" s="115"/>
      <c r="M28" s="115"/>
      <c r="N28" s="115"/>
      <c r="O28" s="115">
        <f>+'Chi xã,TT 2025'!N36</f>
        <v>127</v>
      </c>
      <c r="P28" s="115"/>
      <c r="Q28" s="115">
        <f t="shared" si="7"/>
        <v>10</v>
      </c>
      <c r="R28" s="115"/>
      <c r="S28" s="115"/>
      <c r="T28" s="115">
        <f>+'Chi xã,TT 2025'!N40</f>
        <v>10</v>
      </c>
    </row>
    <row r="29" spans="1:20" ht="21" customHeight="1">
      <c r="A29" s="100">
        <v>12</v>
      </c>
      <c r="B29" s="98" t="s">
        <v>272</v>
      </c>
      <c r="C29" s="115">
        <f t="shared" si="5"/>
        <v>6264</v>
      </c>
      <c r="D29" s="115">
        <f t="shared" si="6"/>
        <v>6254</v>
      </c>
      <c r="E29" s="115">
        <f t="shared" si="4"/>
        <v>0</v>
      </c>
      <c r="F29" s="115"/>
      <c r="G29" s="115"/>
      <c r="H29" s="115"/>
      <c r="I29" s="115"/>
      <c r="J29" s="115"/>
      <c r="K29" s="115">
        <f>+'Chi xã,TT 2025'!O20</f>
        <v>6128</v>
      </c>
      <c r="L29" s="115"/>
      <c r="M29" s="115"/>
      <c r="N29" s="115"/>
      <c r="O29" s="115">
        <f>+'Chi xã,TT 2025'!O36</f>
        <v>126</v>
      </c>
      <c r="P29" s="115"/>
      <c r="Q29" s="115">
        <f t="shared" si="7"/>
        <v>10</v>
      </c>
      <c r="R29" s="115"/>
      <c r="S29" s="115"/>
      <c r="T29" s="115">
        <f>+'Chi xã,TT 2025'!O40</f>
        <v>10</v>
      </c>
    </row>
    <row r="30" spans="1:20" ht="21" customHeight="1">
      <c r="A30" s="100">
        <v>13</v>
      </c>
      <c r="B30" s="98" t="s">
        <v>273</v>
      </c>
      <c r="C30" s="115">
        <f t="shared" si="5"/>
        <v>6681</v>
      </c>
      <c r="D30" s="115">
        <f t="shared" si="6"/>
        <v>6671</v>
      </c>
      <c r="E30" s="115">
        <f t="shared" si="4"/>
        <v>0</v>
      </c>
      <c r="F30" s="115"/>
      <c r="G30" s="115"/>
      <c r="H30" s="115"/>
      <c r="I30" s="115"/>
      <c r="J30" s="115"/>
      <c r="K30" s="115">
        <f>+'Chi xã,TT 2025'!P20</f>
        <v>6537</v>
      </c>
      <c r="L30" s="115"/>
      <c r="M30" s="115"/>
      <c r="N30" s="115"/>
      <c r="O30" s="115">
        <f>+'Chi xã,TT 2025'!P36</f>
        <v>134</v>
      </c>
      <c r="P30" s="115"/>
      <c r="Q30" s="115">
        <f t="shared" si="7"/>
        <v>10</v>
      </c>
      <c r="R30" s="115"/>
      <c r="S30" s="115"/>
      <c r="T30" s="115">
        <f>+'Chi xã,TT 2025'!P40</f>
        <v>10</v>
      </c>
    </row>
    <row r="31" spans="1:20" ht="21" customHeight="1">
      <c r="A31" s="100">
        <v>14</v>
      </c>
      <c r="B31" s="98" t="s">
        <v>274</v>
      </c>
      <c r="C31" s="115">
        <f t="shared" si="5"/>
        <v>7290</v>
      </c>
      <c r="D31" s="115">
        <f t="shared" si="6"/>
        <v>6902</v>
      </c>
      <c r="E31" s="115">
        <f t="shared" si="4"/>
        <v>0</v>
      </c>
      <c r="F31" s="115"/>
      <c r="G31" s="115"/>
      <c r="H31" s="115"/>
      <c r="I31" s="115"/>
      <c r="J31" s="115"/>
      <c r="K31" s="115">
        <f>+'Chi xã,TT 2025'!Q20</f>
        <v>6763</v>
      </c>
      <c r="L31" s="115"/>
      <c r="M31" s="115"/>
      <c r="N31" s="115"/>
      <c r="O31" s="115">
        <f>+'Chi xã,TT 2025'!Q36</f>
        <v>139</v>
      </c>
      <c r="P31" s="115"/>
      <c r="Q31" s="115">
        <f t="shared" si="7"/>
        <v>388</v>
      </c>
      <c r="R31" s="115"/>
      <c r="S31" s="115"/>
      <c r="T31" s="115">
        <f>+'Chi xã,TT 2025'!Q40</f>
        <v>388</v>
      </c>
    </row>
    <row r="32" spans="1:20" ht="21" customHeight="1">
      <c r="A32" s="100">
        <v>15</v>
      </c>
      <c r="B32" s="98" t="s">
        <v>275</v>
      </c>
      <c r="C32" s="115">
        <f t="shared" si="5"/>
        <v>6985</v>
      </c>
      <c r="D32" s="115">
        <f t="shared" si="6"/>
        <v>6975</v>
      </c>
      <c r="E32" s="115">
        <f t="shared" si="4"/>
        <v>0</v>
      </c>
      <c r="F32" s="115"/>
      <c r="G32" s="115"/>
      <c r="H32" s="115"/>
      <c r="I32" s="115"/>
      <c r="J32" s="115"/>
      <c r="K32" s="115">
        <f>+'Chi xã,TT 2025'!R20</f>
        <v>6835</v>
      </c>
      <c r="L32" s="115"/>
      <c r="M32" s="115"/>
      <c r="N32" s="115"/>
      <c r="O32" s="115">
        <f>+'Chi xã,TT 2025'!R36</f>
        <v>140</v>
      </c>
      <c r="P32" s="115"/>
      <c r="Q32" s="115">
        <f t="shared" si="7"/>
        <v>10</v>
      </c>
      <c r="R32" s="115"/>
      <c r="S32" s="115"/>
      <c r="T32" s="115">
        <f>+'Chi xã,TT 2025'!R40</f>
        <v>10</v>
      </c>
    </row>
    <row r="33" spans="1:22" ht="21" customHeight="1">
      <c r="A33" s="100">
        <v>16</v>
      </c>
      <c r="B33" s="98" t="s">
        <v>276</v>
      </c>
      <c r="C33" s="115">
        <f t="shared" si="5"/>
        <v>5709</v>
      </c>
      <c r="D33" s="115">
        <f t="shared" si="6"/>
        <v>5699</v>
      </c>
      <c r="E33" s="115">
        <f t="shared" si="4"/>
        <v>0</v>
      </c>
      <c r="F33" s="115"/>
      <c r="G33" s="115"/>
      <c r="H33" s="115"/>
      <c r="I33" s="115"/>
      <c r="J33" s="115"/>
      <c r="K33" s="115">
        <f>+'Chi xã,TT 2025'!S20</f>
        <v>5585</v>
      </c>
      <c r="L33" s="115"/>
      <c r="M33" s="115"/>
      <c r="N33" s="115"/>
      <c r="O33" s="115">
        <f>+'Chi xã,TT 2025'!S36</f>
        <v>114</v>
      </c>
      <c r="P33" s="115"/>
      <c r="Q33" s="115">
        <f t="shared" si="7"/>
        <v>10</v>
      </c>
      <c r="R33" s="115"/>
      <c r="S33" s="115"/>
      <c r="T33" s="115">
        <f>+'Chi xã,TT 2025'!S40</f>
        <v>10</v>
      </c>
    </row>
    <row r="34" spans="1:22" ht="21" customHeight="1">
      <c r="A34" s="100">
        <v>17</v>
      </c>
      <c r="B34" s="98" t="s">
        <v>277</v>
      </c>
      <c r="C34" s="115">
        <f t="shared" si="5"/>
        <v>6927</v>
      </c>
      <c r="D34" s="115">
        <f t="shared" si="6"/>
        <v>6917</v>
      </c>
      <c r="E34" s="115">
        <f t="shared" si="4"/>
        <v>0</v>
      </c>
      <c r="F34" s="115"/>
      <c r="G34" s="115"/>
      <c r="H34" s="115"/>
      <c r="I34" s="115"/>
      <c r="J34" s="115"/>
      <c r="K34" s="115">
        <f>+'Chi xã,TT 2025'!T20</f>
        <v>6778</v>
      </c>
      <c r="L34" s="115"/>
      <c r="M34" s="115"/>
      <c r="N34" s="115"/>
      <c r="O34" s="115">
        <f>+'Chi xã,TT 2025'!T36</f>
        <v>139</v>
      </c>
      <c r="P34" s="115"/>
      <c r="Q34" s="115">
        <f t="shared" si="7"/>
        <v>10</v>
      </c>
      <c r="R34" s="115"/>
      <c r="S34" s="115"/>
      <c r="T34" s="115">
        <f>+'Chi xã,TT 2025'!T40</f>
        <v>10</v>
      </c>
    </row>
    <row r="35" spans="1:22" ht="21" customHeight="1">
      <c r="A35" s="100">
        <v>18</v>
      </c>
      <c r="B35" s="98" t="s">
        <v>278</v>
      </c>
      <c r="C35" s="115">
        <f t="shared" si="5"/>
        <v>7629</v>
      </c>
      <c r="D35" s="115">
        <f t="shared" si="6"/>
        <v>7519</v>
      </c>
      <c r="E35" s="115">
        <f t="shared" si="4"/>
        <v>0</v>
      </c>
      <c r="F35" s="115"/>
      <c r="G35" s="115"/>
      <c r="H35" s="115"/>
      <c r="I35" s="115"/>
      <c r="J35" s="115"/>
      <c r="K35" s="115">
        <f>+'Chi xã,TT 2025'!U20</f>
        <v>7368</v>
      </c>
      <c r="L35" s="115"/>
      <c r="M35" s="115"/>
      <c r="N35" s="115"/>
      <c r="O35" s="115">
        <f>+'Chi xã,TT 2025'!U36</f>
        <v>151</v>
      </c>
      <c r="P35" s="115"/>
      <c r="Q35" s="115">
        <f t="shared" si="7"/>
        <v>110</v>
      </c>
      <c r="R35" s="115"/>
      <c r="S35" s="115"/>
      <c r="T35" s="115">
        <f>+'Chi xã,TT 2025'!U40</f>
        <v>110</v>
      </c>
    </row>
    <row r="36" spans="1:22" ht="21" customHeight="1" thickBot="1">
      <c r="A36" s="154">
        <v>19</v>
      </c>
      <c r="B36" s="155" t="s">
        <v>279</v>
      </c>
      <c r="C36" s="115">
        <f t="shared" si="5"/>
        <v>6622</v>
      </c>
      <c r="D36" s="115">
        <f t="shared" si="6"/>
        <v>6612</v>
      </c>
      <c r="E36" s="115">
        <f t="shared" si="4"/>
        <v>0</v>
      </c>
      <c r="F36" s="115"/>
      <c r="G36" s="115"/>
      <c r="H36" s="115"/>
      <c r="I36" s="115"/>
      <c r="J36" s="115"/>
      <c r="K36" s="115">
        <f>+'Chi xã,TT 2025'!V20</f>
        <v>6479</v>
      </c>
      <c r="L36" s="115"/>
      <c r="M36" s="115"/>
      <c r="N36" s="115"/>
      <c r="O36" s="115">
        <f>+'Chi xã,TT 2025'!V36</f>
        <v>133</v>
      </c>
      <c r="P36" s="115"/>
      <c r="Q36" s="115">
        <f t="shared" si="7"/>
        <v>10</v>
      </c>
      <c r="R36" s="115"/>
      <c r="S36" s="115"/>
      <c r="T36" s="115">
        <f>+'Chi xã,TT 2025'!V40</f>
        <v>10</v>
      </c>
    </row>
    <row r="37" spans="1:22" ht="19.5" thickTop="1">
      <c r="A37" s="59"/>
      <c r="B37" s="59"/>
      <c r="U37" s="59"/>
      <c r="V37" s="59"/>
    </row>
    <row r="38" spans="1:22" ht="18.75">
      <c r="A38" s="59"/>
      <c r="B38" s="59"/>
      <c r="U38" s="59"/>
      <c r="V38" s="59"/>
    </row>
    <row r="39" spans="1:22" ht="18.75">
      <c r="A39" s="59"/>
      <c r="B39" s="59"/>
      <c r="C39" s="59"/>
      <c r="D39" s="59"/>
      <c r="E39" s="59"/>
      <c r="F39" s="59"/>
      <c r="G39" s="59"/>
      <c r="H39" s="59"/>
      <c r="I39" s="59"/>
      <c r="J39" s="59"/>
      <c r="K39" s="59"/>
      <c r="L39" s="83"/>
      <c r="M39" s="59"/>
      <c r="N39" s="59"/>
      <c r="O39" s="59"/>
      <c r="P39" s="59"/>
      <c r="Q39" s="59"/>
      <c r="R39" s="59"/>
      <c r="S39" s="59"/>
      <c r="T39" s="59"/>
    </row>
  </sheetData>
  <mergeCells count="29">
    <mergeCell ref="A2:T2"/>
    <mergeCell ref="Q5:T6"/>
    <mergeCell ref="D7:D15"/>
    <mergeCell ref="S7:S15"/>
    <mergeCell ref="G4:I4"/>
    <mergeCell ref="K4:M4"/>
    <mergeCell ref="K7:M7"/>
    <mergeCell ref="I8:I15"/>
    <mergeCell ref="G9:G15"/>
    <mergeCell ref="C5:C15"/>
    <mergeCell ref="E7:J7"/>
    <mergeCell ref="L8:M8"/>
    <mergeCell ref="O7:O15"/>
    <mergeCell ref="P7:P15"/>
    <mergeCell ref="T7:T15"/>
    <mergeCell ref="R7:R15"/>
    <mergeCell ref="A5:A15"/>
    <mergeCell ref="E8:E15"/>
    <mergeCell ref="F8:G8"/>
    <mergeCell ref="K8:K15"/>
    <mergeCell ref="F9:F15"/>
    <mergeCell ref="B5:B15"/>
    <mergeCell ref="N7:N15"/>
    <mergeCell ref="Q7:Q15"/>
    <mergeCell ref="L9:L15"/>
    <mergeCell ref="M9:M15"/>
    <mergeCell ref="D5:P6"/>
    <mergeCell ref="J8:J15"/>
    <mergeCell ref="H8:H15"/>
  </mergeCells>
  <phoneticPr fontId="15" type="noConversion"/>
  <pageMargins left="0.39" right="0" top="0.33" bottom="0.44" header="0.25" footer="0.25"/>
  <pageSetup paperSize="9" scale="6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V44"/>
  <sheetViews>
    <sheetView view="pageBreakPreview" zoomScale="90" zoomScaleNormal="100" zoomScaleSheetLayoutView="90" workbookViewId="0">
      <selection activeCell="E22" sqref="E22"/>
    </sheetView>
  </sheetViews>
  <sheetFormatPr defaultColWidth="9" defaultRowHeight="15.75"/>
  <cols>
    <col min="1" max="1" width="7.33203125" style="22" customWidth="1"/>
    <col min="2" max="2" width="18" style="22" customWidth="1"/>
    <col min="3" max="3" width="12" style="22" customWidth="1"/>
    <col min="4" max="4" width="18.109375" style="22" customWidth="1"/>
    <col min="5" max="5" width="18.33203125" style="22" customWidth="1"/>
    <col min="6" max="6" width="15.21875" style="22" customWidth="1"/>
    <col min="7" max="7" width="12.44140625" style="22" bestFit="1" customWidth="1"/>
    <col min="8" max="16384" width="9" style="22"/>
  </cols>
  <sheetData>
    <row r="1" spans="1:9" ht="18.75">
      <c r="A1" s="54"/>
      <c r="B1" s="54"/>
      <c r="C1" s="56"/>
      <c r="D1" s="56"/>
      <c r="E1" s="95"/>
      <c r="F1" s="94" t="s">
        <v>196</v>
      </c>
      <c r="G1" s="42"/>
      <c r="H1" s="42"/>
      <c r="I1" s="42"/>
    </row>
    <row r="2" spans="1:9" ht="18.75">
      <c r="A2" s="101"/>
      <c r="B2" s="101"/>
      <c r="C2" s="56"/>
      <c r="D2" s="56"/>
      <c r="E2" s="56"/>
      <c r="F2" s="56"/>
    </row>
    <row r="3" spans="1:9" s="23" customFormat="1" ht="16.5">
      <c r="A3" s="91" t="s">
        <v>146</v>
      </c>
      <c r="B3" s="91"/>
      <c r="C3" s="92"/>
      <c r="D3" s="92"/>
      <c r="E3" s="92"/>
      <c r="F3" s="92"/>
    </row>
    <row r="4" spans="1:9" s="23" customFormat="1" ht="16.5">
      <c r="A4" s="810" t="s">
        <v>859</v>
      </c>
      <c r="B4" s="810"/>
      <c r="C4" s="810"/>
      <c r="D4" s="810"/>
      <c r="E4" s="810"/>
      <c r="F4" s="810"/>
    </row>
    <row r="5" spans="1:9">
      <c r="A5" s="99" t="str">
        <f>'PL15'!A3</f>
        <v xml:space="preserve"> Biểu kèm theo Báo cáo số 99/BC-BKTXH ngày 12/12/2024 của Ban KT-XH,HĐND huyện Tuần Giáo</v>
      </c>
      <c r="B5" s="54"/>
      <c r="C5" s="56"/>
      <c r="D5" s="56"/>
      <c r="E5" s="56"/>
      <c r="F5" s="56"/>
    </row>
    <row r="6" spans="1:9" ht="19.5" customHeight="1">
      <c r="A6" s="58"/>
      <c r="B6" s="58"/>
      <c r="C6" s="59"/>
      <c r="D6" s="59"/>
      <c r="E6" s="811" t="s">
        <v>87</v>
      </c>
      <c r="F6" s="811"/>
    </row>
    <row r="7" spans="1:9" ht="36.75" customHeight="1">
      <c r="A7" s="795" t="s">
        <v>58</v>
      </c>
      <c r="B7" s="792" t="s">
        <v>29</v>
      </c>
      <c r="C7" s="792" t="s">
        <v>76</v>
      </c>
      <c r="D7" s="795" t="s">
        <v>865</v>
      </c>
      <c r="E7" s="795" t="s">
        <v>694</v>
      </c>
      <c r="F7" s="795" t="s">
        <v>124</v>
      </c>
    </row>
    <row r="8" spans="1:9" ht="48.75" customHeight="1">
      <c r="A8" s="795"/>
      <c r="B8" s="792"/>
      <c r="C8" s="792"/>
      <c r="D8" s="795"/>
      <c r="E8" s="795"/>
      <c r="F8" s="795"/>
    </row>
    <row r="9" spans="1:9" s="41" customFormat="1" ht="21.75" customHeight="1">
      <c r="A9" s="40" t="s">
        <v>8</v>
      </c>
      <c r="B9" s="40" t="s">
        <v>9</v>
      </c>
      <c r="C9" s="40" t="s">
        <v>95</v>
      </c>
      <c r="D9" s="40">
        <v>2</v>
      </c>
      <c r="E9" s="40">
        <f>D9+1</f>
        <v>3</v>
      </c>
      <c r="F9" s="40">
        <f>E9+1</f>
        <v>4</v>
      </c>
    </row>
    <row r="10" spans="1:9" s="7" customFormat="1" ht="24" customHeight="1">
      <c r="A10" s="102"/>
      <c r="B10" s="63" t="s">
        <v>28</v>
      </c>
      <c r="C10" s="164">
        <f>SUM(C11:C29)</f>
        <v>3248</v>
      </c>
      <c r="D10" s="164">
        <f>SUM(D11:D29)</f>
        <v>0</v>
      </c>
      <c r="E10" s="164">
        <f>SUM(E11:E29)</f>
        <v>0</v>
      </c>
      <c r="F10" s="164">
        <f>SUM(F11:F29)</f>
        <v>3248</v>
      </c>
    </row>
    <row r="11" spans="1:9" ht="24" customHeight="1">
      <c r="A11" s="75">
        <v>1</v>
      </c>
      <c r="B11" s="62" t="s">
        <v>262</v>
      </c>
      <c r="C11" s="61">
        <f>SUM(D11:F11)</f>
        <v>1200</v>
      </c>
      <c r="D11" s="61"/>
      <c r="E11" s="61"/>
      <c r="F11" s="61">
        <f>+'Chi xã,TT 2025'!D40</f>
        <v>1200</v>
      </c>
    </row>
    <row r="12" spans="1:9" ht="24" customHeight="1">
      <c r="A12" s="75">
        <v>2</v>
      </c>
      <c r="B12" s="62" t="s">
        <v>263</v>
      </c>
      <c r="C12" s="61">
        <f t="shared" ref="C12" si="0">SUM(D12:F12)</f>
        <v>10</v>
      </c>
      <c r="D12" s="61"/>
      <c r="E12" s="61"/>
      <c r="F12" s="61">
        <f>+'Chi xã,TT 2025'!E40</f>
        <v>10</v>
      </c>
    </row>
    <row r="13" spans="1:9" ht="24" customHeight="1">
      <c r="A13" s="75">
        <v>3</v>
      </c>
      <c r="B13" s="62" t="s">
        <v>264</v>
      </c>
      <c r="C13" s="61">
        <f t="shared" ref="C13:C29" si="1">SUM(D13:F13)</f>
        <v>410</v>
      </c>
      <c r="D13" s="61"/>
      <c r="E13" s="61"/>
      <c r="F13" s="61">
        <f>+'Chi xã,TT 2025'!F40</f>
        <v>410</v>
      </c>
    </row>
    <row r="14" spans="1:9" ht="24" customHeight="1">
      <c r="A14" s="75">
        <v>4</v>
      </c>
      <c r="B14" s="62" t="s">
        <v>265</v>
      </c>
      <c r="C14" s="61">
        <f t="shared" si="1"/>
        <v>110</v>
      </c>
      <c r="D14" s="61"/>
      <c r="E14" s="61"/>
      <c r="F14" s="61">
        <f>+'Chi xã,TT 2025'!G40</f>
        <v>110</v>
      </c>
    </row>
    <row r="15" spans="1:9" ht="24" customHeight="1">
      <c r="A15" s="75">
        <v>5</v>
      </c>
      <c r="B15" s="62" t="s">
        <v>266</v>
      </c>
      <c r="C15" s="61">
        <f t="shared" si="1"/>
        <v>310</v>
      </c>
      <c r="D15" s="61"/>
      <c r="E15" s="61"/>
      <c r="F15" s="61">
        <f>+'Chi xã,TT 2025'!H40</f>
        <v>310</v>
      </c>
    </row>
    <row r="16" spans="1:9" ht="24" customHeight="1">
      <c r="A16" s="75">
        <v>6</v>
      </c>
      <c r="B16" s="62" t="s">
        <v>578</v>
      </c>
      <c r="C16" s="61">
        <f t="shared" si="1"/>
        <v>0</v>
      </c>
      <c r="D16" s="61"/>
      <c r="E16" s="61"/>
      <c r="F16" s="61">
        <f>+'Chi xã,TT 2025'!I40</f>
        <v>0</v>
      </c>
    </row>
    <row r="17" spans="1:22" ht="24" customHeight="1">
      <c r="A17" s="75">
        <v>7</v>
      </c>
      <c r="B17" s="62" t="s">
        <v>267</v>
      </c>
      <c r="C17" s="61">
        <f t="shared" si="1"/>
        <v>310</v>
      </c>
      <c r="D17" s="61"/>
      <c r="E17" s="61"/>
      <c r="F17" s="61">
        <f>+'Chi xã,TT 2025'!J40</f>
        <v>310</v>
      </c>
    </row>
    <row r="18" spans="1:22" ht="24" customHeight="1">
      <c r="A18" s="75">
        <v>8</v>
      </c>
      <c r="B18" s="62" t="s">
        <v>268</v>
      </c>
      <c r="C18" s="61">
        <f t="shared" si="1"/>
        <v>10</v>
      </c>
      <c r="D18" s="61"/>
      <c r="E18" s="61"/>
      <c r="F18" s="61">
        <f>+'Chi xã,TT 2025'!K40</f>
        <v>10</v>
      </c>
    </row>
    <row r="19" spans="1:22" ht="24" customHeight="1">
      <c r="A19" s="75">
        <v>9</v>
      </c>
      <c r="B19" s="62" t="s">
        <v>269</v>
      </c>
      <c r="C19" s="61">
        <f t="shared" si="1"/>
        <v>310</v>
      </c>
      <c r="D19" s="61"/>
      <c r="E19" s="61"/>
      <c r="F19" s="61">
        <f>+'Chi xã,TT 2025'!L40</f>
        <v>310</v>
      </c>
    </row>
    <row r="20" spans="1:22" ht="24" customHeight="1">
      <c r="A20" s="75">
        <v>10</v>
      </c>
      <c r="B20" s="62" t="s">
        <v>270</v>
      </c>
      <c r="C20" s="61">
        <f t="shared" si="1"/>
        <v>10</v>
      </c>
      <c r="D20" s="61"/>
      <c r="E20" s="61"/>
      <c r="F20" s="61">
        <f>+'Chi xã,TT 2025'!M40</f>
        <v>10</v>
      </c>
    </row>
    <row r="21" spans="1:22" ht="24" customHeight="1">
      <c r="A21" s="75">
        <v>11</v>
      </c>
      <c r="B21" s="62" t="s">
        <v>271</v>
      </c>
      <c r="C21" s="61">
        <f t="shared" si="1"/>
        <v>10</v>
      </c>
      <c r="D21" s="61"/>
      <c r="E21" s="61"/>
      <c r="F21" s="61">
        <f>+'Chi xã,TT 2025'!N40</f>
        <v>10</v>
      </c>
    </row>
    <row r="22" spans="1:22" ht="24" customHeight="1">
      <c r="A22" s="75">
        <v>12</v>
      </c>
      <c r="B22" s="62" t="s">
        <v>272</v>
      </c>
      <c r="C22" s="61">
        <f t="shared" si="1"/>
        <v>10</v>
      </c>
      <c r="D22" s="61"/>
      <c r="E22" s="61"/>
      <c r="F22" s="61">
        <f>+'Chi xã,TT 2025'!O40</f>
        <v>10</v>
      </c>
    </row>
    <row r="23" spans="1:22" ht="24" customHeight="1">
      <c r="A23" s="75">
        <v>13</v>
      </c>
      <c r="B23" s="62" t="s">
        <v>273</v>
      </c>
      <c r="C23" s="61">
        <f t="shared" si="1"/>
        <v>10</v>
      </c>
      <c r="D23" s="61"/>
      <c r="E23" s="61"/>
      <c r="F23" s="61">
        <f>+'Chi xã,TT 2025'!P40</f>
        <v>10</v>
      </c>
    </row>
    <row r="24" spans="1:22" ht="24" customHeight="1">
      <c r="A24" s="75">
        <v>14</v>
      </c>
      <c r="B24" s="62" t="s">
        <v>274</v>
      </c>
      <c r="C24" s="61">
        <f t="shared" si="1"/>
        <v>388</v>
      </c>
      <c r="D24" s="61"/>
      <c r="E24" s="61"/>
      <c r="F24" s="61">
        <f>+'Chi xã,TT 2025'!Q40</f>
        <v>388</v>
      </c>
    </row>
    <row r="25" spans="1:22" ht="24" customHeight="1">
      <c r="A25" s="75">
        <v>15</v>
      </c>
      <c r="B25" s="62" t="s">
        <v>275</v>
      </c>
      <c r="C25" s="61">
        <f t="shared" si="1"/>
        <v>10</v>
      </c>
      <c r="D25" s="61"/>
      <c r="E25" s="61"/>
      <c r="F25" s="61">
        <f>+'Chi xã,TT 2025'!R40</f>
        <v>10</v>
      </c>
    </row>
    <row r="26" spans="1:22" ht="24" customHeight="1">
      <c r="A26" s="75">
        <v>16</v>
      </c>
      <c r="B26" s="62" t="s">
        <v>276</v>
      </c>
      <c r="C26" s="61">
        <f t="shared" si="1"/>
        <v>10</v>
      </c>
      <c r="D26" s="61"/>
      <c r="E26" s="61"/>
      <c r="F26" s="61">
        <f>+'Chi xã,TT 2025'!S40</f>
        <v>10</v>
      </c>
    </row>
    <row r="27" spans="1:22" ht="24" customHeight="1">
      <c r="A27" s="75">
        <v>17</v>
      </c>
      <c r="B27" s="62" t="s">
        <v>277</v>
      </c>
      <c r="C27" s="61">
        <f t="shared" si="1"/>
        <v>10</v>
      </c>
      <c r="D27" s="61"/>
      <c r="E27" s="61"/>
      <c r="F27" s="61">
        <f>+'Chi xã,TT 2025'!T40</f>
        <v>10</v>
      </c>
    </row>
    <row r="28" spans="1:22" ht="24" customHeight="1">
      <c r="A28" s="75">
        <v>18</v>
      </c>
      <c r="B28" s="62" t="s">
        <v>278</v>
      </c>
      <c r="C28" s="61">
        <f t="shared" si="1"/>
        <v>110</v>
      </c>
      <c r="D28" s="61"/>
      <c r="E28" s="61"/>
      <c r="F28" s="61">
        <f>+'Chi xã,TT 2025'!U40</f>
        <v>110</v>
      </c>
    </row>
    <row r="29" spans="1:22" ht="24" customHeight="1" thickBot="1">
      <c r="A29" s="152">
        <v>19</v>
      </c>
      <c r="B29" s="148" t="s">
        <v>279</v>
      </c>
      <c r="C29" s="156">
        <f t="shared" si="1"/>
        <v>10</v>
      </c>
      <c r="D29" s="61"/>
      <c r="E29" s="61"/>
      <c r="F29" s="61">
        <f>+'Chi xã,TT 2025'!V40</f>
        <v>10</v>
      </c>
    </row>
    <row r="30" spans="1:22" ht="25.5" customHeight="1" thickTop="1">
      <c r="A30" s="35"/>
      <c r="B30" s="37"/>
      <c r="C30" s="26"/>
      <c r="D30" s="26"/>
      <c r="E30" s="26"/>
      <c r="F30" s="26"/>
    </row>
    <row r="31" spans="1:22" ht="18.75">
      <c r="A31" s="26"/>
      <c r="B31" s="26"/>
      <c r="C31" s="26"/>
      <c r="U31" s="26"/>
      <c r="V31" s="26"/>
    </row>
    <row r="32" spans="1:22" ht="18.75">
      <c r="A32" s="26"/>
      <c r="B32" s="26"/>
      <c r="C32" s="26"/>
      <c r="D32" s="26"/>
      <c r="E32" s="26"/>
      <c r="F32" s="26"/>
    </row>
    <row r="33" spans="1:6" ht="18.75">
      <c r="A33" s="26"/>
      <c r="B33" s="26"/>
      <c r="C33" s="26"/>
      <c r="D33" s="26"/>
      <c r="E33" s="26"/>
      <c r="F33" s="26"/>
    </row>
    <row r="34" spans="1:6" ht="18.75">
      <c r="A34" s="26"/>
      <c r="B34" s="26"/>
      <c r="C34" s="26"/>
      <c r="D34" s="26"/>
      <c r="E34" s="26"/>
      <c r="F34" s="26"/>
    </row>
    <row r="35" spans="1:6" ht="18.75">
      <c r="A35" s="26"/>
      <c r="B35" s="26"/>
      <c r="C35" s="26"/>
      <c r="D35" s="26"/>
      <c r="E35" s="26"/>
      <c r="F35" s="26"/>
    </row>
    <row r="36" spans="1:6" ht="18.75">
      <c r="A36" s="26"/>
      <c r="B36" s="26"/>
      <c r="C36" s="26"/>
      <c r="D36" s="26"/>
      <c r="E36" s="26"/>
      <c r="F36" s="26"/>
    </row>
    <row r="37" spans="1:6" ht="18.75">
      <c r="A37" s="26"/>
      <c r="B37" s="26"/>
      <c r="C37" s="26"/>
      <c r="D37" s="26"/>
      <c r="E37" s="26"/>
      <c r="F37" s="26"/>
    </row>
    <row r="38" spans="1:6" ht="18.75">
      <c r="A38" s="26"/>
      <c r="B38" s="26"/>
      <c r="C38" s="26"/>
      <c r="D38" s="26"/>
      <c r="E38" s="26"/>
      <c r="F38" s="26"/>
    </row>
    <row r="39" spans="1:6" ht="18.75">
      <c r="A39" s="26"/>
      <c r="B39" s="26"/>
      <c r="C39" s="26"/>
      <c r="D39" s="26"/>
      <c r="E39" s="26"/>
      <c r="F39" s="26"/>
    </row>
    <row r="40" spans="1:6" ht="22.5" customHeight="1">
      <c r="A40" s="26"/>
      <c r="B40" s="26"/>
      <c r="C40" s="26"/>
      <c r="D40" s="26"/>
      <c r="E40" s="26"/>
      <c r="F40" s="26"/>
    </row>
    <row r="41" spans="1:6" ht="18.75">
      <c r="A41" s="26"/>
      <c r="B41" s="26"/>
      <c r="C41" s="26"/>
      <c r="D41" s="26"/>
      <c r="E41" s="26"/>
      <c r="F41" s="26"/>
    </row>
    <row r="42" spans="1:6" ht="18.75">
      <c r="A42" s="26"/>
      <c r="B42" s="26"/>
      <c r="C42" s="26"/>
      <c r="D42" s="26"/>
      <c r="E42" s="26"/>
      <c r="F42" s="26"/>
    </row>
    <row r="43" spans="1:6" ht="18.75">
      <c r="A43" s="26"/>
      <c r="B43" s="26"/>
      <c r="C43" s="26"/>
      <c r="D43" s="26"/>
      <c r="E43" s="26"/>
      <c r="F43" s="26"/>
    </row>
    <row r="44" spans="1:6" ht="18.75">
      <c r="A44" s="26"/>
      <c r="B44" s="26"/>
      <c r="C44" s="26"/>
      <c r="D44" s="26"/>
      <c r="E44" s="26"/>
      <c r="F44" s="26"/>
    </row>
  </sheetData>
  <mergeCells count="8">
    <mergeCell ref="A4:F4"/>
    <mergeCell ref="E6:F6"/>
    <mergeCell ref="A7:A8"/>
    <mergeCell ref="B7:B8"/>
    <mergeCell ref="C7:C8"/>
    <mergeCell ref="D7:D8"/>
    <mergeCell ref="E7:E8"/>
    <mergeCell ref="F7:F8"/>
  </mergeCells>
  <pageMargins left="0.66" right="0.48" top="0.64" bottom="0.4" header="0.3" footer="0.3"/>
  <pageSetup paperSize="9" scale="85"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32"/>
  <sheetViews>
    <sheetView view="pageBreakPreview" zoomScale="90" zoomScaleNormal="70" zoomScaleSheetLayoutView="90" workbookViewId="0">
      <selection activeCell="K12" sqref="K12"/>
    </sheetView>
  </sheetViews>
  <sheetFormatPr defaultColWidth="9" defaultRowHeight="15.75"/>
  <cols>
    <col min="1" max="1" width="6.33203125" style="22" customWidth="1"/>
    <col min="2" max="2" width="17.44140625" style="22" customWidth="1"/>
    <col min="3" max="17" width="9.33203125" style="22" customWidth="1"/>
    <col min="18" max="16384" width="9" style="22"/>
  </cols>
  <sheetData>
    <row r="1" spans="1:17" ht="24.75" customHeight="1">
      <c r="A1" s="46"/>
      <c r="N1" s="831" t="s">
        <v>228</v>
      </c>
      <c r="O1" s="831"/>
      <c r="P1" s="831"/>
      <c r="Q1" s="831"/>
    </row>
    <row r="2" spans="1:17" ht="44.25" customHeight="1">
      <c r="A2" s="832" t="s">
        <v>860</v>
      </c>
      <c r="B2" s="832"/>
      <c r="C2" s="832"/>
      <c r="D2" s="832"/>
      <c r="E2" s="832"/>
      <c r="F2" s="832"/>
      <c r="G2" s="832"/>
      <c r="H2" s="832"/>
      <c r="I2" s="832"/>
      <c r="J2" s="832"/>
      <c r="K2" s="832"/>
      <c r="L2" s="832"/>
      <c r="M2" s="832"/>
      <c r="N2" s="832"/>
      <c r="O2" s="832"/>
      <c r="P2" s="832"/>
      <c r="Q2" s="832"/>
    </row>
    <row r="3" spans="1:17" ht="21.75" customHeight="1">
      <c r="A3" s="833" t="str">
        <f>'PL42-NSX'!A5</f>
        <v xml:space="preserve"> Biểu kèm theo Báo cáo số 99/BC-BKTXH ngày 12/12/2024 của Ban KT-XH,HĐND huyện Tuần Giáo</v>
      </c>
      <c r="B3" s="833"/>
      <c r="C3" s="833"/>
      <c r="D3" s="833"/>
      <c r="E3" s="833"/>
      <c r="F3" s="833"/>
      <c r="G3" s="833"/>
      <c r="H3" s="833"/>
      <c r="I3" s="833"/>
      <c r="J3" s="833"/>
      <c r="K3" s="833"/>
      <c r="L3" s="833"/>
      <c r="M3" s="833"/>
      <c r="N3" s="833"/>
      <c r="O3" s="833"/>
      <c r="P3" s="833"/>
      <c r="Q3" s="833"/>
    </row>
    <row r="4" spans="1:17" ht="21.75" customHeight="1">
      <c r="A4" s="47"/>
      <c r="J4" s="834" t="s">
        <v>87</v>
      </c>
      <c r="K4" s="834"/>
      <c r="L4" s="834"/>
      <c r="M4" s="834"/>
      <c r="N4" s="834"/>
      <c r="O4" s="834"/>
      <c r="P4" s="834"/>
      <c r="Q4" s="834"/>
    </row>
    <row r="5" spans="1:17" ht="75.75" customHeight="1">
      <c r="A5" s="795" t="s">
        <v>58</v>
      </c>
      <c r="B5" s="795" t="s">
        <v>223</v>
      </c>
      <c r="C5" s="795" t="s">
        <v>76</v>
      </c>
      <c r="D5" s="795"/>
      <c r="E5" s="795"/>
      <c r="F5" s="795" t="s">
        <v>280</v>
      </c>
      <c r="G5" s="795"/>
      <c r="H5" s="795"/>
      <c r="I5" s="795" t="s">
        <v>281</v>
      </c>
      <c r="J5" s="795"/>
      <c r="K5" s="795"/>
      <c r="L5" s="795" t="s">
        <v>282</v>
      </c>
      <c r="M5" s="795"/>
      <c r="N5" s="795"/>
      <c r="O5" s="795" t="s">
        <v>283</v>
      </c>
      <c r="P5" s="795"/>
      <c r="Q5" s="795"/>
    </row>
    <row r="6" spans="1:17" ht="61.5" customHeight="1">
      <c r="A6" s="795"/>
      <c r="B6" s="795"/>
      <c r="C6" s="163" t="s">
        <v>76</v>
      </c>
      <c r="D6" s="163" t="s">
        <v>224</v>
      </c>
      <c r="E6" s="163" t="s">
        <v>225</v>
      </c>
      <c r="F6" s="163" t="s">
        <v>76</v>
      </c>
      <c r="G6" s="163" t="s">
        <v>224</v>
      </c>
      <c r="H6" s="163" t="s">
        <v>225</v>
      </c>
      <c r="I6" s="163" t="s">
        <v>76</v>
      </c>
      <c r="J6" s="163" t="s">
        <v>224</v>
      </c>
      <c r="K6" s="163" t="s">
        <v>225</v>
      </c>
      <c r="L6" s="163" t="s">
        <v>76</v>
      </c>
      <c r="M6" s="163" t="s">
        <v>224</v>
      </c>
      <c r="N6" s="163" t="s">
        <v>225</v>
      </c>
      <c r="O6" s="163" t="s">
        <v>76</v>
      </c>
      <c r="P6" s="163" t="s">
        <v>224</v>
      </c>
      <c r="Q6" s="163" t="s">
        <v>225</v>
      </c>
    </row>
    <row r="7" spans="1:17" s="39" customFormat="1" ht="20.25" customHeight="1">
      <c r="A7" s="32" t="s">
        <v>8</v>
      </c>
      <c r="B7" s="32" t="s">
        <v>9</v>
      </c>
      <c r="C7" s="32" t="s">
        <v>46</v>
      </c>
      <c r="D7" s="32">
        <v>2</v>
      </c>
      <c r="E7" s="32">
        <v>3</v>
      </c>
      <c r="F7" s="32" t="s">
        <v>226</v>
      </c>
      <c r="G7" s="32">
        <v>5</v>
      </c>
      <c r="H7" s="32">
        <v>6</v>
      </c>
      <c r="I7" s="32" t="s">
        <v>227</v>
      </c>
      <c r="J7" s="32">
        <v>8</v>
      </c>
      <c r="K7" s="32">
        <v>9</v>
      </c>
      <c r="L7" s="32" t="s">
        <v>284</v>
      </c>
      <c r="M7" s="32">
        <v>11</v>
      </c>
      <c r="N7" s="32">
        <v>12</v>
      </c>
      <c r="O7" s="32" t="s">
        <v>285</v>
      </c>
      <c r="P7" s="32">
        <v>14</v>
      </c>
      <c r="Q7" s="32">
        <v>15</v>
      </c>
    </row>
    <row r="8" spans="1:17" s="7" customFormat="1" ht="20.25" customHeight="1">
      <c r="A8" s="163"/>
      <c r="B8" s="28" t="s">
        <v>28</v>
      </c>
      <c r="C8" s="48">
        <f>SUM(C9:C27)</f>
        <v>2080</v>
      </c>
      <c r="D8" s="48">
        <f t="shared" ref="D8:Q8" si="0">SUM(D9:D27)</f>
        <v>2080</v>
      </c>
      <c r="E8" s="48">
        <f t="shared" si="0"/>
        <v>0</v>
      </c>
      <c r="F8" s="48">
        <f t="shared" si="0"/>
        <v>0</v>
      </c>
      <c r="G8" s="48">
        <f t="shared" si="0"/>
        <v>0</v>
      </c>
      <c r="H8" s="48">
        <f t="shared" si="0"/>
        <v>0</v>
      </c>
      <c r="I8" s="48">
        <f t="shared" si="0"/>
        <v>0</v>
      </c>
      <c r="J8" s="48">
        <f t="shared" si="0"/>
        <v>0</v>
      </c>
      <c r="K8" s="48">
        <f t="shared" si="0"/>
        <v>0</v>
      </c>
      <c r="L8" s="48">
        <f t="shared" si="0"/>
        <v>2080</v>
      </c>
      <c r="M8" s="48">
        <f>SUM(M9:M27)</f>
        <v>2080</v>
      </c>
      <c r="N8" s="48">
        <f t="shared" si="0"/>
        <v>0</v>
      </c>
      <c r="O8" s="48">
        <f t="shared" si="0"/>
        <v>0</v>
      </c>
      <c r="P8" s="48">
        <f t="shared" si="0"/>
        <v>0</v>
      </c>
      <c r="Q8" s="48">
        <f t="shared" si="0"/>
        <v>0</v>
      </c>
    </row>
    <row r="9" spans="1:17" ht="20.25" customHeight="1">
      <c r="A9" s="49">
        <v>1</v>
      </c>
      <c r="B9" s="30" t="s">
        <v>262</v>
      </c>
      <c r="C9" s="115">
        <f>+D9+E9</f>
        <v>110</v>
      </c>
      <c r="D9" s="115">
        <f>+G9+J9+M9+P9</f>
        <v>110</v>
      </c>
      <c r="E9" s="115">
        <f>+H9+K9+N9+Q9</f>
        <v>0</v>
      </c>
      <c r="F9" s="115">
        <f>G9+H9</f>
        <v>0</v>
      </c>
      <c r="G9" s="115"/>
      <c r="H9" s="115"/>
      <c r="I9" s="115">
        <f>J9+K9</f>
        <v>0</v>
      </c>
      <c r="J9" s="115"/>
      <c r="K9" s="115"/>
      <c r="L9" s="115">
        <f t="shared" ref="L9:L27" si="1">M9+N9</f>
        <v>110</v>
      </c>
      <c r="M9" s="115">
        <f>+'Chi xã,TT 2025'!D56</f>
        <v>110</v>
      </c>
      <c r="N9" s="115"/>
      <c r="O9" s="115">
        <f>P9+Q9</f>
        <v>0</v>
      </c>
      <c r="P9" s="115"/>
      <c r="Q9" s="115"/>
    </row>
    <row r="10" spans="1:17" ht="20.25" customHeight="1">
      <c r="A10" s="49">
        <v>2</v>
      </c>
      <c r="B10" s="30" t="s">
        <v>263</v>
      </c>
      <c r="C10" s="115">
        <f t="shared" ref="C10:C27" si="2">+D10+E10</f>
        <v>10</v>
      </c>
      <c r="D10" s="115">
        <f t="shared" ref="D10:D27" si="3">+G10+J10+M10+P10</f>
        <v>10</v>
      </c>
      <c r="E10" s="115">
        <f t="shared" ref="E10:E27" si="4">+H10+K10+N10+Q10</f>
        <v>0</v>
      </c>
      <c r="F10" s="115">
        <f t="shared" ref="F10:F27" si="5">G10+H10</f>
        <v>0</v>
      </c>
      <c r="G10" s="115"/>
      <c r="H10" s="115"/>
      <c r="I10" s="115">
        <f t="shared" ref="I10:I27" si="6">J10+K10</f>
        <v>0</v>
      </c>
      <c r="J10" s="115"/>
      <c r="K10" s="115"/>
      <c r="L10" s="115">
        <f t="shared" si="1"/>
        <v>10</v>
      </c>
      <c r="M10" s="115">
        <f>+'Chi xã,TT 2025'!E56</f>
        <v>10</v>
      </c>
      <c r="N10" s="115"/>
      <c r="O10" s="115">
        <f t="shared" ref="O10:O27" si="7">P10+Q10</f>
        <v>0</v>
      </c>
      <c r="P10" s="115"/>
      <c r="Q10" s="115"/>
    </row>
    <row r="11" spans="1:17" ht="20.25" customHeight="1">
      <c r="A11" s="49">
        <v>3</v>
      </c>
      <c r="B11" s="30" t="s">
        <v>264</v>
      </c>
      <c r="C11" s="115">
        <f t="shared" si="2"/>
        <v>410</v>
      </c>
      <c r="D11" s="115">
        <f t="shared" si="3"/>
        <v>410</v>
      </c>
      <c r="E11" s="115">
        <f t="shared" si="4"/>
        <v>0</v>
      </c>
      <c r="F11" s="115">
        <f t="shared" si="5"/>
        <v>0</v>
      </c>
      <c r="G11" s="115"/>
      <c r="H11" s="115"/>
      <c r="I11" s="115">
        <f t="shared" si="6"/>
        <v>0</v>
      </c>
      <c r="J11" s="115"/>
      <c r="K11" s="115"/>
      <c r="L11" s="115">
        <f t="shared" si="1"/>
        <v>410</v>
      </c>
      <c r="M11" s="115">
        <f>+'Chi xã,TT 2025'!F56</f>
        <v>410</v>
      </c>
      <c r="N11" s="115"/>
      <c r="O11" s="115">
        <f t="shared" si="7"/>
        <v>0</v>
      </c>
      <c r="P11" s="115"/>
      <c r="Q11" s="115"/>
    </row>
    <row r="12" spans="1:17" ht="20.25" customHeight="1">
      <c r="A12" s="49">
        <v>4</v>
      </c>
      <c r="B12" s="30" t="s">
        <v>265</v>
      </c>
      <c r="C12" s="115">
        <f t="shared" si="2"/>
        <v>110</v>
      </c>
      <c r="D12" s="115">
        <f t="shared" si="3"/>
        <v>110</v>
      </c>
      <c r="E12" s="115">
        <f t="shared" si="4"/>
        <v>0</v>
      </c>
      <c r="F12" s="115">
        <f t="shared" si="5"/>
        <v>0</v>
      </c>
      <c r="G12" s="115"/>
      <c r="H12" s="115"/>
      <c r="I12" s="115">
        <f t="shared" si="6"/>
        <v>0</v>
      </c>
      <c r="J12" s="115"/>
      <c r="K12" s="115"/>
      <c r="L12" s="115">
        <f t="shared" si="1"/>
        <v>110</v>
      </c>
      <c r="M12" s="115">
        <f>+'Chi xã,TT 2025'!G56</f>
        <v>110</v>
      </c>
      <c r="N12" s="115"/>
      <c r="O12" s="115">
        <f t="shared" si="7"/>
        <v>0</v>
      </c>
      <c r="P12" s="115"/>
      <c r="Q12" s="115"/>
    </row>
    <row r="13" spans="1:17" ht="20.25" customHeight="1">
      <c r="A13" s="49">
        <v>5</v>
      </c>
      <c r="B13" s="30" t="s">
        <v>266</v>
      </c>
      <c r="C13" s="115">
        <f t="shared" si="2"/>
        <v>310</v>
      </c>
      <c r="D13" s="115">
        <f t="shared" si="3"/>
        <v>310</v>
      </c>
      <c r="E13" s="115">
        <f t="shared" si="4"/>
        <v>0</v>
      </c>
      <c r="F13" s="115">
        <f t="shared" si="5"/>
        <v>0</v>
      </c>
      <c r="G13" s="115"/>
      <c r="H13" s="115"/>
      <c r="I13" s="115">
        <f t="shared" si="6"/>
        <v>0</v>
      </c>
      <c r="J13" s="115"/>
      <c r="K13" s="115"/>
      <c r="L13" s="115">
        <f t="shared" si="1"/>
        <v>310</v>
      </c>
      <c r="M13" s="115">
        <f>+'Chi xã,TT 2025'!H56</f>
        <v>310</v>
      </c>
      <c r="N13" s="115"/>
      <c r="O13" s="115">
        <f t="shared" si="7"/>
        <v>0</v>
      </c>
      <c r="P13" s="115"/>
      <c r="Q13" s="115"/>
    </row>
    <row r="14" spans="1:17" ht="20.25" customHeight="1">
      <c r="A14" s="49">
        <v>6</v>
      </c>
      <c r="B14" s="30" t="s">
        <v>578</v>
      </c>
      <c r="C14" s="115">
        <f t="shared" si="2"/>
        <v>0</v>
      </c>
      <c r="D14" s="115">
        <f t="shared" si="3"/>
        <v>0</v>
      </c>
      <c r="E14" s="115">
        <f t="shared" si="4"/>
        <v>0</v>
      </c>
      <c r="F14" s="115">
        <f t="shared" si="5"/>
        <v>0</v>
      </c>
      <c r="G14" s="115"/>
      <c r="H14" s="115"/>
      <c r="I14" s="115">
        <f t="shared" si="6"/>
        <v>0</v>
      </c>
      <c r="J14" s="115"/>
      <c r="K14" s="115"/>
      <c r="L14" s="115">
        <f t="shared" si="1"/>
        <v>0</v>
      </c>
      <c r="M14" s="115">
        <f>+'Chi xã,TT 2025'!I56</f>
        <v>0</v>
      </c>
      <c r="N14" s="115"/>
      <c r="O14" s="115">
        <f t="shared" si="7"/>
        <v>0</v>
      </c>
      <c r="P14" s="115"/>
      <c r="Q14" s="115"/>
    </row>
    <row r="15" spans="1:17" ht="20.25" customHeight="1">
      <c r="A15" s="49">
        <v>7</v>
      </c>
      <c r="B15" s="30" t="s">
        <v>267</v>
      </c>
      <c r="C15" s="115">
        <f t="shared" si="2"/>
        <v>310</v>
      </c>
      <c r="D15" s="115">
        <f t="shared" si="3"/>
        <v>310</v>
      </c>
      <c r="E15" s="115">
        <f t="shared" si="4"/>
        <v>0</v>
      </c>
      <c r="F15" s="115">
        <f t="shared" si="5"/>
        <v>0</v>
      </c>
      <c r="G15" s="115"/>
      <c r="H15" s="115"/>
      <c r="I15" s="115">
        <f t="shared" si="6"/>
        <v>0</v>
      </c>
      <c r="J15" s="115"/>
      <c r="K15" s="115"/>
      <c r="L15" s="115">
        <f t="shared" si="1"/>
        <v>310</v>
      </c>
      <c r="M15" s="115">
        <f>+'Chi xã,TT 2025'!J56</f>
        <v>310</v>
      </c>
      <c r="N15" s="115"/>
      <c r="O15" s="115">
        <f t="shared" si="7"/>
        <v>0</v>
      </c>
      <c r="P15" s="115"/>
      <c r="Q15" s="115"/>
    </row>
    <row r="16" spans="1:17" ht="20.25" customHeight="1">
      <c r="A16" s="49">
        <v>8</v>
      </c>
      <c r="B16" s="30" t="s">
        <v>268</v>
      </c>
      <c r="C16" s="115">
        <f t="shared" si="2"/>
        <v>10</v>
      </c>
      <c r="D16" s="115">
        <f t="shared" si="3"/>
        <v>10</v>
      </c>
      <c r="E16" s="115">
        <f t="shared" si="4"/>
        <v>0</v>
      </c>
      <c r="F16" s="115">
        <f t="shared" si="5"/>
        <v>0</v>
      </c>
      <c r="G16" s="115"/>
      <c r="H16" s="115"/>
      <c r="I16" s="115">
        <f t="shared" si="6"/>
        <v>0</v>
      </c>
      <c r="J16" s="115"/>
      <c r="K16" s="115"/>
      <c r="L16" s="115">
        <f t="shared" si="1"/>
        <v>10</v>
      </c>
      <c r="M16" s="115">
        <f>+'Chi xã,TT 2025'!K56</f>
        <v>10</v>
      </c>
      <c r="N16" s="115"/>
      <c r="O16" s="115">
        <f t="shared" si="7"/>
        <v>0</v>
      </c>
      <c r="P16" s="115"/>
      <c r="Q16" s="115"/>
    </row>
    <row r="17" spans="1:17" ht="20.25" customHeight="1">
      <c r="A17" s="49">
        <v>9</v>
      </c>
      <c r="B17" s="30" t="s">
        <v>269</v>
      </c>
      <c r="C17" s="115">
        <f t="shared" si="2"/>
        <v>310</v>
      </c>
      <c r="D17" s="115">
        <f t="shared" si="3"/>
        <v>310</v>
      </c>
      <c r="E17" s="115">
        <f t="shared" si="4"/>
        <v>0</v>
      </c>
      <c r="F17" s="115">
        <f t="shared" si="5"/>
        <v>0</v>
      </c>
      <c r="G17" s="115"/>
      <c r="H17" s="115"/>
      <c r="I17" s="115">
        <f t="shared" si="6"/>
        <v>0</v>
      </c>
      <c r="J17" s="115"/>
      <c r="K17" s="115"/>
      <c r="L17" s="115">
        <f t="shared" si="1"/>
        <v>310</v>
      </c>
      <c r="M17" s="115">
        <f>+'Chi xã,TT 2025'!L56</f>
        <v>310</v>
      </c>
      <c r="N17" s="115"/>
      <c r="O17" s="115">
        <f t="shared" si="7"/>
        <v>0</v>
      </c>
      <c r="P17" s="115"/>
      <c r="Q17" s="115"/>
    </row>
    <row r="18" spans="1:17" ht="20.25" customHeight="1">
      <c r="A18" s="49">
        <v>10</v>
      </c>
      <c r="B18" s="30" t="s">
        <v>270</v>
      </c>
      <c r="C18" s="115">
        <f t="shared" si="2"/>
        <v>10</v>
      </c>
      <c r="D18" s="115">
        <f t="shared" si="3"/>
        <v>10</v>
      </c>
      <c r="E18" s="115">
        <f t="shared" si="4"/>
        <v>0</v>
      </c>
      <c r="F18" s="115">
        <f t="shared" si="5"/>
        <v>0</v>
      </c>
      <c r="G18" s="115"/>
      <c r="H18" s="115"/>
      <c r="I18" s="115">
        <f t="shared" si="6"/>
        <v>0</v>
      </c>
      <c r="J18" s="115"/>
      <c r="K18" s="115"/>
      <c r="L18" s="115">
        <f t="shared" si="1"/>
        <v>10</v>
      </c>
      <c r="M18" s="115">
        <f>+'Chi xã,TT 2025'!M56</f>
        <v>10</v>
      </c>
      <c r="N18" s="115"/>
      <c r="O18" s="115">
        <f t="shared" si="7"/>
        <v>0</v>
      </c>
      <c r="P18" s="115"/>
      <c r="Q18" s="115"/>
    </row>
    <row r="19" spans="1:17" ht="20.25" customHeight="1">
      <c r="A19" s="49">
        <v>11</v>
      </c>
      <c r="B19" s="30" t="s">
        <v>271</v>
      </c>
      <c r="C19" s="115">
        <f t="shared" si="2"/>
        <v>10</v>
      </c>
      <c r="D19" s="115">
        <f t="shared" si="3"/>
        <v>10</v>
      </c>
      <c r="E19" s="115">
        <f t="shared" si="4"/>
        <v>0</v>
      </c>
      <c r="F19" s="115">
        <f t="shared" si="5"/>
        <v>0</v>
      </c>
      <c r="G19" s="115"/>
      <c r="H19" s="115"/>
      <c r="I19" s="115">
        <f t="shared" si="6"/>
        <v>0</v>
      </c>
      <c r="J19" s="115"/>
      <c r="K19" s="115"/>
      <c r="L19" s="115">
        <f t="shared" si="1"/>
        <v>10</v>
      </c>
      <c r="M19" s="115">
        <f>+'Chi xã,TT 2025'!N56</f>
        <v>10</v>
      </c>
      <c r="N19" s="115"/>
      <c r="O19" s="115">
        <f t="shared" si="7"/>
        <v>0</v>
      </c>
      <c r="P19" s="115"/>
      <c r="Q19" s="115"/>
    </row>
    <row r="20" spans="1:17" ht="20.25" customHeight="1">
      <c r="A20" s="49">
        <v>12</v>
      </c>
      <c r="B20" s="30" t="s">
        <v>272</v>
      </c>
      <c r="C20" s="115">
        <f t="shared" si="2"/>
        <v>10</v>
      </c>
      <c r="D20" s="115">
        <f t="shared" si="3"/>
        <v>10</v>
      </c>
      <c r="E20" s="115">
        <f t="shared" si="4"/>
        <v>0</v>
      </c>
      <c r="F20" s="115">
        <f t="shared" si="5"/>
        <v>0</v>
      </c>
      <c r="G20" s="115"/>
      <c r="H20" s="115"/>
      <c r="I20" s="115">
        <f t="shared" si="6"/>
        <v>0</v>
      </c>
      <c r="J20" s="115"/>
      <c r="K20" s="115"/>
      <c r="L20" s="115">
        <f t="shared" si="1"/>
        <v>10</v>
      </c>
      <c r="M20" s="115">
        <f>+'Chi xã,TT 2025'!O56</f>
        <v>10</v>
      </c>
      <c r="N20" s="115"/>
      <c r="O20" s="115">
        <f t="shared" si="7"/>
        <v>0</v>
      </c>
      <c r="P20" s="115"/>
      <c r="Q20" s="115"/>
    </row>
    <row r="21" spans="1:17" ht="20.25" customHeight="1">
      <c r="A21" s="49">
        <v>13</v>
      </c>
      <c r="B21" s="30" t="s">
        <v>273</v>
      </c>
      <c r="C21" s="115">
        <f t="shared" si="2"/>
        <v>10</v>
      </c>
      <c r="D21" s="115">
        <f t="shared" si="3"/>
        <v>10</v>
      </c>
      <c r="E21" s="115">
        <f t="shared" si="4"/>
        <v>0</v>
      </c>
      <c r="F21" s="115">
        <f t="shared" si="5"/>
        <v>0</v>
      </c>
      <c r="G21" s="115"/>
      <c r="H21" s="115"/>
      <c r="I21" s="115">
        <f t="shared" si="6"/>
        <v>0</v>
      </c>
      <c r="J21" s="115"/>
      <c r="K21" s="115"/>
      <c r="L21" s="115">
        <f t="shared" si="1"/>
        <v>10</v>
      </c>
      <c r="M21" s="115">
        <f>+'Chi xã,TT 2025'!P56</f>
        <v>10</v>
      </c>
      <c r="N21" s="115"/>
      <c r="O21" s="115">
        <f t="shared" si="7"/>
        <v>0</v>
      </c>
      <c r="P21" s="115"/>
      <c r="Q21" s="115"/>
    </row>
    <row r="22" spans="1:17" ht="20.25" customHeight="1">
      <c r="A22" s="49">
        <v>14</v>
      </c>
      <c r="B22" s="30" t="s">
        <v>274</v>
      </c>
      <c r="C22" s="115">
        <f t="shared" si="2"/>
        <v>310</v>
      </c>
      <c r="D22" s="115">
        <f t="shared" si="3"/>
        <v>310</v>
      </c>
      <c r="E22" s="115">
        <f t="shared" si="4"/>
        <v>0</v>
      </c>
      <c r="F22" s="115">
        <f t="shared" si="5"/>
        <v>0</v>
      </c>
      <c r="G22" s="115"/>
      <c r="H22" s="115"/>
      <c r="I22" s="115">
        <f t="shared" si="6"/>
        <v>0</v>
      </c>
      <c r="J22" s="115"/>
      <c r="K22" s="115"/>
      <c r="L22" s="115">
        <f t="shared" si="1"/>
        <v>310</v>
      </c>
      <c r="M22" s="115">
        <f>+'Chi xã,TT 2025'!Q56</f>
        <v>310</v>
      </c>
      <c r="N22" s="115"/>
      <c r="O22" s="115">
        <f t="shared" si="7"/>
        <v>0</v>
      </c>
      <c r="P22" s="115"/>
      <c r="Q22" s="115"/>
    </row>
    <row r="23" spans="1:17" ht="20.25" customHeight="1">
      <c r="A23" s="49">
        <v>15</v>
      </c>
      <c r="B23" s="30" t="s">
        <v>275</v>
      </c>
      <c r="C23" s="115">
        <f t="shared" si="2"/>
        <v>10</v>
      </c>
      <c r="D23" s="115">
        <f t="shared" si="3"/>
        <v>10</v>
      </c>
      <c r="E23" s="115">
        <f t="shared" si="4"/>
        <v>0</v>
      </c>
      <c r="F23" s="115">
        <f t="shared" si="5"/>
        <v>0</v>
      </c>
      <c r="G23" s="115"/>
      <c r="H23" s="115"/>
      <c r="I23" s="115">
        <f t="shared" si="6"/>
        <v>0</v>
      </c>
      <c r="J23" s="115"/>
      <c r="K23" s="115"/>
      <c r="L23" s="115">
        <f t="shared" si="1"/>
        <v>10</v>
      </c>
      <c r="M23" s="115">
        <f>+'Chi xã,TT 2025'!R56</f>
        <v>10</v>
      </c>
      <c r="N23" s="115"/>
      <c r="O23" s="115">
        <f t="shared" si="7"/>
        <v>0</v>
      </c>
      <c r="P23" s="115"/>
      <c r="Q23" s="115"/>
    </row>
    <row r="24" spans="1:17" ht="20.25" customHeight="1">
      <c r="A24" s="49">
        <v>16</v>
      </c>
      <c r="B24" s="30" t="s">
        <v>276</v>
      </c>
      <c r="C24" s="115">
        <f t="shared" si="2"/>
        <v>10</v>
      </c>
      <c r="D24" s="115">
        <f t="shared" si="3"/>
        <v>10</v>
      </c>
      <c r="E24" s="115">
        <f t="shared" si="4"/>
        <v>0</v>
      </c>
      <c r="F24" s="115">
        <f t="shared" si="5"/>
        <v>0</v>
      </c>
      <c r="G24" s="115"/>
      <c r="H24" s="115"/>
      <c r="I24" s="115">
        <f t="shared" si="6"/>
        <v>0</v>
      </c>
      <c r="J24" s="115"/>
      <c r="K24" s="115"/>
      <c r="L24" s="115">
        <f t="shared" si="1"/>
        <v>10</v>
      </c>
      <c r="M24" s="115">
        <f>+'Chi xã,TT 2025'!S56</f>
        <v>10</v>
      </c>
      <c r="N24" s="115"/>
      <c r="O24" s="115">
        <f t="shared" si="7"/>
        <v>0</v>
      </c>
      <c r="P24" s="115"/>
      <c r="Q24" s="115"/>
    </row>
    <row r="25" spans="1:17" ht="20.25" customHeight="1">
      <c r="A25" s="49">
        <v>17</v>
      </c>
      <c r="B25" s="30" t="s">
        <v>277</v>
      </c>
      <c r="C25" s="115">
        <f t="shared" si="2"/>
        <v>10</v>
      </c>
      <c r="D25" s="115">
        <f t="shared" si="3"/>
        <v>10</v>
      </c>
      <c r="E25" s="115">
        <f t="shared" si="4"/>
        <v>0</v>
      </c>
      <c r="F25" s="115">
        <f t="shared" si="5"/>
        <v>0</v>
      </c>
      <c r="G25" s="115"/>
      <c r="H25" s="115"/>
      <c r="I25" s="115">
        <f t="shared" si="6"/>
        <v>0</v>
      </c>
      <c r="J25" s="115"/>
      <c r="K25" s="115"/>
      <c r="L25" s="115">
        <f t="shared" si="1"/>
        <v>10</v>
      </c>
      <c r="M25" s="115">
        <f>+'Chi xã,TT 2025'!T56</f>
        <v>10</v>
      </c>
      <c r="N25" s="115"/>
      <c r="O25" s="115">
        <f t="shared" si="7"/>
        <v>0</v>
      </c>
      <c r="P25" s="115"/>
      <c r="Q25" s="115"/>
    </row>
    <row r="26" spans="1:17" ht="20.25" customHeight="1">
      <c r="A26" s="49">
        <v>18</v>
      </c>
      <c r="B26" s="30" t="s">
        <v>278</v>
      </c>
      <c r="C26" s="115">
        <f t="shared" si="2"/>
        <v>110</v>
      </c>
      <c r="D26" s="115">
        <f t="shared" si="3"/>
        <v>110</v>
      </c>
      <c r="E26" s="115">
        <f t="shared" si="4"/>
        <v>0</v>
      </c>
      <c r="F26" s="115">
        <f t="shared" si="5"/>
        <v>0</v>
      </c>
      <c r="G26" s="115"/>
      <c r="H26" s="115"/>
      <c r="I26" s="115">
        <f t="shared" si="6"/>
        <v>0</v>
      </c>
      <c r="J26" s="115"/>
      <c r="K26" s="115"/>
      <c r="L26" s="115">
        <f t="shared" si="1"/>
        <v>110</v>
      </c>
      <c r="M26" s="115">
        <f>+'Chi xã,TT 2025'!U56</f>
        <v>110</v>
      </c>
      <c r="N26" s="115"/>
      <c r="O26" s="115">
        <f t="shared" si="7"/>
        <v>0</v>
      </c>
      <c r="P26" s="115"/>
      <c r="Q26" s="115"/>
    </row>
    <row r="27" spans="1:17" ht="20.25" customHeight="1" thickBot="1">
      <c r="A27" s="157">
        <v>19</v>
      </c>
      <c r="B27" s="158" t="s">
        <v>279</v>
      </c>
      <c r="C27" s="115">
        <f t="shared" si="2"/>
        <v>10</v>
      </c>
      <c r="D27" s="115">
        <f t="shared" si="3"/>
        <v>10</v>
      </c>
      <c r="E27" s="115">
        <f t="shared" si="4"/>
        <v>0</v>
      </c>
      <c r="F27" s="115">
        <f t="shared" si="5"/>
        <v>0</v>
      </c>
      <c r="G27" s="115"/>
      <c r="H27" s="115"/>
      <c r="I27" s="115">
        <f t="shared" si="6"/>
        <v>0</v>
      </c>
      <c r="J27" s="115"/>
      <c r="K27" s="115"/>
      <c r="L27" s="115">
        <f t="shared" si="1"/>
        <v>10</v>
      </c>
      <c r="M27" s="115">
        <f>+'Chi xã,TT 2025'!V56</f>
        <v>10</v>
      </c>
      <c r="N27" s="115"/>
      <c r="O27" s="115">
        <f t="shared" si="7"/>
        <v>0</v>
      </c>
      <c r="P27" s="115"/>
      <c r="Q27" s="115"/>
    </row>
    <row r="28" spans="1:17" ht="20.25" hidden="1" customHeight="1">
      <c r="A28" s="835" t="s">
        <v>309</v>
      </c>
      <c r="B28" s="835"/>
      <c r="C28" s="835"/>
      <c r="D28" s="835"/>
      <c r="E28" s="835"/>
      <c r="F28" s="835"/>
      <c r="G28" s="835"/>
      <c r="H28" s="835"/>
      <c r="I28" s="835"/>
      <c r="J28" s="835"/>
      <c r="K28" s="835"/>
      <c r="L28" s="835"/>
      <c r="M28" s="835"/>
      <c r="N28" s="835"/>
      <c r="O28" s="835"/>
      <c r="P28" s="835"/>
      <c r="Q28" s="835"/>
    </row>
    <row r="29" spans="1:17" hidden="1"/>
    <row r="30" spans="1:17" hidden="1"/>
    <row r="31" spans="1:17" hidden="1"/>
    <row r="32" spans="1:17" ht="16.5" thickTop="1"/>
  </sheetData>
  <mergeCells count="12">
    <mergeCell ref="N1:Q1"/>
    <mergeCell ref="A2:Q2"/>
    <mergeCell ref="A3:Q3"/>
    <mergeCell ref="J4:Q4"/>
    <mergeCell ref="A28:Q28"/>
    <mergeCell ref="A5:A6"/>
    <mergeCell ref="B5:B6"/>
    <mergeCell ref="C5:E5"/>
    <mergeCell ref="F5:H5"/>
    <mergeCell ref="I5:K5"/>
    <mergeCell ref="L5:N5"/>
    <mergeCell ref="O5:Q5"/>
  </mergeCells>
  <pageMargins left="0.47" right="0.35" top="0.48" bottom="0.47" header="0.31496062992125984" footer="0.23"/>
  <pageSetup paperSize="9" scale="7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O20"/>
  <sheetViews>
    <sheetView view="pageBreakPreview" zoomScaleNormal="100" zoomScaleSheetLayoutView="100" workbookViewId="0">
      <selection activeCell="N7" sqref="N7"/>
    </sheetView>
  </sheetViews>
  <sheetFormatPr defaultColWidth="9" defaultRowHeight="18.75"/>
  <cols>
    <col min="1" max="1" width="5.109375" style="129" customWidth="1"/>
    <col min="2" max="2" width="23.21875" style="129" customWidth="1"/>
    <col min="3" max="13" width="9.33203125" style="129" customWidth="1"/>
    <col min="14" max="14" width="14.21875" style="129" customWidth="1"/>
    <col min="15" max="15" width="12.33203125" style="129" customWidth="1"/>
    <col min="16" max="16" width="9.88671875" style="130" customWidth="1"/>
    <col min="17" max="17" width="10.21875" style="129" customWidth="1"/>
    <col min="18" max="38" width="9" style="129" customWidth="1"/>
    <col min="39" max="16384" width="9" style="129"/>
  </cols>
  <sheetData>
    <row r="1" spans="1:41" ht="24" customHeight="1">
      <c r="A1" s="36"/>
      <c r="K1" s="836" t="s">
        <v>247</v>
      </c>
      <c r="L1" s="836"/>
      <c r="M1" s="836"/>
    </row>
    <row r="2" spans="1:41" s="8" customFormat="1" ht="37.5" customHeight="1">
      <c r="A2" s="837" t="s">
        <v>870</v>
      </c>
      <c r="B2" s="837"/>
      <c r="C2" s="837"/>
      <c r="D2" s="837"/>
      <c r="E2" s="837"/>
      <c r="F2" s="837"/>
      <c r="G2" s="837"/>
      <c r="H2" s="837"/>
      <c r="I2" s="837"/>
      <c r="J2" s="837"/>
      <c r="K2" s="837"/>
      <c r="L2" s="837"/>
      <c r="M2" s="837"/>
      <c r="N2" s="14"/>
      <c r="P2" s="131"/>
    </row>
    <row r="3" spans="1:41" s="8" customFormat="1" ht="18.75" customHeight="1">
      <c r="A3" s="847" t="str">
        <f>'PL44-NSX'!chuong_phuluc_43_name</f>
        <v xml:space="preserve"> Biểu kèm theo Báo cáo số 99/BC-BKTXH ngày 12/12/2024 của Ban KT-XH,HĐND huyện Tuần Giáo</v>
      </c>
      <c r="B3" s="847"/>
      <c r="C3" s="847"/>
      <c r="D3" s="847"/>
      <c r="E3" s="847"/>
      <c r="F3" s="847"/>
      <c r="G3" s="847"/>
      <c r="H3" s="847"/>
      <c r="I3" s="847"/>
      <c r="J3" s="847"/>
      <c r="K3" s="847"/>
      <c r="L3" s="847"/>
      <c r="M3" s="847"/>
      <c r="N3" s="14"/>
      <c r="P3" s="131"/>
    </row>
    <row r="4" spans="1:41" ht="27" customHeight="1">
      <c r="C4" s="132"/>
      <c r="I4" s="133"/>
      <c r="J4" s="838" t="s">
        <v>229</v>
      </c>
      <c r="K4" s="838"/>
      <c r="L4" s="838"/>
      <c r="M4" s="838"/>
      <c r="N4" s="14"/>
      <c r="O4" s="134"/>
    </row>
    <row r="5" spans="1:41" s="10" customFormat="1" ht="20.25" customHeight="1">
      <c r="A5" s="839" t="s">
        <v>58</v>
      </c>
      <c r="B5" s="841" t="s">
        <v>230</v>
      </c>
      <c r="C5" s="842" t="s">
        <v>871</v>
      </c>
      <c r="D5" s="843" t="s">
        <v>707</v>
      </c>
      <c r="E5" s="844"/>
      <c r="F5" s="844"/>
      <c r="G5" s="845"/>
      <c r="H5" s="839" t="s">
        <v>312</v>
      </c>
      <c r="I5" s="843" t="s">
        <v>873</v>
      </c>
      <c r="J5" s="844"/>
      <c r="K5" s="844"/>
      <c r="L5" s="845"/>
      <c r="M5" s="839" t="s">
        <v>312</v>
      </c>
      <c r="P5" s="131"/>
    </row>
    <row r="6" spans="1:41" s="10" customFormat="1" ht="45" customHeight="1">
      <c r="A6" s="840"/>
      <c r="B6" s="841"/>
      <c r="C6" s="842"/>
      <c r="D6" s="842" t="s">
        <v>231</v>
      </c>
      <c r="E6" s="842"/>
      <c r="F6" s="842" t="s">
        <v>232</v>
      </c>
      <c r="G6" s="842" t="s">
        <v>242</v>
      </c>
      <c r="H6" s="840"/>
      <c r="I6" s="842" t="s">
        <v>231</v>
      </c>
      <c r="J6" s="842"/>
      <c r="K6" s="842" t="s">
        <v>232</v>
      </c>
      <c r="L6" s="842" t="s">
        <v>242</v>
      </c>
      <c r="M6" s="840"/>
      <c r="P6" s="131"/>
    </row>
    <row r="7" spans="1:41" s="10" customFormat="1" ht="61.5" customHeight="1">
      <c r="A7" s="840"/>
      <c r="B7" s="841"/>
      <c r="C7" s="842"/>
      <c r="D7" s="51" t="s">
        <v>76</v>
      </c>
      <c r="E7" s="51" t="s">
        <v>233</v>
      </c>
      <c r="F7" s="842"/>
      <c r="G7" s="842"/>
      <c r="H7" s="846"/>
      <c r="I7" s="51" t="s">
        <v>76</v>
      </c>
      <c r="J7" s="51" t="s">
        <v>233</v>
      </c>
      <c r="K7" s="842"/>
      <c r="L7" s="842"/>
      <c r="M7" s="846"/>
      <c r="N7" s="721" t="s">
        <v>874</v>
      </c>
      <c r="P7" s="12"/>
    </row>
    <row r="8" spans="1:41" s="12" customFormat="1" ht="21.75" customHeight="1">
      <c r="A8" s="11" t="s">
        <v>8</v>
      </c>
      <c r="B8" s="11" t="s">
        <v>9</v>
      </c>
      <c r="C8" s="11">
        <v>1</v>
      </c>
      <c r="D8" s="11">
        <v>2</v>
      </c>
      <c r="E8" s="11">
        <v>3</v>
      </c>
      <c r="F8" s="11">
        <v>4</v>
      </c>
      <c r="G8" s="11" t="s">
        <v>243</v>
      </c>
      <c r="H8" s="11" t="s">
        <v>244</v>
      </c>
      <c r="I8" s="11">
        <v>7</v>
      </c>
      <c r="J8" s="11">
        <v>8</v>
      </c>
      <c r="K8" s="11">
        <v>9</v>
      </c>
      <c r="L8" s="11" t="s">
        <v>245</v>
      </c>
      <c r="M8" s="11" t="s">
        <v>246</v>
      </c>
      <c r="O8" s="10"/>
      <c r="P8" s="131"/>
      <c r="Q8" s="10"/>
      <c r="R8" s="14"/>
    </row>
    <row r="9" spans="1:41" s="13" customFormat="1" ht="24.75" customHeight="1">
      <c r="A9" s="52"/>
      <c r="B9" s="135" t="s">
        <v>234</v>
      </c>
      <c r="C9" s="136">
        <f>SUM(C10:C17)</f>
        <v>1649.9216609999999</v>
      </c>
      <c r="D9" s="136">
        <f t="shared" ref="D9:M9" si="0">SUM(D10:D17)</f>
        <v>9657.7330000000002</v>
      </c>
      <c r="E9" s="136">
        <f t="shared" si="0"/>
        <v>0</v>
      </c>
      <c r="F9" s="136">
        <f t="shared" si="0"/>
        <v>9443.0105560000011</v>
      </c>
      <c r="G9" s="136">
        <f t="shared" si="0"/>
        <v>214.72244400000005</v>
      </c>
      <c r="H9" s="136">
        <f t="shared" si="0"/>
        <v>1864.6441050000001</v>
      </c>
      <c r="I9" s="136">
        <f t="shared" si="0"/>
        <v>2860</v>
      </c>
      <c r="J9" s="136">
        <f t="shared" si="0"/>
        <v>200</v>
      </c>
      <c r="K9" s="136">
        <f t="shared" si="0"/>
        <v>3730</v>
      </c>
      <c r="L9" s="136">
        <f t="shared" si="0"/>
        <v>-870</v>
      </c>
      <c r="M9" s="136">
        <f t="shared" si="0"/>
        <v>994.64410500000008</v>
      </c>
      <c r="N9" s="137"/>
      <c r="P9" s="138"/>
      <c r="Q9" s="138"/>
      <c r="R9" s="10"/>
    </row>
    <row r="10" spans="1:41" s="14" customFormat="1" ht="24.75" customHeight="1">
      <c r="A10" s="139">
        <v>1</v>
      </c>
      <c r="B10" s="140" t="s">
        <v>235</v>
      </c>
      <c r="C10" s="141">
        <v>267.70425899999998</v>
      </c>
      <c r="D10" s="141">
        <v>375</v>
      </c>
      <c r="E10" s="141"/>
      <c r="F10" s="141">
        <v>312.37400000000002</v>
      </c>
      <c r="G10" s="141">
        <f>D10-F10</f>
        <v>62.625999999999976</v>
      </c>
      <c r="H10" s="141">
        <f>C10+D10-F10</f>
        <v>330.33025899999996</v>
      </c>
      <c r="I10" s="141">
        <v>200</v>
      </c>
      <c r="J10" s="141"/>
      <c r="K10" s="141">
        <v>300</v>
      </c>
      <c r="L10" s="141">
        <f>I10-K10</f>
        <v>-100</v>
      </c>
      <c r="M10" s="141">
        <f>H10+I10-K10</f>
        <v>230.33025899999996</v>
      </c>
      <c r="P10" s="142"/>
      <c r="Q10" s="142"/>
      <c r="R10" s="10"/>
    </row>
    <row r="11" spans="1:41" s="14" customFormat="1" ht="24.75" customHeight="1">
      <c r="A11" s="139">
        <v>2</v>
      </c>
      <c r="B11" s="140" t="s">
        <v>236</v>
      </c>
      <c r="C11" s="141">
        <v>356.951843</v>
      </c>
      <c r="D11" s="141">
        <v>965.34</v>
      </c>
      <c r="E11" s="141"/>
      <c r="F11" s="141">
        <v>1000</v>
      </c>
      <c r="G11" s="141">
        <f t="shared" ref="G11:G17" si="1">D11-F11</f>
        <v>-34.659999999999968</v>
      </c>
      <c r="H11" s="141">
        <f t="shared" ref="H11:H17" si="2">C11+D11-F11</f>
        <v>322.29184299999997</v>
      </c>
      <c r="I11" s="141">
        <v>500</v>
      </c>
      <c r="J11" s="141"/>
      <c r="K11" s="141">
        <v>800</v>
      </c>
      <c r="L11" s="141">
        <f t="shared" ref="L11:L17" si="3">I11-K11</f>
        <v>-300</v>
      </c>
      <c r="M11" s="141">
        <f t="shared" ref="M11:M17" si="4">H11+I11-K11</f>
        <v>22.291842999999972</v>
      </c>
      <c r="P11" s="142"/>
      <c r="Q11" s="142"/>
      <c r="R11" s="10"/>
    </row>
    <row r="12" spans="1:41" s="14" customFormat="1" ht="24.75" customHeight="1">
      <c r="A12" s="139">
        <v>3</v>
      </c>
      <c r="B12" s="143" t="s">
        <v>311</v>
      </c>
      <c r="C12" s="141">
        <v>204.63655600000001</v>
      </c>
      <c r="D12" s="141">
        <v>300</v>
      </c>
      <c r="E12" s="141"/>
      <c r="F12" s="141">
        <v>504.63655599999998</v>
      </c>
      <c r="G12" s="141">
        <f t="shared" si="1"/>
        <v>-204.63655599999998</v>
      </c>
      <c r="H12" s="141">
        <f t="shared" si="2"/>
        <v>0</v>
      </c>
      <c r="I12" s="141">
        <v>300</v>
      </c>
      <c r="J12" s="141"/>
      <c r="K12" s="141">
        <v>300</v>
      </c>
      <c r="L12" s="141">
        <f t="shared" si="3"/>
        <v>0</v>
      </c>
      <c r="M12" s="141">
        <f t="shared" si="4"/>
        <v>0</v>
      </c>
      <c r="P12" s="142"/>
      <c r="Q12" s="142"/>
      <c r="R12" s="10"/>
    </row>
    <row r="13" spans="1:41" s="14" customFormat="1" ht="24.75" customHeight="1">
      <c r="A13" s="139">
        <v>4</v>
      </c>
      <c r="B13" s="140" t="s">
        <v>237</v>
      </c>
      <c r="C13" s="141">
        <v>98.010328000000001</v>
      </c>
      <c r="D13" s="141">
        <v>300</v>
      </c>
      <c r="E13" s="141"/>
      <c r="F13" s="141">
        <v>250</v>
      </c>
      <c r="G13" s="141">
        <f t="shared" si="1"/>
        <v>50</v>
      </c>
      <c r="H13" s="141">
        <f t="shared" si="2"/>
        <v>148.01032800000002</v>
      </c>
      <c r="I13" s="141">
        <v>300</v>
      </c>
      <c r="J13" s="141"/>
      <c r="K13" s="141">
        <v>300</v>
      </c>
      <c r="L13" s="141">
        <f t="shared" si="3"/>
        <v>0</v>
      </c>
      <c r="M13" s="141">
        <f t="shared" si="4"/>
        <v>148.01032800000002</v>
      </c>
      <c r="O13" s="10"/>
      <c r="P13" s="142"/>
      <c r="Q13" s="142"/>
      <c r="AN13" s="15"/>
      <c r="AO13" s="15"/>
    </row>
    <row r="14" spans="1:41" s="14" customFormat="1" ht="24.75" customHeight="1">
      <c r="A14" s="139">
        <v>5</v>
      </c>
      <c r="B14" s="140" t="s">
        <v>238</v>
      </c>
      <c r="C14" s="141">
        <v>39.744861999999998</v>
      </c>
      <c r="D14" s="141">
        <v>300</v>
      </c>
      <c r="E14" s="141"/>
      <c r="F14" s="141">
        <v>300</v>
      </c>
      <c r="G14" s="141">
        <f t="shared" si="1"/>
        <v>0</v>
      </c>
      <c r="H14" s="141">
        <f t="shared" si="2"/>
        <v>39.744862000000012</v>
      </c>
      <c r="I14" s="141">
        <v>300</v>
      </c>
      <c r="J14" s="141"/>
      <c r="K14" s="141">
        <v>300</v>
      </c>
      <c r="L14" s="141">
        <f t="shared" si="3"/>
        <v>0</v>
      </c>
      <c r="M14" s="141">
        <f t="shared" si="4"/>
        <v>39.744862000000012</v>
      </c>
      <c r="O14" s="10"/>
      <c r="P14" s="142"/>
      <c r="Q14" s="142"/>
      <c r="AN14" s="15"/>
      <c r="AO14" s="15"/>
    </row>
    <row r="15" spans="1:41" s="14" customFormat="1" ht="24.75" customHeight="1">
      <c r="A15" s="139">
        <v>6</v>
      </c>
      <c r="B15" s="140" t="s">
        <v>239</v>
      </c>
      <c r="C15" s="141">
        <v>277.67455100000001</v>
      </c>
      <c r="D15" s="141">
        <v>6500</v>
      </c>
      <c r="E15" s="141"/>
      <c r="F15" s="141">
        <v>6126</v>
      </c>
      <c r="G15" s="141">
        <f t="shared" si="1"/>
        <v>374</v>
      </c>
      <c r="H15" s="141">
        <f t="shared" si="2"/>
        <v>651.67455100000006</v>
      </c>
      <c r="I15" s="141">
        <v>500</v>
      </c>
      <c r="J15" s="141"/>
      <c r="K15" s="141">
        <v>900</v>
      </c>
      <c r="L15" s="141">
        <f t="shared" si="3"/>
        <v>-400</v>
      </c>
      <c r="M15" s="141">
        <f t="shared" si="4"/>
        <v>251.67455100000006</v>
      </c>
      <c r="O15" s="10"/>
      <c r="P15" s="142"/>
      <c r="Q15" s="142"/>
      <c r="R15" s="10"/>
    </row>
    <row r="16" spans="1:41" s="14" customFormat="1" ht="24.75" customHeight="1">
      <c r="A16" s="139">
        <v>7</v>
      </c>
      <c r="B16" s="140" t="s">
        <v>241</v>
      </c>
      <c r="C16" s="141">
        <v>263.90626200000003</v>
      </c>
      <c r="D16" s="141">
        <v>10</v>
      </c>
      <c r="E16" s="141"/>
      <c r="F16" s="141">
        <v>40</v>
      </c>
      <c r="G16" s="141">
        <f t="shared" si="1"/>
        <v>-30</v>
      </c>
      <c r="H16" s="141">
        <f t="shared" si="2"/>
        <v>233.90626200000003</v>
      </c>
      <c r="I16" s="141">
        <v>30</v>
      </c>
      <c r="J16" s="141"/>
      <c r="K16" s="141">
        <v>100</v>
      </c>
      <c r="L16" s="141">
        <f t="shared" si="3"/>
        <v>-70</v>
      </c>
      <c r="M16" s="141">
        <f t="shared" si="4"/>
        <v>163.90626200000003</v>
      </c>
      <c r="O16" s="10"/>
      <c r="P16" s="142"/>
      <c r="Q16" s="142"/>
      <c r="R16" s="10"/>
    </row>
    <row r="17" spans="1:18" s="14" customFormat="1" ht="24.75" customHeight="1">
      <c r="A17" s="139">
        <v>8</v>
      </c>
      <c r="B17" s="140" t="s">
        <v>240</v>
      </c>
      <c r="C17" s="141">
        <v>141.29300000000001</v>
      </c>
      <c r="D17" s="141">
        <v>907.39300000000003</v>
      </c>
      <c r="E17" s="141"/>
      <c r="F17" s="141">
        <v>910</v>
      </c>
      <c r="G17" s="141">
        <f t="shared" si="1"/>
        <v>-2.6069999999999709</v>
      </c>
      <c r="H17" s="141">
        <f t="shared" si="2"/>
        <v>138.68600000000015</v>
      </c>
      <c r="I17" s="141">
        <v>730</v>
      </c>
      <c r="J17" s="141">
        <v>200</v>
      </c>
      <c r="K17" s="141">
        <v>730</v>
      </c>
      <c r="L17" s="141">
        <f t="shared" si="3"/>
        <v>0</v>
      </c>
      <c r="M17" s="141">
        <f t="shared" si="4"/>
        <v>138.68600000000015</v>
      </c>
      <c r="O17" s="10"/>
      <c r="P17" s="142"/>
      <c r="Q17" s="142"/>
      <c r="R17" s="10"/>
    </row>
    <row r="18" spans="1:18" ht="9.75" customHeight="1">
      <c r="N18" s="144"/>
      <c r="O18" s="9"/>
      <c r="P18" s="145"/>
      <c r="Q18" s="9"/>
      <c r="R18" s="9"/>
    </row>
    <row r="19" spans="1:18">
      <c r="I19" s="146"/>
      <c r="N19" s="144"/>
      <c r="O19" s="9"/>
      <c r="P19" s="145"/>
      <c r="Q19" s="9"/>
      <c r="R19" s="9"/>
    </row>
    <row r="20" spans="1:18">
      <c r="I20" s="147"/>
    </row>
  </sheetData>
  <mergeCells count="17">
    <mergeCell ref="I6:J6"/>
    <mergeCell ref="K1:M1"/>
    <mergeCell ref="A2:M2"/>
    <mergeCell ref="J4:M4"/>
    <mergeCell ref="A5:A7"/>
    <mergeCell ref="B5:B7"/>
    <mergeCell ref="C5:C7"/>
    <mergeCell ref="D5:G5"/>
    <mergeCell ref="K6:K7"/>
    <mergeCell ref="H5:H7"/>
    <mergeCell ref="A3:M3"/>
    <mergeCell ref="M5:M7"/>
    <mergeCell ref="I5:L5"/>
    <mergeCell ref="L6:L7"/>
    <mergeCell ref="G6:G7"/>
    <mergeCell ref="D6:E6"/>
    <mergeCell ref="F6:F7"/>
  </mergeCells>
  <pageMargins left="0.31496062992125984" right="0.27559055118110237" top="0.39370078740157483" bottom="0.74803149606299213" header="0.31496062992125984" footer="0.31496062992125984"/>
  <pageSetup paperSize="9" scale="9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18"/>
  <sheetViews>
    <sheetView view="pageBreakPreview" zoomScaleNormal="100" zoomScaleSheetLayoutView="100" workbookViewId="0">
      <selection activeCell="L10" sqref="L10"/>
    </sheetView>
  </sheetViews>
  <sheetFormatPr defaultColWidth="9" defaultRowHeight="12.75"/>
  <cols>
    <col min="1" max="1" width="5.6640625" style="16" customWidth="1"/>
    <col min="2" max="2" width="40.44140625" style="16" customWidth="1"/>
    <col min="3" max="5" width="13.33203125" style="16" customWidth="1"/>
    <col min="6" max="16384" width="9" style="16"/>
  </cols>
  <sheetData>
    <row r="1" spans="1:6" ht="25.5" customHeight="1">
      <c r="A1" s="27"/>
      <c r="B1" s="103"/>
      <c r="C1" s="103"/>
      <c r="D1" s="103"/>
      <c r="E1" s="104" t="s">
        <v>253</v>
      </c>
      <c r="F1" s="21"/>
    </row>
    <row r="2" spans="1:6" ht="51" customHeight="1">
      <c r="A2" s="848" t="s">
        <v>872</v>
      </c>
      <c r="B2" s="848"/>
      <c r="C2" s="848"/>
      <c r="D2" s="848"/>
      <c r="E2" s="848"/>
    </row>
    <row r="3" spans="1:6" ht="19.5" customHeight="1">
      <c r="A3" s="849" t="str">
        <f>'PL45-Quỹ'!A3:M3</f>
        <v xml:space="preserve"> Biểu kèm theo Báo cáo số 99/BC-BKTXH ngày 12/12/2024 của Ban KT-XH,HĐND huyện Tuần Giáo</v>
      </c>
      <c r="B3" s="849"/>
      <c r="C3" s="849"/>
      <c r="D3" s="849"/>
      <c r="E3" s="849"/>
    </row>
    <row r="4" spans="1:6" ht="30.75" customHeight="1">
      <c r="A4" s="103"/>
      <c r="B4" s="103"/>
      <c r="C4" s="103"/>
      <c r="D4" s="850" t="s">
        <v>248</v>
      </c>
      <c r="E4" s="850"/>
    </row>
    <row r="5" spans="1:6" s="1" customFormat="1" ht="57.75" customHeight="1">
      <c r="A5" s="17" t="s">
        <v>58</v>
      </c>
      <c r="B5" s="17" t="s">
        <v>5</v>
      </c>
      <c r="C5" s="17" t="s">
        <v>707</v>
      </c>
      <c r="D5" s="17" t="s">
        <v>873</v>
      </c>
      <c r="E5" s="17" t="s">
        <v>91</v>
      </c>
      <c r="F5" s="721" t="s">
        <v>874</v>
      </c>
    </row>
    <row r="6" spans="1:6" s="1" customFormat="1" ht="17.25" customHeight="1">
      <c r="A6" s="18" t="s">
        <v>8</v>
      </c>
      <c r="B6" s="18" t="s">
        <v>9</v>
      </c>
      <c r="C6" s="18">
        <v>1</v>
      </c>
      <c r="D6" s="18">
        <v>2</v>
      </c>
      <c r="E6" s="18" t="s">
        <v>254</v>
      </c>
    </row>
    <row r="7" spans="1:6" s="1" customFormat="1" ht="24.75" customHeight="1">
      <c r="A7" s="105"/>
      <c r="B7" s="106" t="s">
        <v>28</v>
      </c>
      <c r="C7" s="136">
        <f>C8+C10+C12+C14</f>
        <v>1059</v>
      </c>
      <c r="D7" s="136">
        <f>D8+D10+D12+D14</f>
        <v>1143</v>
      </c>
      <c r="E7" s="107">
        <f>D7/C7*100</f>
        <v>107.93201133144477</v>
      </c>
    </row>
    <row r="8" spans="1:6" s="1" customFormat="1" ht="24.75" customHeight="1">
      <c r="A8" s="108">
        <v>1</v>
      </c>
      <c r="B8" s="109" t="s">
        <v>249</v>
      </c>
      <c r="C8" s="141">
        <f>C9</f>
        <v>159</v>
      </c>
      <c r="D8" s="141">
        <f>D9</f>
        <v>168</v>
      </c>
      <c r="E8" s="110">
        <f t="shared" ref="E8:E15" si="0">D8/C8*100</f>
        <v>105.66037735849056</v>
      </c>
    </row>
    <row r="9" spans="1:6" s="1" customFormat="1" ht="24.75" customHeight="1">
      <c r="A9" s="111"/>
      <c r="B9" s="109" t="s">
        <v>200</v>
      </c>
      <c r="C9" s="141">
        <v>159</v>
      </c>
      <c r="D9" s="141">
        <v>168</v>
      </c>
      <c r="E9" s="110">
        <f t="shared" si="0"/>
        <v>105.66037735849056</v>
      </c>
    </row>
    <row r="10" spans="1:6" s="1" customFormat="1" ht="24.75" customHeight="1">
      <c r="A10" s="108">
        <v>2</v>
      </c>
      <c r="B10" s="109" t="s">
        <v>36</v>
      </c>
      <c r="C10" s="141">
        <f>C11</f>
        <v>90</v>
      </c>
      <c r="D10" s="141">
        <f>D11</f>
        <v>110</v>
      </c>
      <c r="E10" s="110">
        <f t="shared" si="0"/>
        <v>122.22222222222223</v>
      </c>
    </row>
    <row r="11" spans="1:6" s="1" customFormat="1" ht="24.75" customHeight="1">
      <c r="A11" s="108"/>
      <c r="B11" s="109" t="s">
        <v>250</v>
      </c>
      <c r="C11" s="141">
        <v>90</v>
      </c>
      <c r="D11" s="141">
        <v>110</v>
      </c>
      <c r="E11" s="110">
        <f t="shared" si="0"/>
        <v>122.22222222222223</v>
      </c>
    </row>
    <row r="12" spans="1:6" ht="24.75" customHeight="1">
      <c r="A12" s="108">
        <f>A10+1</f>
        <v>3</v>
      </c>
      <c r="B12" s="109" t="s">
        <v>251</v>
      </c>
      <c r="C12" s="141">
        <f>C13</f>
        <v>130</v>
      </c>
      <c r="D12" s="141">
        <f>D13</f>
        <v>150</v>
      </c>
      <c r="E12" s="110">
        <f t="shared" si="0"/>
        <v>115.38461538461537</v>
      </c>
    </row>
    <row r="13" spans="1:6" ht="24.75" customHeight="1">
      <c r="A13" s="108"/>
      <c r="B13" s="109" t="s">
        <v>250</v>
      </c>
      <c r="C13" s="141">
        <v>130</v>
      </c>
      <c r="D13" s="141">
        <v>150</v>
      </c>
      <c r="E13" s="110">
        <f t="shared" si="0"/>
        <v>115.38461538461537</v>
      </c>
    </row>
    <row r="14" spans="1:6" ht="24.75" customHeight="1">
      <c r="A14" s="108">
        <v>4</v>
      </c>
      <c r="B14" s="109" t="s">
        <v>199</v>
      </c>
      <c r="C14" s="141">
        <f>C15</f>
        <v>680</v>
      </c>
      <c r="D14" s="141">
        <f>D15</f>
        <v>715</v>
      </c>
      <c r="E14" s="110">
        <f t="shared" si="0"/>
        <v>105.14705882352942</v>
      </c>
    </row>
    <row r="15" spans="1:6" ht="24.75" customHeight="1">
      <c r="A15" s="108"/>
      <c r="B15" s="109" t="s">
        <v>252</v>
      </c>
      <c r="C15" s="141">
        <v>680</v>
      </c>
      <c r="D15" s="141">
        <v>715</v>
      </c>
      <c r="E15" s="110">
        <f t="shared" si="0"/>
        <v>105.14705882352942</v>
      </c>
    </row>
    <row r="17" spans="3:3" ht="15.75">
      <c r="C17" s="19"/>
    </row>
    <row r="18" spans="3:3" ht="15.75">
      <c r="C18" s="20"/>
    </row>
  </sheetData>
  <mergeCells count="3">
    <mergeCell ref="A2:E2"/>
    <mergeCell ref="A3:E3"/>
    <mergeCell ref="D4:E4"/>
  </mergeCells>
  <pageMargins left="0.55118110236220474" right="0.39370078740157483"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74"/>
  <sheetViews>
    <sheetView view="pageBreakPreview" zoomScaleNormal="90" zoomScaleSheetLayoutView="100" workbookViewId="0">
      <pane xSplit="2" ySplit="9" topLeftCell="C55" activePane="bottomRight" state="frozen"/>
      <selection pane="topRight" activeCell="C1" sqref="C1"/>
      <selection pane="bottomLeft" activeCell="A10" sqref="A10"/>
      <selection pane="bottomRight" activeCell="D113" sqref="D113"/>
    </sheetView>
  </sheetViews>
  <sheetFormatPr defaultColWidth="8" defaultRowHeight="15.75"/>
  <cols>
    <col min="1" max="1" width="4.88671875" style="79" customWidth="1"/>
    <col min="2" max="2" width="45.6640625" style="79" customWidth="1"/>
    <col min="3" max="4" width="11.109375" style="79" customWidth="1"/>
    <col min="5" max="5" width="8.109375" style="436" hidden="1" customWidth="1"/>
    <col min="6" max="8" width="6.6640625" style="436" hidden="1" customWidth="1"/>
    <col min="9" max="9" width="7.44140625" style="436" hidden="1" customWidth="1"/>
    <col min="10" max="10" width="9.33203125" style="436" hidden="1" customWidth="1"/>
    <col min="11" max="11" width="10.88671875" style="79" customWidth="1"/>
    <col min="12" max="12" width="10.88671875" style="260" customWidth="1"/>
    <col min="13" max="13" width="10.21875" style="260" customWidth="1"/>
    <col min="14" max="14" width="10.21875" style="79" customWidth="1"/>
    <col min="15" max="15" width="10.21875" style="261" customWidth="1"/>
    <col min="16" max="16" width="6.109375" style="261" customWidth="1"/>
    <col min="17" max="17" width="8" style="459" customWidth="1"/>
    <col min="18" max="18" width="6" style="459" customWidth="1"/>
    <col min="19" max="19" width="9" style="486" customWidth="1"/>
    <col min="20" max="20" width="7.77734375" style="459" customWidth="1"/>
    <col min="21" max="21" width="8" style="79" customWidth="1"/>
    <col min="22" max="22" width="9.88671875" style="79" customWidth="1"/>
    <col min="23" max="16384" width="8" style="79"/>
  </cols>
  <sheetData>
    <row r="1" spans="1:22" ht="19.5" customHeight="1">
      <c r="O1" s="420" t="s">
        <v>353</v>
      </c>
    </row>
    <row r="2" spans="1:22" ht="23.25" customHeight="1">
      <c r="A2" s="742" t="s">
        <v>703</v>
      </c>
      <c r="B2" s="742"/>
      <c r="C2" s="742"/>
      <c r="D2" s="742"/>
      <c r="E2" s="742"/>
      <c r="F2" s="742"/>
      <c r="G2" s="742"/>
      <c r="H2" s="742"/>
      <c r="I2" s="742"/>
      <c r="J2" s="742"/>
      <c r="K2" s="742"/>
      <c r="L2" s="742"/>
      <c r="M2" s="742"/>
      <c r="N2" s="742"/>
      <c r="O2" s="742"/>
    </row>
    <row r="3" spans="1:22" ht="20.25" customHeight="1">
      <c r="A3" s="723" t="str">
        <f>'Thu 2024'!A3:I3</f>
        <v>(Kèm theo Nghị quyết số          /NQ-HĐND ngày          tháng 12 năm 2024 của HĐND huyện Tuần Giáo)</v>
      </c>
      <c r="B3" s="723"/>
      <c r="C3" s="723"/>
      <c r="D3" s="723"/>
      <c r="E3" s="723"/>
      <c r="F3" s="723"/>
      <c r="G3" s="723"/>
      <c r="H3" s="723"/>
      <c r="I3" s="723"/>
      <c r="J3" s="723"/>
      <c r="K3" s="723"/>
      <c r="L3" s="723"/>
      <c r="M3" s="723"/>
      <c r="N3" s="723"/>
      <c r="O3" s="723"/>
    </row>
    <row r="4" spans="1:22" ht="18" customHeight="1">
      <c r="C4" s="470"/>
      <c r="D4" s="470"/>
      <c r="E4" s="437"/>
      <c r="F4" s="437"/>
      <c r="G4" s="437"/>
      <c r="H4" s="437"/>
      <c r="I4" s="437"/>
      <c r="J4" s="485"/>
      <c r="K4" s="470"/>
      <c r="N4" s="263"/>
      <c r="O4" s="435" t="s">
        <v>338</v>
      </c>
      <c r="P4" s="251"/>
    </row>
    <row r="5" spans="1:22" ht="21.6" customHeight="1">
      <c r="A5" s="743" t="s">
        <v>58</v>
      </c>
      <c r="B5" s="744" t="s">
        <v>5</v>
      </c>
      <c r="C5" s="745" t="s">
        <v>705</v>
      </c>
      <c r="D5" s="745" t="s">
        <v>706</v>
      </c>
      <c r="E5" s="739" t="s">
        <v>723</v>
      </c>
      <c r="F5" s="739" t="s">
        <v>724</v>
      </c>
      <c r="G5" s="739" t="s">
        <v>725</v>
      </c>
      <c r="H5" s="739" t="s">
        <v>726</v>
      </c>
      <c r="I5" s="739" t="s">
        <v>740</v>
      </c>
      <c r="J5" s="739" t="s">
        <v>354</v>
      </c>
      <c r="K5" s="745" t="s">
        <v>707</v>
      </c>
      <c r="L5" s="748" t="s">
        <v>708</v>
      </c>
      <c r="M5" s="749" t="s">
        <v>339</v>
      </c>
      <c r="N5" s="750"/>
      <c r="O5" s="751"/>
      <c r="P5" s="251"/>
    </row>
    <row r="6" spans="1:22" ht="15.75" customHeight="1">
      <c r="A6" s="743"/>
      <c r="B6" s="744"/>
      <c r="C6" s="746"/>
      <c r="D6" s="746"/>
      <c r="E6" s="740"/>
      <c r="F6" s="740"/>
      <c r="G6" s="740"/>
      <c r="H6" s="740"/>
      <c r="I6" s="740"/>
      <c r="J6" s="740"/>
      <c r="K6" s="746"/>
      <c r="L6" s="748"/>
      <c r="M6" s="737" t="s">
        <v>709</v>
      </c>
      <c r="N6" s="737" t="s">
        <v>710</v>
      </c>
      <c r="O6" s="737" t="s">
        <v>711</v>
      </c>
      <c r="P6" s="251"/>
      <c r="S6" s="487">
        <f>J63-K63</f>
        <v>132944</v>
      </c>
      <c r="T6" s="316" t="s">
        <v>715</v>
      </c>
    </row>
    <row r="7" spans="1:22" ht="52.5" customHeight="1">
      <c r="A7" s="743"/>
      <c r="B7" s="744"/>
      <c r="C7" s="747"/>
      <c r="D7" s="747"/>
      <c r="E7" s="741"/>
      <c r="F7" s="741"/>
      <c r="G7" s="741"/>
      <c r="H7" s="741"/>
      <c r="I7" s="741"/>
      <c r="J7" s="741"/>
      <c r="K7" s="747"/>
      <c r="L7" s="748"/>
      <c r="M7" s="738"/>
      <c r="N7" s="738"/>
      <c r="O7" s="738"/>
      <c r="P7" s="251"/>
      <c r="S7" s="487">
        <f>'Thu 2024'!E39-'Thu 2024'!D39</f>
        <v>13935</v>
      </c>
      <c r="T7" s="316" t="s">
        <v>716</v>
      </c>
    </row>
    <row r="8" spans="1:22" s="267" customFormat="1" ht="15" customHeight="1">
      <c r="A8" s="255" t="s">
        <v>8</v>
      </c>
      <c r="B8" s="265" t="s">
        <v>9</v>
      </c>
      <c r="C8" s="255">
        <v>1</v>
      </c>
      <c r="D8" s="255">
        <v>2</v>
      </c>
      <c r="E8" s="438"/>
      <c r="F8" s="438"/>
      <c r="G8" s="438"/>
      <c r="H8" s="438"/>
      <c r="I8" s="439"/>
      <c r="J8" s="439"/>
      <c r="K8" s="255">
        <v>3</v>
      </c>
      <c r="L8" s="255">
        <v>4</v>
      </c>
      <c r="M8" s="255" t="s">
        <v>700</v>
      </c>
      <c r="N8" s="255" t="s">
        <v>701</v>
      </c>
      <c r="O8" s="255" t="s">
        <v>340</v>
      </c>
      <c r="P8" s="266"/>
      <c r="Q8" s="459"/>
      <c r="R8" s="459"/>
      <c r="S8" s="487">
        <f>J11-K11</f>
        <v>10071</v>
      </c>
      <c r="T8" s="316" t="s">
        <v>717</v>
      </c>
    </row>
    <row r="9" spans="1:22" s="271" customFormat="1" ht="25.9" customHeight="1">
      <c r="A9" s="268"/>
      <c r="B9" s="269" t="s">
        <v>355</v>
      </c>
      <c r="C9" s="471">
        <f t="shared" ref="C9" si="0">C10+C63+C148+C154+C155</f>
        <v>1105342</v>
      </c>
      <c r="D9" s="471">
        <f t="shared" ref="D9:K9" si="1">D10+D63+D148+D154+D155</f>
        <v>1101150</v>
      </c>
      <c r="E9" s="471">
        <f t="shared" si="1"/>
        <v>144367</v>
      </c>
      <c r="F9" s="471">
        <f t="shared" si="1"/>
        <v>10155</v>
      </c>
      <c r="G9" s="471">
        <f t="shared" si="1"/>
        <v>16590</v>
      </c>
      <c r="H9" s="471">
        <f t="shared" si="1"/>
        <v>3674</v>
      </c>
      <c r="I9" s="471">
        <f t="shared" si="1"/>
        <v>113270</v>
      </c>
      <c r="J9" s="471">
        <f t="shared" si="1"/>
        <v>1368942</v>
      </c>
      <c r="K9" s="471">
        <f t="shared" si="1"/>
        <v>1225927</v>
      </c>
      <c r="L9" s="471">
        <f t="shared" ref="L9" si="2">L10+L63+L148+L154+L155</f>
        <v>1136041</v>
      </c>
      <c r="M9" s="233">
        <f>IFERROR(K9/D9,0)</f>
        <v>1.1133151705035644</v>
      </c>
      <c r="N9" s="233">
        <f>IFERROR(K9/C9,0)</f>
        <v>1.1090929323232086</v>
      </c>
      <c r="O9" s="233">
        <f>IFERROR(L9/D9,0)</f>
        <v>1.0316859646732961</v>
      </c>
      <c r="P9" s="270"/>
      <c r="Q9" s="459">
        <f>'Thu 2024'!C38-'Chi 2024'!C9</f>
        <v>10156</v>
      </c>
      <c r="R9" s="459">
        <f>'Thu 2024'!D38-'Chi 2024'!D9</f>
        <v>0</v>
      </c>
      <c r="S9" s="486">
        <f>'Thu 2024'!E38-'Chi 2024'!K9</f>
        <v>156950</v>
      </c>
      <c r="T9" s="459">
        <f>'Thu 2024'!F38-'Chi 2024'!L9</f>
        <v>0</v>
      </c>
      <c r="V9" s="270"/>
    </row>
    <row r="10" spans="1:22" s="271" customFormat="1" ht="25.9" customHeight="1">
      <c r="A10" s="272" t="s">
        <v>8</v>
      </c>
      <c r="B10" s="273" t="s">
        <v>356</v>
      </c>
      <c r="C10" s="471">
        <f t="shared" ref="C10" si="3">C11+C17+C62</f>
        <v>789195</v>
      </c>
      <c r="D10" s="471">
        <f t="shared" ref="D10:K10" si="4">D11+D17+D62</f>
        <v>829482</v>
      </c>
      <c r="E10" s="471">
        <f t="shared" si="4"/>
        <v>32207</v>
      </c>
      <c r="F10" s="471">
        <f t="shared" si="4"/>
        <v>10155</v>
      </c>
      <c r="G10" s="471">
        <f t="shared" si="4"/>
        <v>16590</v>
      </c>
      <c r="H10" s="471">
        <f t="shared" si="4"/>
        <v>3674</v>
      </c>
      <c r="I10" s="471">
        <f t="shared" si="4"/>
        <v>35817</v>
      </c>
      <c r="J10" s="471">
        <f t="shared" si="4"/>
        <v>907661</v>
      </c>
      <c r="K10" s="471">
        <f t="shared" si="4"/>
        <v>897590</v>
      </c>
      <c r="L10" s="471">
        <f t="shared" ref="L10" si="5">L11+L17+L62</f>
        <v>1034061</v>
      </c>
      <c r="M10" s="233">
        <f t="shared" ref="M10:M73" si="6">IFERROR(K10/D10,0)</f>
        <v>1.0821090753024176</v>
      </c>
      <c r="N10" s="233">
        <f t="shared" ref="N10:N73" si="7">IFERROR(K10/C10,0)</f>
        <v>1.1373488174658988</v>
      </c>
      <c r="O10" s="233">
        <f t="shared" ref="O10:O73" si="8">IFERROR(L10/D10,0)</f>
        <v>1.2466346466831106</v>
      </c>
      <c r="P10" s="270"/>
      <c r="Q10" s="459"/>
      <c r="R10" s="459"/>
      <c r="S10" s="486"/>
      <c r="T10" s="459"/>
    </row>
    <row r="11" spans="1:22" s="80" customFormat="1" ht="25.9" customHeight="1">
      <c r="A11" s="275" t="s">
        <v>18</v>
      </c>
      <c r="B11" s="276" t="s">
        <v>22</v>
      </c>
      <c r="C11" s="214">
        <f t="shared" ref="C11" si="9">C12+C13+C14+C15+C16</f>
        <v>47521</v>
      </c>
      <c r="D11" s="214">
        <f t="shared" ref="D11:L11" si="10">D12+D13+D14+D15+D16</f>
        <v>36645</v>
      </c>
      <c r="E11" s="214">
        <f t="shared" si="10"/>
        <v>9586</v>
      </c>
      <c r="F11" s="214">
        <f t="shared" si="10"/>
        <v>2891</v>
      </c>
      <c r="G11" s="214">
        <f t="shared" si="10"/>
        <v>0</v>
      </c>
      <c r="H11" s="214">
        <f t="shared" si="10"/>
        <v>0</v>
      </c>
      <c r="I11" s="214">
        <f t="shared" si="10"/>
        <v>0</v>
      </c>
      <c r="J11" s="214">
        <f t="shared" si="10"/>
        <v>49122</v>
      </c>
      <c r="K11" s="214">
        <f t="shared" si="10"/>
        <v>39051</v>
      </c>
      <c r="L11" s="214">
        <f t="shared" si="10"/>
        <v>41932</v>
      </c>
      <c r="M11" s="238">
        <f t="shared" si="6"/>
        <v>1.0656569791240278</v>
      </c>
      <c r="N11" s="238">
        <f t="shared" si="7"/>
        <v>0.82176301003766761</v>
      </c>
      <c r="O11" s="238">
        <f t="shared" si="8"/>
        <v>1.1442761631873379</v>
      </c>
      <c r="P11" s="259"/>
      <c r="Q11" s="459"/>
      <c r="R11" s="459"/>
      <c r="S11" s="486"/>
      <c r="T11" s="459"/>
    </row>
    <row r="12" spans="1:22" ht="25.9" customHeight="1">
      <c r="A12" s="87">
        <v>1</v>
      </c>
      <c r="B12" s="278" t="s">
        <v>357</v>
      </c>
      <c r="C12" s="256">
        <v>30742</v>
      </c>
      <c r="D12" s="256">
        <v>24045</v>
      </c>
      <c r="E12" s="442">
        <v>1532</v>
      </c>
      <c r="F12" s="442"/>
      <c r="G12" s="442"/>
      <c r="H12" s="442"/>
      <c r="I12" s="442"/>
      <c r="J12" s="440">
        <f>SUM(D12:I12)</f>
        <v>25577</v>
      </c>
      <c r="K12" s="256">
        <f>23782</f>
        <v>23782</v>
      </c>
      <c r="L12" s="256">
        <f>'Chi 2025'!C10</f>
        <v>24526</v>
      </c>
      <c r="M12" s="245">
        <f t="shared" si="6"/>
        <v>0.98906217508837602</v>
      </c>
      <c r="N12" s="245">
        <f t="shared" si="7"/>
        <v>0.77359963567757462</v>
      </c>
      <c r="O12" s="245">
        <f t="shared" si="8"/>
        <v>1.0200041588687876</v>
      </c>
      <c r="P12" s="251"/>
    </row>
    <row r="13" spans="1:22" ht="25.9" customHeight="1">
      <c r="A13" s="87">
        <v>2</v>
      </c>
      <c r="B13" s="278" t="s">
        <v>23</v>
      </c>
      <c r="C13" s="256">
        <v>13025</v>
      </c>
      <c r="D13" s="256">
        <v>12600</v>
      </c>
      <c r="E13" s="442">
        <v>6642</v>
      </c>
      <c r="F13" s="442">
        <v>1800</v>
      </c>
      <c r="G13" s="443"/>
      <c r="H13" s="443"/>
      <c r="I13" s="442"/>
      <c r="J13" s="440">
        <f>SUM(D13:I13)</f>
        <v>21042</v>
      </c>
      <c r="K13" s="256">
        <f>13620</f>
        <v>13620</v>
      </c>
      <c r="L13" s="256">
        <f>+'Chi 2025'!C11</f>
        <v>16200</v>
      </c>
      <c r="M13" s="245">
        <f t="shared" si="6"/>
        <v>1.0809523809523809</v>
      </c>
      <c r="N13" s="245">
        <f t="shared" si="7"/>
        <v>1.0456813819577735</v>
      </c>
      <c r="O13" s="245">
        <f t="shared" si="8"/>
        <v>1.2857142857142858</v>
      </c>
      <c r="P13" s="251"/>
      <c r="U13" s="251"/>
    </row>
    <row r="14" spans="1:22" ht="25.9" customHeight="1">
      <c r="A14" s="87">
        <v>3</v>
      </c>
      <c r="B14" s="278" t="s">
        <v>712</v>
      </c>
      <c r="C14" s="256">
        <v>2589</v>
      </c>
      <c r="D14" s="256"/>
      <c r="E14" s="442">
        <v>1182</v>
      </c>
      <c r="F14" s="442">
        <v>1091</v>
      </c>
      <c r="G14" s="444"/>
      <c r="H14" s="444"/>
      <c r="I14" s="442"/>
      <c r="J14" s="440">
        <f>SUM(D14:I14)</f>
        <v>2273</v>
      </c>
      <c r="K14" s="256">
        <f>443</f>
        <v>443</v>
      </c>
      <c r="L14" s="256"/>
      <c r="M14" s="245">
        <f t="shared" si="6"/>
        <v>0</v>
      </c>
      <c r="N14" s="245">
        <f t="shared" si="7"/>
        <v>0.17110853611432986</v>
      </c>
      <c r="O14" s="245">
        <f t="shared" si="8"/>
        <v>0</v>
      </c>
      <c r="P14" s="251"/>
    </row>
    <row r="15" spans="1:22" ht="40.5" customHeight="1">
      <c r="A15" s="87">
        <v>4</v>
      </c>
      <c r="B15" s="281" t="s">
        <v>792</v>
      </c>
      <c r="C15" s="256">
        <v>1165</v>
      </c>
      <c r="D15" s="256"/>
      <c r="E15" s="442"/>
      <c r="F15" s="442"/>
      <c r="G15" s="444"/>
      <c r="H15" s="444"/>
      <c r="I15" s="442"/>
      <c r="J15" s="440">
        <f>SUM(D15:I15)</f>
        <v>0</v>
      </c>
      <c r="K15" s="256">
        <v>1206</v>
      </c>
      <c r="L15" s="256">
        <f>'Chi 2025'!C12</f>
        <v>1206</v>
      </c>
      <c r="M15" s="245">
        <f t="shared" si="6"/>
        <v>0</v>
      </c>
      <c r="N15" s="245">
        <f t="shared" si="7"/>
        <v>1.0351931330472104</v>
      </c>
      <c r="O15" s="245">
        <f t="shared" si="8"/>
        <v>0</v>
      </c>
      <c r="P15" s="251"/>
    </row>
    <row r="16" spans="1:22" ht="25.9" customHeight="1">
      <c r="A16" s="87">
        <v>5</v>
      </c>
      <c r="B16" s="278" t="s">
        <v>358</v>
      </c>
      <c r="C16" s="256"/>
      <c r="D16" s="256"/>
      <c r="E16" s="442">
        <v>230</v>
      </c>
      <c r="F16" s="442"/>
      <c r="G16" s="444"/>
      <c r="H16" s="444"/>
      <c r="I16" s="442"/>
      <c r="J16" s="440">
        <f t="shared" ref="J16:J73" si="11">SUM(D16:I16)</f>
        <v>230</v>
      </c>
      <c r="K16" s="256"/>
      <c r="L16" s="256"/>
      <c r="M16" s="245">
        <f t="shared" si="6"/>
        <v>0</v>
      </c>
      <c r="N16" s="245">
        <f t="shared" si="7"/>
        <v>0</v>
      </c>
      <c r="O16" s="245">
        <f t="shared" si="8"/>
        <v>0</v>
      </c>
      <c r="P16" s="251"/>
      <c r="V16" s="251"/>
    </row>
    <row r="17" spans="1:22" s="80" customFormat="1" ht="25.9" customHeight="1">
      <c r="A17" s="275" t="s">
        <v>19</v>
      </c>
      <c r="B17" s="276" t="s">
        <v>24</v>
      </c>
      <c r="C17" s="214">
        <f t="shared" ref="C17:K17" si="12">C32+C33+C18+C31+C34+C35+C36+C37+C38+C39+C52+C53+C58</f>
        <v>741674</v>
      </c>
      <c r="D17" s="214">
        <f t="shared" si="12"/>
        <v>776247</v>
      </c>
      <c r="E17" s="214">
        <f t="shared" si="12"/>
        <v>22621</v>
      </c>
      <c r="F17" s="214">
        <f t="shared" si="12"/>
        <v>7264</v>
      </c>
      <c r="G17" s="214">
        <f t="shared" si="12"/>
        <v>16590</v>
      </c>
      <c r="H17" s="214">
        <f t="shared" si="12"/>
        <v>3674</v>
      </c>
      <c r="I17" s="214">
        <f t="shared" si="12"/>
        <v>35817</v>
      </c>
      <c r="J17" s="214">
        <f t="shared" si="12"/>
        <v>858539</v>
      </c>
      <c r="K17" s="214">
        <f t="shared" si="12"/>
        <v>858539</v>
      </c>
      <c r="L17" s="214">
        <f>L32+L33+L18+L31+L34+L35+L36+L37+L38+L39+L52+L53+L58</f>
        <v>971444</v>
      </c>
      <c r="M17" s="238">
        <f t="shared" si="6"/>
        <v>1.1060126480359989</v>
      </c>
      <c r="N17" s="238">
        <f t="shared" si="7"/>
        <v>1.1575692285289763</v>
      </c>
      <c r="O17" s="238">
        <f t="shared" si="8"/>
        <v>1.2514624855232934</v>
      </c>
      <c r="P17" s="259"/>
      <c r="Q17" s="459"/>
      <c r="R17" s="459"/>
      <c r="S17" s="486"/>
      <c r="T17" s="459"/>
      <c r="V17" s="259"/>
    </row>
    <row r="18" spans="1:22" s="80" customFormat="1" ht="25.9" customHeight="1">
      <c r="A18" s="275">
        <v>1</v>
      </c>
      <c r="B18" s="276" t="s">
        <v>361</v>
      </c>
      <c r="C18" s="214">
        <f>C19+C26</f>
        <v>460834</v>
      </c>
      <c r="D18" s="214">
        <f>D19+D26</f>
        <v>503288</v>
      </c>
      <c r="E18" s="441">
        <f t="shared" ref="E18:I18" si="13">E19+E26</f>
        <v>1552</v>
      </c>
      <c r="F18" s="441">
        <f t="shared" si="13"/>
        <v>0</v>
      </c>
      <c r="G18" s="441">
        <f t="shared" si="13"/>
        <v>2100</v>
      </c>
      <c r="H18" s="441">
        <f t="shared" si="13"/>
        <v>0</v>
      </c>
      <c r="I18" s="441">
        <f t="shared" si="13"/>
        <v>17006</v>
      </c>
      <c r="J18" s="440">
        <f t="shared" si="11"/>
        <v>523946</v>
      </c>
      <c r="K18" s="214">
        <f>K19+K26</f>
        <v>523946</v>
      </c>
      <c r="L18" s="214">
        <f>L19+L26</f>
        <v>643985</v>
      </c>
      <c r="M18" s="238">
        <f t="shared" si="6"/>
        <v>1.0410460809715312</v>
      </c>
      <c r="N18" s="238">
        <f t="shared" si="7"/>
        <v>1.1369517006123679</v>
      </c>
      <c r="O18" s="238">
        <f t="shared" si="8"/>
        <v>1.2795556420975664</v>
      </c>
      <c r="P18" s="259"/>
      <c r="Q18" s="459"/>
      <c r="R18" s="459"/>
      <c r="S18" s="486"/>
      <c r="T18" s="459"/>
    </row>
    <row r="19" spans="1:22" ht="25.9" customHeight="1">
      <c r="A19" s="87" t="s">
        <v>524</v>
      </c>
      <c r="B19" s="278" t="s">
        <v>363</v>
      </c>
      <c r="C19" s="256">
        <v>455854</v>
      </c>
      <c r="D19" s="256">
        <v>496672</v>
      </c>
      <c r="E19" s="442">
        <v>1552</v>
      </c>
      <c r="F19" s="442"/>
      <c r="G19" s="442">
        <v>2100</v>
      </c>
      <c r="H19" s="442"/>
      <c r="I19" s="442">
        <v>17006</v>
      </c>
      <c r="J19" s="440">
        <f t="shared" si="11"/>
        <v>517330</v>
      </c>
      <c r="K19" s="256">
        <f>523946-K26</f>
        <v>516898</v>
      </c>
      <c r="L19" s="256">
        <f>+'Chi 2025'!C15</f>
        <v>636259</v>
      </c>
      <c r="M19" s="245">
        <f t="shared" si="6"/>
        <v>1.0407230526383608</v>
      </c>
      <c r="N19" s="245">
        <f t="shared" si="7"/>
        <v>1.1339112961606128</v>
      </c>
      <c r="O19" s="245">
        <f t="shared" si="8"/>
        <v>1.2810446330777656</v>
      </c>
      <c r="P19" s="251"/>
    </row>
    <row r="20" spans="1:22" ht="25.9" customHeight="1">
      <c r="A20" s="87"/>
      <c r="B20" s="278" t="s">
        <v>364</v>
      </c>
      <c r="C20" s="256"/>
      <c r="D20" s="256"/>
      <c r="E20" s="442"/>
      <c r="F20" s="442"/>
      <c r="G20" s="442"/>
      <c r="H20" s="442"/>
      <c r="I20" s="442"/>
      <c r="J20" s="440">
        <f t="shared" si="11"/>
        <v>0</v>
      </c>
      <c r="K20" s="256"/>
      <c r="L20" s="256"/>
      <c r="M20" s="245">
        <f t="shared" si="6"/>
        <v>0</v>
      </c>
      <c r="N20" s="245">
        <f t="shared" si="7"/>
        <v>0</v>
      </c>
      <c r="O20" s="245">
        <f t="shared" si="8"/>
        <v>0</v>
      </c>
      <c r="P20" s="251"/>
    </row>
    <row r="21" spans="1:22" ht="25.9" customHeight="1">
      <c r="A21" s="87"/>
      <c r="B21" s="88" t="s">
        <v>365</v>
      </c>
      <c r="C21" s="256">
        <v>9899</v>
      </c>
      <c r="D21" s="256">
        <v>10279</v>
      </c>
      <c r="E21" s="442"/>
      <c r="F21" s="442"/>
      <c r="G21" s="442"/>
      <c r="H21" s="442"/>
      <c r="I21" s="442"/>
      <c r="J21" s="440">
        <f t="shared" si="11"/>
        <v>10279</v>
      </c>
      <c r="K21" s="256">
        <f>D21-320</f>
        <v>9959</v>
      </c>
      <c r="L21" s="256">
        <f>'Chi 2025'!C16</f>
        <v>9571</v>
      </c>
      <c r="M21" s="245">
        <f t="shared" si="6"/>
        <v>0.96886856698122381</v>
      </c>
      <c r="N21" s="245">
        <f t="shared" si="7"/>
        <v>1.0060612183048794</v>
      </c>
      <c r="O21" s="245">
        <f t="shared" si="8"/>
        <v>0.93112170444595777</v>
      </c>
      <c r="P21" s="251"/>
    </row>
    <row r="22" spans="1:22" ht="25.9" customHeight="1">
      <c r="A22" s="87"/>
      <c r="B22" s="88" t="s">
        <v>366</v>
      </c>
      <c r="C22" s="256">
        <v>29645</v>
      </c>
      <c r="D22" s="256">
        <v>30101</v>
      </c>
      <c r="E22" s="442"/>
      <c r="F22" s="442"/>
      <c r="G22" s="442"/>
      <c r="H22" s="442"/>
      <c r="I22" s="442"/>
      <c r="J22" s="440">
        <f t="shared" si="11"/>
        <v>30101</v>
      </c>
      <c r="K22" s="256">
        <f>D22-1102</f>
        <v>28999</v>
      </c>
      <c r="L22" s="256">
        <f>'Chi 2025'!C17</f>
        <v>28586</v>
      </c>
      <c r="M22" s="245">
        <f t="shared" si="6"/>
        <v>0.96338992060064454</v>
      </c>
      <c r="N22" s="245">
        <f t="shared" si="7"/>
        <v>0.97820880418283018</v>
      </c>
      <c r="O22" s="245">
        <f t="shared" si="8"/>
        <v>0.94966944619780069</v>
      </c>
      <c r="P22" s="251"/>
    </row>
    <row r="23" spans="1:22" ht="25.9" customHeight="1">
      <c r="A23" s="87"/>
      <c r="B23" s="278" t="s">
        <v>367</v>
      </c>
      <c r="C23" s="256">
        <v>29516</v>
      </c>
      <c r="D23" s="256">
        <v>32544</v>
      </c>
      <c r="E23" s="442"/>
      <c r="F23" s="442"/>
      <c r="G23" s="442"/>
      <c r="H23" s="442"/>
      <c r="I23" s="442"/>
      <c r="J23" s="440">
        <f t="shared" si="11"/>
        <v>32544</v>
      </c>
      <c r="K23" s="256">
        <f>D23+3519</f>
        <v>36063</v>
      </c>
      <c r="L23" s="256">
        <f>'Chi 2025'!C20</f>
        <v>40823</v>
      </c>
      <c r="M23" s="245">
        <f t="shared" si="6"/>
        <v>1.1081305309734513</v>
      </c>
      <c r="N23" s="245">
        <f t="shared" si="7"/>
        <v>1.2218118986312509</v>
      </c>
      <c r="O23" s="245">
        <f t="shared" si="8"/>
        <v>1.2543940511307767</v>
      </c>
      <c r="P23" s="251"/>
    </row>
    <row r="24" spans="1:22" ht="25.9" customHeight="1">
      <c r="A24" s="87"/>
      <c r="B24" s="278" t="s">
        <v>368</v>
      </c>
      <c r="C24" s="256">
        <v>22</v>
      </c>
      <c r="D24" s="256">
        <v>24</v>
      </c>
      <c r="E24" s="442"/>
      <c r="F24" s="442"/>
      <c r="G24" s="442"/>
      <c r="H24" s="442"/>
      <c r="I24" s="442"/>
      <c r="J24" s="440">
        <f t="shared" si="11"/>
        <v>24</v>
      </c>
      <c r="K24" s="256">
        <f>D24+8</f>
        <v>32</v>
      </c>
      <c r="L24" s="256">
        <f>'Chi 2025'!C21</f>
        <v>34</v>
      </c>
      <c r="M24" s="245">
        <f t="shared" si="6"/>
        <v>1.3333333333333333</v>
      </c>
      <c r="N24" s="245">
        <f t="shared" si="7"/>
        <v>1.4545454545454546</v>
      </c>
      <c r="O24" s="245">
        <f t="shared" si="8"/>
        <v>1.4166666666666667</v>
      </c>
      <c r="P24" s="251"/>
    </row>
    <row r="25" spans="1:22" ht="40.15" customHeight="1">
      <c r="A25" s="87"/>
      <c r="B25" s="280" t="s">
        <v>369</v>
      </c>
      <c r="C25" s="256">
        <v>5060</v>
      </c>
      <c r="D25" s="256">
        <v>5863</v>
      </c>
      <c r="E25" s="442"/>
      <c r="F25" s="442"/>
      <c r="G25" s="442"/>
      <c r="H25" s="442"/>
      <c r="I25" s="442"/>
      <c r="J25" s="440">
        <f t="shared" si="11"/>
        <v>5863</v>
      </c>
      <c r="K25" s="256">
        <f>D25-39</f>
        <v>5824</v>
      </c>
      <c r="L25" s="256">
        <f>'Chi 2025'!C22</f>
        <v>6369</v>
      </c>
      <c r="M25" s="245">
        <f t="shared" si="6"/>
        <v>0.99334811529933487</v>
      </c>
      <c r="N25" s="245">
        <f t="shared" si="7"/>
        <v>1.1509881422924901</v>
      </c>
      <c r="O25" s="245">
        <f t="shared" si="8"/>
        <v>1.0863039399624765</v>
      </c>
      <c r="P25" s="251"/>
    </row>
    <row r="26" spans="1:22" ht="25.9" customHeight="1">
      <c r="A26" s="87" t="s">
        <v>525</v>
      </c>
      <c r="B26" s="278" t="s">
        <v>249</v>
      </c>
      <c r="C26" s="256">
        <v>4980</v>
      </c>
      <c r="D26" s="256">
        <v>6616</v>
      </c>
      <c r="E26" s="442"/>
      <c r="F26" s="442"/>
      <c r="G26" s="442"/>
      <c r="H26" s="442"/>
      <c r="I26" s="442"/>
      <c r="J26" s="440">
        <f t="shared" si="11"/>
        <v>6616</v>
      </c>
      <c r="K26" s="256">
        <f>D26+K28+K29</f>
        <v>7048</v>
      </c>
      <c r="L26" s="256">
        <f>+'Chi 2025'!C24</f>
        <v>7726</v>
      </c>
      <c r="M26" s="245">
        <f t="shared" si="6"/>
        <v>1.0652962515114872</v>
      </c>
      <c r="N26" s="245">
        <f t="shared" si="7"/>
        <v>1.4152610441767068</v>
      </c>
      <c r="O26" s="245">
        <f t="shared" si="8"/>
        <v>1.1677750906892381</v>
      </c>
      <c r="P26" s="251"/>
    </row>
    <row r="27" spans="1:22" ht="25.9" customHeight="1">
      <c r="A27" s="87"/>
      <c r="B27" s="278" t="s">
        <v>364</v>
      </c>
      <c r="C27" s="256"/>
      <c r="D27" s="256"/>
      <c r="E27" s="442"/>
      <c r="F27" s="442"/>
      <c r="G27" s="442"/>
      <c r="H27" s="442"/>
      <c r="I27" s="442"/>
      <c r="J27" s="440">
        <f t="shared" si="11"/>
        <v>0</v>
      </c>
      <c r="K27" s="256"/>
      <c r="L27" s="256"/>
      <c r="M27" s="245">
        <f t="shared" si="6"/>
        <v>0</v>
      </c>
      <c r="N27" s="245">
        <f t="shared" si="7"/>
        <v>0</v>
      </c>
      <c r="O27" s="245">
        <f t="shared" si="8"/>
        <v>0</v>
      </c>
      <c r="P27" s="251"/>
    </row>
    <row r="28" spans="1:22" ht="25.9" customHeight="1">
      <c r="A28" s="87"/>
      <c r="B28" s="88" t="s">
        <v>366</v>
      </c>
      <c r="C28" s="256">
        <v>194</v>
      </c>
      <c r="D28" s="256"/>
      <c r="E28" s="442"/>
      <c r="F28" s="442"/>
      <c r="G28" s="442"/>
      <c r="H28" s="442"/>
      <c r="I28" s="442"/>
      <c r="J28" s="440">
        <f t="shared" si="11"/>
        <v>0</v>
      </c>
      <c r="K28" s="256">
        <f>278+110</f>
        <v>388</v>
      </c>
      <c r="L28" s="256">
        <f>'Chi 2025'!C25</f>
        <v>0</v>
      </c>
      <c r="M28" s="245">
        <f t="shared" si="6"/>
        <v>0</v>
      </c>
      <c r="N28" s="245">
        <f t="shared" si="7"/>
        <v>2</v>
      </c>
      <c r="O28" s="245">
        <f t="shared" si="8"/>
        <v>0</v>
      </c>
      <c r="P28" s="251"/>
    </row>
    <row r="29" spans="1:22" ht="39" customHeight="1">
      <c r="A29" s="87"/>
      <c r="B29" s="280" t="s">
        <v>369</v>
      </c>
      <c r="C29" s="256">
        <v>47</v>
      </c>
      <c r="D29" s="256">
        <v>42</v>
      </c>
      <c r="E29" s="442"/>
      <c r="F29" s="442"/>
      <c r="G29" s="442"/>
      <c r="H29" s="442"/>
      <c r="I29" s="442"/>
      <c r="J29" s="440">
        <f t="shared" si="11"/>
        <v>42</v>
      </c>
      <c r="K29" s="256">
        <v>44</v>
      </c>
      <c r="L29" s="256">
        <f>'Chi 2025'!C26</f>
        <v>51</v>
      </c>
      <c r="M29" s="245">
        <f t="shared" si="6"/>
        <v>1.0476190476190477</v>
      </c>
      <c r="N29" s="245">
        <f t="shared" si="7"/>
        <v>0.93617021276595747</v>
      </c>
      <c r="O29" s="245">
        <f t="shared" si="8"/>
        <v>1.2142857142857142</v>
      </c>
      <c r="P29" s="251"/>
    </row>
    <row r="30" spans="1:22" ht="25.9" hidden="1" customHeight="1">
      <c r="A30" s="87"/>
      <c r="B30" s="278" t="s">
        <v>371</v>
      </c>
      <c r="C30" s="256"/>
      <c r="D30" s="256"/>
      <c r="E30" s="442"/>
      <c r="F30" s="442"/>
      <c r="G30" s="442"/>
      <c r="H30" s="442"/>
      <c r="I30" s="441"/>
      <c r="J30" s="440">
        <f t="shared" si="11"/>
        <v>0</v>
      </c>
      <c r="K30" s="256"/>
      <c r="L30" s="256"/>
      <c r="M30" s="238">
        <f t="shared" si="6"/>
        <v>0</v>
      </c>
      <c r="N30" s="238">
        <f t="shared" si="7"/>
        <v>0</v>
      </c>
      <c r="O30" s="238">
        <f t="shared" si="8"/>
        <v>0</v>
      </c>
      <c r="P30" s="251"/>
    </row>
    <row r="31" spans="1:22" s="80" customFormat="1" ht="25.9" customHeight="1">
      <c r="A31" s="275">
        <v>2</v>
      </c>
      <c r="B31" s="276" t="s">
        <v>372</v>
      </c>
      <c r="C31" s="214">
        <v>315</v>
      </c>
      <c r="D31" s="214">
        <v>415</v>
      </c>
      <c r="E31" s="441"/>
      <c r="F31" s="441"/>
      <c r="G31" s="441"/>
      <c r="H31" s="441"/>
      <c r="I31" s="441"/>
      <c r="J31" s="440">
        <f>SUM(D31:I31)</f>
        <v>415</v>
      </c>
      <c r="K31" s="214">
        <v>415</v>
      </c>
      <c r="L31" s="214">
        <f>+'Chi 2025'!C27</f>
        <v>0</v>
      </c>
      <c r="M31" s="238">
        <f t="shared" si="6"/>
        <v>1</v>
      </c>
      <c r="N31" s="238">
        <f t="shared" si="7"/>
        <v>1.3174603174603174</v>
      </c>
      <c r="O31" s="238">
        <f t="shared" si="8"/>
        <v>0</v>
      </c>
      <c r="P31" s="259"/>
      <c r="Q31" s="459"/>
      <c r="R31" s="459"/>
      <c r="S31" s="486"/>
      <c r="T31" s="459"/>
    </row>
    <row r="32" spans="1:22" s="80" customFormat="1" ht="25.9" customHeight="1">
      <c r="A32" s="275">
        <v>3</v>
      </c>
      <c r="B32" s="276" t="s">
        <v>359</v>
      </c>
      <c r="C32" s="214">
        <v>11917</v>
      </c>
      <c r="D32" s="214">
        <v>8682</v>
      </c>
      <c r="E32" s="441">
        <v>19</v>
      </c>
      <c r="F32" s="441"/>
      <c r="G32" s="441">
        <v>400</v>
      </c>
      <c r="H32" s="441">
        <v>257</v>
      </c>
      <c r="I32" s="441">
        <v>362</v>
      </c>
      <c r="J32" s="440">
        <f t="shared" si="11"/>
        <v>9720</v>
      </c>
      <c r="K32" s="214">
        <v>9720</v>
      </c>
      <c r="L32" s="214">
        <f>+'Chi 2025'!C28</f>
        <v>9789</v>
      </c>
      <c r="M32" s="238">
        <f t="shared" si="6"/>
        <v>1.1195577055977886</v>
      </c>
      <c r="N32" s="238">
        <f t="shared" si="7"/>
        <v>0.81564152051690864</v>
      </c>
      <c r="O32" s="238">
        <f t="shared" si="8"/>
        <v>1.127505183137526</v>
      </c>
      <c r="P32" s="259"/>
      <c r="Q32" s="459"/>
      <c r="R32" s="459"/>
      <c r="S32" s="486"/>
      <c r="T32" s="459"/>
    </row>
    <row r="33" spans="1:22" s="80" customFormat="1" ht="25.9" customHeight="1">
      <c r="A33" s="275">
        <v>4</v>
      </c>
      <c r="B33" s="276" t="s">
        <v>360</v>
      </c>
      <c r="C33" s="214">
        <v>7248</v>
      </c>
      <c r="D33" s="214">
        <v>6137</v>
      </c>
      <c r="E33" s="441">
        <v>1221</v>
      </c>
      <c r="F33" s="441"/>
      <c r="G33" s="441"/>
      <c r="H33" s="441">
        <v>1093</v>
      </c>
      <c r="I33" s="441">
        <v>1320</v>
      </c>
      <c r="J33" s="440">
        <f t="shared" si="11"/>
        <v>9771</v>
      </c>
      <c r="K33" s="214">
        <v>9771</v>
      </c>
      <c r="L33" s="214">
        <f>+'Chi 2025'!C29</f>
        <v>9244</v>
      </c>
      <c r="M33" s="238">
        <f t="shared" si="6"/>
        <v>1.5921459996741079</v>
      </c>
      <c r="N33" s="238">
        <f t="shared" si="7"/>
        <v>1.3480960264900663</v>
      </c>
      <c r="O33" s="238">
        <f t="shared" si="8"/>
        <v>1.5062734234968225</v>
      </c>
      <c r="P33" s="259"/>
      <c r="Q33" s="459"/>
      <c r="R33" s="459"/>
      <c r="S33" s="486"/>
      <c r="T33" s="459"/>
      <c r="V33" s="259"/>
    </row>
    <row r="34" spans="1:22" s="80" customFormat="1" ht="25.9" customHeight="1">
      <c r="A34" s="275">
        <v>5</v>
      </c>
      <c r="B34" s="276" t="s">
        <v>373</v>
      </c>
      <c r="C34" s="214">
        <v>185</v>
      </c>
      <c r="D34" s="214">
        <v>315</v>
      </c>
      <c r="E34" s="441"/>
      <c r="F34" s="441"/>
      <c r="G34" s="441"/>
      <c r="H34" s="441"/>
      <c r="I34" s="441"/>
      <c r="J34" s="440">
        <f t="shared" si="11"/>
        <v>315</v>
      </c>
      <c r="K34" s="214">
        <v>315</v>
      </c>
      <c r="L34" s="214">
        <f>+'Chi 2025'!C30</f>
        <v>315</v>
      </c>
      <c r="M34" s="238">
        <f t="shared" si="6"/>
        <v>1</v>
      </c>
      <c r="N34" s="238">
        <f t="shared" si="7"/>
        <v>1.7027027027027026</v>
      </c>
      <c r="O34" s="238">
        <f t="shared" si="8"/>
        <v>1</v>
      </c>
      <c r="P34" s="259"/>
      <c r="Q34" s="459"/>
      <c r="R34" s="459"/>
      <c r="S34" s="486"/>
      <c r="T34" s="459"/>
    </row>
    <row r="35" spans="1:22" s="80" customFormat="1" ht="25.9" customHeight="1">
      <c r="A35" s="275">
        <v>6</v>
      </c>
      <c r="B35" s="276" t="s">
        <v>374</v>
      </c>
      <c r="C35" s="214">
        <v>3544</v>
      </c>
      <c r="D35" s="214">
        <v>4356</v>
      </c>
      <c r="E35" s="441">
        <v>320</v>
      </c>
      <c r="F35" s="441"/>
      <c r="G35" s="441"/>
      <c r="H35" s="441"/>
      <c r="I35" s="441">
        <v>295</v>
      </c>
      <c r="J35" s="440">
        <f t="shared" si="11"/>
        <v>4971</v>
      </c>
      <c r="K35" s="214">
        <v>4971</v>
      </c>
      <c r="L35" s="214">
        <f>+'Chi 2025'!C31</f>
        <v>4101</v>
      </c>
      <c r="M35" s="238">
        <f t="shared" si="6"/>
        <v>1.1411845730027548</v>
      </c>
      <c r="N35" s="238">
        <f t="shared" si="7"/>
        <v>1.4026523702031604</v>
      </c>
      <c r="O35" s="238">
        <f t="shared" si="8"/>
        <v>0.94146005509641872</v>
      </c>
      <c r="P35" s="259"/>
      <c r="Q35" s="459"/>
      <c r="R35" s="459"/>
      <c r="S35" s="486"/>
      <c r="T35" s="459"/>
    </row>
    <row r="36" spans="1:22" s="80" customFormat="1" ht="25.9" customHeight="1">
      <c r="A36" s="275">
        <v>7</v>
      </c>
      <c r="B36" s="197" t="s">
        <v>375</v>
      </c>
      <c r="C36" s="214">
        <v>3746</v>
      </c>
      <c r="D36" s="214">
        <v>3277</v>
      </c>
      <c r="E36" s="441"/>
      <c r="F36" s="441"/>
      <c r="G36" s="441"/>
      <c r="H36" s="441"/>
      <c r="I36" s="441"/>
      <c r="J36" s="440">
        <f t="shared" si="11"/>
        <v>3277</v>
      </c>
      <c r="K36" s="214">
        <v>3277</v>
      </c>
      <c r="L36" s="214">
        <f>+'Chi 2025'!C32</f>
        <v>3703</v>
      </c>
      <c r="M36" s="238">
        <f t="shared" si="6"/>
        <v>1</v>
      </c>
      <c r="N36" s="238">
        <f t="shared" si="7"/>
        <v>0.87479978643886813</v>
      </c>
      <c r="O36" s="238">
        <f t="shared" si="8"/>
        <v>1.1299969484284407</v>
      </c>
      <c r="P36" s="259"/>
      <c r="Q36" s="459"/>
      <c r="R36" s="459"/>
      <c r="S36" s="486"/>
      <c r="T36" s="459"/>
    </row>
    <row r="37" spans="1:22" s="80" customFormat="1" ht="25.9" customHeight="1">
      <c r="A37" s="275">
        <v>8</v>
      </c>
      <c r="B37" s="197" t="s">
        <v>376</v>
      </c>
      <c r="C37" s="214">
        <v>617</v>
      </c>
      <c r="D37" s="214">
        <v>615</v>
      </c>
      <c r="E37" s="441"/>
      <c r="F37" s="441"/>
      <c r="G37" s="441"/>
      <c r="H37" s="441"/>
      <c r="I37" s="441"/>
      <c r="J37" s="440">
        <f t="shared" si="11"/>
        <v>615</v>
      </c>
      <c r="K37" s="214">
        <v>615</v>
      </c>
      <c r="L37" s="214">
        <f>+'Chi 2025'!C33</f>
        <v>741</v>
      </c>
      <c r="M37" s="238">
        <f t="shared" si="6"/>
        <v>1</v>
      </c>
      <c r="N37" s="238">
        <f t="shared" si="7"/>
        <v>0.99675850891410045</v>
      </c>
      <c r="O37" s="238">
        <f t="shared" si="8"/>
        <v>1.2048780487804878</v>
      </c>
      <c r="P37" s="259"/>
      <c r="Q37" s="459"/>
      <c r="R37" s="459"/>
      <c r="S37" s="486"/>
      <c r="T37" s="459"/>
    </row>
    <row r="38" spans="1:22" s="80" customFormat="1" ht="25.9" customHeight="1">
      <c r="A38" s="275">
        <v>9</v>
      </c>
      <c r="B38" s="276" t="s">
        <v>377</v>
      </c>
      <c r="C38" s="214">
        <v>4421</v>
      </c>
      <c r="D38" s="214">
        <v>7000</v>
      </c>
      <c r="E38" s="441"/>
      <c r="F38" s="441"/>
      <c r="G38" s="441"/>
      <c r="H38" s="441"/>
      <c r="I38" s="441">
        <v>2000</v>
      </c>
      <c r="J38" s="440">
        <f t="shared" si="11"/>
        <v>9000</v>
      </c>
      <c r="K38" s="214">
        <v>9000</v>
      </c>
      <c r="L38" s="214">
        <f>+'Chi 2025'!C34</f>
        <v>9220</v>
      </c>
      <c r="M38" s="238">
        <f t="shared" si="6"/>
        <v>1.2857142857142858</v>
      </c>
      <c r="N38" s="238">
        <f t="shared" si="7"/>
        <v>2.0357385206966749</v>
      </c>
      <c r="O38" s="238">
        <f t="shared" si="8"/>
        <v>1.3171428571428572</v>
      </c>
      <c r="P38" s="259"/>
      <c r="Q38" s="459"/>
      <c r="R38" s="459"/>
      <c r="S38" s="486"/>
      <c r="T38" s="459"/>
    </row>
    <row r="39" spans="1:22" s="80" customFormat="1" ht="25.9" customHeight="1">
      <c r="A39" s="275">
        <v>10</v>
      </c>
      <c r="B39" s="197" t="s">
        <v>378</v>
      </c>
      <c r="C39" s="214">
        <v>66479</v>
      </c>
      <c r="D39" s="214">
        <v>50095</v>
      </c>
      <c r="E39" s="441">
        <v>10833</v>
      </c>
      <c r="F39" s="441"/>
      <c r="G39" s="441">
        <v>14090</v>
      </c>
      <c r="H39" s="441">
        <v>1067</v>
      </c>
      <c r="I39" s="441">
        <v>6440</v>
      </c>
      <c r="J39" s="440">
        <f t="shared" si="11"/>
        <v>82525</v>
      </c>
      <c r="K39" s="214">
        <v>82525</v>
      </c>
      <c r="L39" s="214">
        <f>+'Chi 2025'!C35</f>
        <v>48670</v>
      </c>
      <c r="M39" s="238">
        <f t="shared" si="6"/>
        <v>1.6473699970056892</v>
      </c>
      <c r="N39" s="238">
        <f t="shared" si="7"/>
        <v>1.2413694550158696</v>
      </c>
      <c r="O39" s="238">
        <f t="shared" si="8"/>
        <v>0.97155404731011075</v>
      </c>
      <c r="P39" s="259"/>
      <c r="Q39" s="459"/>
      <c r="R39" s="459"/>
      <c r="S39" s="486"/>
      <c r="T39" s="459"/>
    </row>
    <row r="40" spans="1:22" ht="25.9" customHeight="1">
      <c r="A40" s="87"/>
      <c r="B40" s="88" t="s">
        <v>364</v>
      </c>
      <c r="C40" s="256"/>
      <c r="D40" s="256"/>
      <c r="E40" s="442"/>
      <c r="F40" s="442"/>
      <c r="G40" s="442"/>
      <c r="H40" s="442"/>
      <c r="I40" s="442"/>
      <c r="J40" s="440">
        <f t="shared" si="11"/>
        <v>0</v>
      </c>
      <c r="K40" s="256"/>
      <c r="L40" s="256"/>
      <c r="M40" s="245"/>
      <c r="N40" s="245"/>
      <c r="O40" s="245"/>
      <c r="P40" s="251"/>
    </row>
    <row r="41" spans="1:22" ht="25.9" customHeight="1">
      <c r="A41" s="87"/>
      <c r="B41" s="88" t="s">
        <v>741</v>
      </c>
      <c r="C41" s="256">
        <v>3759</v>
      </c>
      <c r="D41" s="256">
        <v>4050</v>
      </c>
      <c r="E41" s="442"/>
      <c r="F41" s="442"/>
      <c r="G41" s="442"/>
      <c r="H41" s="442"/>
      <c r="I41" s="442"/>
      <c r="J41" s="440">
        <f t="shared" si="11"/>
        <v>4050</v>
      </c>
      <c r="K41" s="256">
        <f>D41+362+188</f>
        <v>4600</v>
      </c>
      <c r="L41" s="256">
        <f>'Chi 2025'!C37</f>
        <v>869</v>
      </c>
      <c r="M41" s="245">
        <f t="shared" si="6"/>
        <v>1.1358024691358024</v>
      </c>
      <c r="N41" s="245">
        <f t="shared" si="7"/>
        <v>1.223729715349827</v>
      </c>
      <c r="O41" s="245">
        <f t="shared" si="8"/>
        <v>0.2145679012345679</v>
      </c>
      <c r="P41" s="251"/>
    </row>
    <row r="42" spans="1:22" ht="25.9" customHeight="1">
      <c r="A42" s="87"/>
      <c r="B42" s="88" t="s">
        <v>379</v>
      </c>
      <c r="C42" s="256">
        <v>5117</v>
      </c>
      <c r="D42" s="256">
        <v>5069</v>
      </c>
      <c r="E42" s="442"/>
      <c r="F42" s="442"/>
      <c r="G42" s="442"/>
      <c r="H42" s="442"/>
      <c r="I42" s="442"/>
      <c r="J42" s="440">
        <f t="shared" si="11"/>
        <v>5069</v>
      </c>
      <c r="K42" s="256">
        <v>5069</v>
      </c>
      <c r="L42" s="256">
        <f>'Chi 2025'!C38+'Chi 2025'!C40+'Chi 2025'!C43</f>
        <v>7552</v>
      </c>
      <c r="M42" s="245">
        <f t="shared" si="6"/>
        <v>1</v>
      </c>
      <c r="N42" s="245">
        <f t="shared" si="7"/>
        <v>0.99061950361539963</v>
      </c>
      <c r="O42" s="245">
        <f t="shared" si="8"/>
        <v>1.4898402051686723</v>
      </c>
      <c r="P42" s="251"/>
    </row>
    <row r="43" spans="1:22" ht="25.9" customHeight="1">
      <c r="A43" s="87"/>
      <c r="B43" s="88" t="s">
        <v>380</v>
      </c>
      <c r="C43" s="256">
        <v>3218</v>
      </c>
      <c r="D43" s="256">
        <v>2556</v>
      </c>
      <c r="E43" s="442"/>
      <c r="F43" s="442"/>
      <c r="G43" s="442"/>
      <c r="H43" s="442"/>
      <c r="I43" s="442"/>
      <c r="J43" s="440">
        <f t="shared" si="11"/>
        <v>2556</v>
      </c>
      <c r="K43" s="256">
        <f>D43+605</f>
        <v>3161</v>
      </c>
      <c r="L43" s="256">
        <f>'Chi 2025'!C42</f>
        <v>2456</v>
      </c>
      <c r="M43" s="245">
        <f t="shared" si="6"/>
        <v>1.2366979655712049</v>
      </c>
      <c r="N43" s="245">
        <f t="shared" si="7"/>
        <v>0.98228713486637664</v>
      </c>
      <c r="O43" s="245">
        <f t="shared" si="8"/>
        <v>0.96087636932707354</v>
      </c>
      <c r="P43" s="251"/>
    </row>
    <row r="44" spans="1:22" ht="58.9" customHeight="1">
      <c r="A44" s="87"/>
      <c r="B44" s="281" t="s">
        <v>381</v>
      </c>
      <c r="C44" s="256">
        <v>0</v>
      </c>
      <c r="D44" s="256">
        <v>1750</v>
      </c>
      <c r="E44" s="442"/>
      <c r="F44" s="442"/>
      <c r="G44" s="442"/>
      <c r="H44" s="442"/>
      <c r="I44" s="442"/>
      <c r="J44" s="440">
        <f t="shared" si="11"/>
        <v>1750</v>
      </c>
      <c r="K44" s="256">
        <v>1750</v>
      </c>
      <c r="L44" s="256">
        <f>'Chi 2025'!C48</f>
        <v>2029</v>
      </c>
      <c r="M44" s="245">
        <f t="shared" si="6"/>
        <v>1</v>
      </c>
      <c r="N44" s="245">
        <f t="shared" si="7"/>
        <v>0</v>
      </c>
      <c r="O44" s="245">
        <f t="shared" si="8"/>
        <v>1.1594285714285715</v>
      </c>
      <c r="P44" s="251"/>
    </row>
    <row r="45" spans="1:22" ht="37.15" hidden="1" customHeight="1">
      <c r="A45" s="87"/>
      <c r="B45" s="281" t="s">
        <v>382</v>
      </c>
      <c r="C45" s="282"/>
      <c r="D45" s="256"/>
      <c r="E45" s="442"/>
      <c r="F45" s="442"/>
      <c r="G45" s="442"/>
      <c r="H45" s="442"/>
      <c r="I45" s="442"/>
      <c r="J45" s="440">
        <f t="shared" si="11"/>
        <v>0</v>
      </c>
      <c r="K45" s="256"/>
      <c r="L45" s="282"/>
      <c r="M45" s="245">
        <f t="shared" si="6"/>
        <v>0</v>
      </c>
      <c r="N45" s="245">
        <f t="shared" si="7"/>
        <v>0</v>
      </c>
      <c r="O45" s="245">
        <f t="shared" si="8"/>
        <v>0</v>
      </c>
      <c r="P45" s="251"/>
    </row>
    <row r="46" spans="1:22" ht="37.15" hidden="1" customHeight="1">
      <c r="A46" s="87"/>
      <c r="B46" s="281" t="s">
        <v>383</v>
      </c>
      <c r="C46" s="282"/>
      <c r="D46" s="256"/>
      <c r="E46" s="442"/>
      <c r="F46" s="442"/>
      <c r="G46" s="442"/>
      <c r="H46" s="442"/>
      <c r="I46" s="442"/>
      <c r="J46" s="440">
        <f t="shared" si="11"/>
        <v>0</v>
      </c>
      <c r="K46" s="256"/>
      <c r="L46" s="282"/>
      <c r="M46" s="245">
        <f t="shared" si="6"/>
        <v>0</v>
      </c>
      <c r="N46" s="245">
        <f t="shared" si="7"/>
        <v>0</v>
      </c>
      <c r="O46" s="245">
        <f t="shared" si="8"/>
        <v>0</v>
      </c>
      <c r="P46" s="251"/>
    </row>
    <row r="47" spans="1:22" ht="37.15" hidden="1" customHeight="1">
      <c r="A47" s="87"/>
      <c r="B47" s="281" t="s">
        <v>384</v>
      </c>
      <c r="C47" s="282"/>
      <c r="D47" s="256"/>
      <c r="E47" s="442"/>
      <c r="F47" s="442"/>
      <c r="G47" s="442"/>
      <c r="H47" s="442"/>
      <c r="I47" s="442"/>
      <c r="J47" s="440">
        <f t="shared" si="11"/>
        <v>0</v>
      </c>
      <c r="K47" s="256"/>
      <c r="L47" s="282"/>
      <c r="M47" s="245">
        <f t="shared" si="6"/>
        <v>0</v>
      </c>
      <c r="N47" s="245">
        <f t="shared" si="7"/>
        <v>0</v>
      </c>
      <c r="O47" s="245">
        <f t="shared" si="8"/>
        <v>0</v>
      </c>
      <c r="P47" s="251"/>
    </row>
    <row r="48" spans="1:22" ht="25.9" hidden="1" customHeight="1">
      <c r="A48" s="87"/>
      <c r="B48" s="278" t="s">
        <v>385</v>
      </c>
      <c r="C48" s="256"/>
      <c r="D48" s="256"/>
      <c r="E48" s="442"/>
      <c r="F48" s="442"/>
      <c r="G48" s="442"/>
      <c r="H48" s="442"/>
      <c r="I48" s="442"/>
      <c r="J48" s="440">
        <f t="shared" si="11"/>
        <v>0</v>
      </c>
      <c r="K48" s="256"/>
      <c r="L48" s="256"/>
      <c r="M48" s="245">
        <f t="shared" si="6"/>
        <v>0</v>
      </c>
      <c r="N48" s="245">
        <f t="shared" si="7"/>
        <v>0</v>
      </c>
      <c r="O48" s="245">
        <f t="shared" si="8"/>
        <v>0</v>
      </c>
      <c r="P48" s="251"/>
    </row>
    <row r="49" spans="1:22" ht="37.9" customHeight="1">
      <c r="A49" s="87"/>
      <c r="B49" s="281" t="s">
        <v>386</v>
      </c>
      <c r="C49" s="256">
        <v>600</v>
      </c>
      <c r="D49" s="256">
        <v>1000</v>
      </c>
      <c r="E49" s="442"/>
      <c r="F49" s="442"/>
      <c r="G49" s="442"/>
      <c r="H49" s="442"/>
      <c r="I49" s="442"/>
      <c r="J49" s="440">
        <f t="shared" si="11"/>
        <v>1000</v>
      </c>
      <c r="K49" s="256">
        <v>1000</v>
      </c>
      <c r="L49" s="256">
        <f>'Chi 2025'!C52</f>
        <v>1100</v>
      </c>
      <c r="M49" s="245">
        <f t="shared" si="6"/>
        <v>1</v>
      </c>
      <c r="N49" s="245">
        <f t="shared" si="7"/>
        <v>1.6666666666666667</v>
      </c>
      <c r="O49" s="245">
        <f t="shared" si="8"/>
        <v>1.1000000000000001</v>
      </c>
      <c r="P49" s="251"/>
    </row>
    <row r="50" spans="1:22" ht="25.9" hidden="1" customHeight="1">
      <c r="A50" s="87"/>
      <c r="B50" s="281" t="s">
        <v>387</v>
      </c>
      <c r="C50" s="256"/>
      <c r="D50" s="256"/>
      <c r="E50" s="442"/>
      <c r="F50" s="442"/>
      <c r="G50" s="442"/>
      <c r="H50" s="442"/>
      <c r="I50" s="442"/>
      <c r="J50" s="440">
        <f t="shared" si="11"/>
        <v>0</v>
      </c>
      <c r="K50" s="256"/>
      <c r="L50" s="256"/>
      <c r="M50" s="238">
        <f t="shared" si="6"/>
        <v>0</v>
      </c>
      <c r="N50" s="238">
        <f t="shared" si="7"/>
        <v>0</v>
      </c>
      <c r="O50" s="238">
        <f t="shared" si="8"/>
        <v>0</v>
      </c>
      <c r="P50" s="251"/>
    </row>
    <row r="51" spans="1:22" ht="25.9" hidden="1" customHeight="1">
      <c r="A51" s="87"/>
      <c r="B51" s="281" t="s">
        <v>388</v>
      </c>
      <c r="C51" s="256"/>
      <c r="D51" s="256"/>
      <c r="E51" s="442"/>
      <c r="F51" s="442"/>
      <c r="G51" s="442"/>
      <c r="H51" s="442"/>
      <c r="I51" s="442"/>
      <c r="J51" s="440">
        <f t="shared" si="11"/>
        <v>0</v>
      </c>
      <c r="K51" s="256"/>
      <c r="L51" s="256"/>
      <c r="M51" s="238">
        <f t="shared" si="6"/>
        <v>0</v>
      </c>
      <c r="N51" s="238">
        <f t="shared" si="7"/>
        <v>0</v>
      </c>
      <c r="O51" s="238">
        <f t="shared" si="8"/>
        <v>0</v>
      </c>
      <c r="P51" s="251"/>
      <c r="V51" s="251"/>
    </row>
    <row r="52" spans="1:22" s="80" customFormat="1" ht="25.9" customHeight="1">
      <c r="A52" s="275">
        <v>11</v>
      </c>
      <c r="B52" s="276" t="s">
        <v>389</v>
      </c>
      <c r="C52" s="214">
        <v>125467</v>
      </c>
      <c r="D52" s="214">
        <v>131183</v>
      </c>
      <c r="E52" s="441">
        <v>7834</v>
      </c>
      <c r="F52" s="441">
        <v>6206</v>
      </c>
      <c r="G52" s="441"/>
      <c r="H52" s="441">
        <v>1257</v>
      </c>
      <c r="I52" s="441">
        <v>1787</v>
      </c>
      <c r="J52" s="440">
        <f t="shared" si="11"/>
        <v>148267</v>
      </c>
      <c r="K52" s="214">
        <f>142061+6206</f>
        <v>148267</v>
      </c>
      <c r="L52" s="214">
        <f>+'Chi 2025'!C53</f>
        <v>165026</v>
      </c>
      <c r="M52" s="238">
        <f t="shared" si="6"/>
        <v>1.1302302889856155</v>
      </c>
      <c r="N52" s="238">
        <f t="shared" si="7"/>
        <v>1.1817210900077311</v>
      </c>
      <c r="O52" s="238">
        <f t="shared" si="8"/>
        <v>1.2579831228131695</v>
      </c>
      <c r="P52" s="259"/>
      <c r="Q52" s="459"/>
      <c r="R52" s="459"/>
      <c r="S52" s="486"/>
      <c r="T52" s="459"/>
    </row>
    <row r="53" spans="1:22" s="80" customFormat="1" ht="25.9" customHeight="1">
      <c r="A53" s="275">
        <v>12</v>
      </c>
      <c r="B53" s="276" t="s">
        <v>25</v>
      </c>
      <c r="C53" s="214">
        <v>56731</v>
      </c>
      <c r="D53" s="214">
        <v>57210</v>
      </c>
      <c r="E53" s="441">
        <v>842</v>
      </c>
      <c r="F53" s="441">
        <v>1058</v>
      </c>
      <c r="G53" s="441"/>
      <c r="H53" s="441"/>
      <c r="I53" s="441">
        <v>6607</v>
      </c>
      <c r="J53" s="440">
        <f t="shared" si="11"/>
        <v>65717</v>
      </c>
      <c r="K53" s="214">
        <f>64659+1058</f>
        <v>65717</v>
      </c>
      <c r="L53" s="214">
        <f>+'Chi 2025'!C69</f>
        <v>74580</v>
      </c>
      <c r="M53" s="238">
        <f t="shared" si="6"/>
        <v>1.1486977801083726</v>
      </c>
      <c r="N53" s="238">
        <f t="shared" si="7"/>
        <v>1.1583966438102624</v>
      </c>
      <c r="O53" s="238">
        <f t="shared" si="8"/>
        <v>1.3036182485579444</v>
      </c>
      <c r="P53" s="279"/>
      <c r="Q53" s="459"/>
      <c r="R53" s="459"/>
      <c r="S53" s="486"/>
      <c r="T53" s="459"/>
    </row>
    <row r="54" spans="1:22" s="80" customFormat="1" ht="25.9" customHeight="1">
      <c r="A54" s="275"/>
      <c r="B54" s="278" t="s">
        <v>390</v>
      </c>
      <c r="C54" s="214"/>
      <c r="D54" s="214"/>
      <c r="E54" s="441"/>
      <c r="F54" s="441"/>
      <c r="G54" s="441"/>
      <c r="H54" s="441"/>
      <c r="I54" s="441"/>
      <c r="J54" s="440">
        <f t="shared" si="11"/>
        <v>0</v>
      </c>
      <c r="K54" s="214"/>
      <c r="L54" s="214"/>
      <c r="M54" s="238"/>
      <c r="N54" s="238"/>
      <c r="O54" s="238"/>
      <c r="P54" s="279"/>
      <c r="Q54" s="459"/>
      <c r="R54" s="459"/>
      <c r="S54" s="486"/>
      <c r="T54" s="459"/>
    </row>
    <row r="55" spans="1:22" ht="25.9" customHeight="1">
      <c r="A55" s="87"/>
      <c r="B55" s="278" t="s">
        <v>391</v>
      </c>
      <c r="C55" s="256">
        <v>45329</v>
      </c>
      <c r="D55" s="256">
        <v>47686</v>
      </c>
      <c r="E55" s="442"/>
      <c r="F55" s="442"/>
      <c r="G55" s="442"/>
      <c r="H55" s="442"/>
      <c r="I55" s="442"/>
      <c r="J55" s="440">
        <f t="shared" si="11"/>
        <v>47686</v>
      </c>
      <c r="K55" s="256">
        <f>D55+4212+1699+1933</f>
        <v>55530</v>
      </c>
      <c r="L55" s="256">
        <f>'Chi 2025'!C70</f>
        <v>62243</v>
      </c>
      <c r="M55" s="245">
        <f t="shared" si="6"/>
        <v>1.1644927232311371</v>
      </c>
      <c r="N55" s="245">
        <f t="shared" si="7"/>
        <v>1.2250435703412825</v>
      </c>
      <c r="O55" s="245">
        <f t="shared" si="8"/>
        <v>1.3052677934823638</v>
      </c>
      <c r="P55" s="251"/>
    </row>
    <row r="56" spans="1:22" ht="25.9" customHeight="1">
      <c r="A56" s="87"/>
      <c r="B56" s="278" t="s">
        <v>392</v>
      </c>
      <c r="C56" s="256">
        <v>4645</v>
      </c>
      <c r="D56" s="256">
        <v>4319</v>
      </c>
      <c r="E56" s="442"/>
      <c r="F56" s="442"/>
      <c r="G56" s="442"/>
      <c r="H56" s="442"/>
      <c r="I56" s="442"/>
      <c r="J56" s="440">
        <f t="shared" si="11"/>
        <v>4319</v>
      </c>
      <c r="K56" s="256">
        <f>D56+462</f>
        <v>4781</v>
      </c>
      <c r="L56" s="256">
        <f>'Chi 2025'!C71</f>
        <v>5058</v>
      </c>
      <c r="M56" s="245">
        <f t="shared" si="6"/>
        <v>1.1069692058346841</v>
      </c>
      <c r="N56" s="245">
        <f t="shared" si="7"/>
        <v>1.0292787944025834</v>
      </c>
      <c r="O56" s="245">
        <f t="shared" si="8"/>
        <v>1.1711044223199816</v>
      </c>
      <c r="P56" s="251"/>
    </row>
    <row r="57" spans="1:22" ht="25.9" customHeight="1">
      <c r="A57" s="87"/>
      <c r="B57" s="278" t="s">
        <v>393</v>
      </c>
      <c r="C57" s="256">
        <v>104</v>
      </c>
      <c r="D57" s="256">
        <v>127</v>
      </c>
      <c r="E57" s="442"/>
      <c r="F57" s="442"/>
      <c r="G57" s="442"/>
      <c r="H57" s="442"/>
      <c r="I57" s="442"/>
      <c r="J57" s="440">
        <f t="shared" si="11"/>
        <v>127</v>
      </c>
      <c r="K57" s="256">
        <v>127</v>
      </c>
      <c r="L57" s="256">
        <f>'Chi 2025'!C72</f>
        <v>185</v>
      </c>
      <c r="M57" s="245">
        <f t="shared" si="6"/>
        <v>1</v>
      </c>
      <c r="N57" s="245">
        <f t="shared" si="7"/>
        <v>1.2211538461538463</v>
      </c>
      <c r="O57" s="245">
        <f t="shared" si="8"/>
        <v>1.4566929133858268</v>
      </c>
      <c r="P57" s="251"/>
    </row>
    <row r="58" spans="1:22" s="80" customFormat="1" ht="25.9" customHeight="1">
      <c r="A58" s="275">
        <v>13</v>
      </c>
      <c r="B58" s="85" t="s">
        <v>394</v>
      </c>
      <c r="C58" s="214">
        <v>170</v>
      </c>
      <c r="D58" s="214">
        <v>3674</v>
      </c>
      <c r="E58" s="441"/>
      <c r="F58" s="441"/>
      <c r="G58" s="441"/>
      <c r="H58" s="441"/>
      <c r="I58" s="441"/>
      <c r="J58" s="440"/>
      <c r="K58" s="214"/>
      <c r="L58" s="214">
        <f>+'Chi 2025'!C75</f>
        <v>2070</v>
      </c>
      <c r="M58" s="238">
        <f t="shared" si="6"/>
        <v>0</v>
      </c>
      <c r="N58" s="238">
        <f t="shared" si="7"/>
        <v>0</v>
      </c>
      <c r="O58" s="238">
        <f t="shared" si="8"/>
        <v>0.56341861731083287</v>
      </c>
      <c r="P58" s="259"/>
      <c r="Q58" s="459"/>
      <c r="R58" s="459"/>
      <c r="S58" s="486"/>
      <c r="T58" s="459"/>
      <c r="U58" s="259"/>
    </row>
    <row r="59" spans="1:22" ht="25.9" hidden="1" customHeight="1">
      <c r="A59" s="87"/>
      <c r="B59" s="278" t="s">
        <v>390</v>
      </c>
      <c r="C59" s="256"/>
      <c r="D59" s="256"/>
      <c r="E59" s="442"/>
      <c r="F59" s="442"/>
      <c r="G59" s="442"/>
      <c r="H59" s="442"/>
      <c r="I59" s="442"/>
      <c r="J59" s="440">
        <f t="shared" si="11"/>
        <v>0</v>
      </c>
      <c r="K59" s="214"/>
      <c r="L59" s="256"/>
      <c r="M59" s="238">
        <f t="shared" si="6"/>
        <v>0</v>
      </c>
      <c r="N59" s="238">
        <f t="shared" si="7"/>
        <v>0</v>
      </c>
      <c r="O59" s="238">
        <f t="shared" si="8"/>
        <v>0</v>
      </c>
      <c r="P59" s="251"/>
    </row>
    <row r="60" spans="1:22" ht="25.9" hidden="1" customHeight="1">
      <c r="A60" s="87"/>
      <c r="B60" s="278" t="s">
        <v>395</v>
      </c>
      <c r="C60" s="256"/>
      <c r="D60" s="256"/>
      <c r="E60" s="442"/>
      <c r="F60" s="442"/>
      <c r="G60" s="442"/>
      <c r="H60" s="442"/>
      <c r="I60" s="442"/>
      <c r="J60" s="440">
        <f t="shared" si="11"/>
        <v>0</v>
      </c>
      <c r="K60" s="256"/>
      <c r="L60" s="256"/>
      <c r="M60" s="238">
        <f t="shared" si="6"/>
        <v>0</v>
      </c>
      <c r="N60" s="238">
        <f t="shared" si="7"/>
        <v>0</v>
      </c>
      <c r="O60" s="238">
        <f t="shared" si="8"/>
        <v>0</v>
      </c>
      <c r="P60" s="251"/>
    </row>
    <row r="61" spans="1:22" ht="25.9" hidden="1" customHeight="1">
      <c r="A61" s="87"/>
      <c r="B61" s="278" t="s">
        <v>396</v>
      </c>
      <c r="C61" s="256"/>
      <c r="D61" s="256"/>
      <c r="E61" s="442"/>
      <c r="F61" s="442"/>
      <c r="G61" s="442"/>
      <c r="H61" s="442"/>
      <c r="I61" s="442"/>
      <c r="J61" s="440">
        <f t="shared" si="11"/>
        <v>0</v>
      </c>
      <c r="K61" s="256"/>
      <c r="L61" s="256"/>
      <c r="M61" s="238">
        <f t="shared" si="6"/>
        <v>0</v>
      </c>
      <c r="N61" s="238">
        <f t="shared" si="7"/>
        <v>0</v>
      </c>
      <c r="O61" s="238">
        <f t="shared" si="8"/>
        <v>0</v>
      </c>
      <c r="P61" s="251"/>
    </row>
    <row r="62" spans="1:22" s="80" customFormat="1" ht="25.9" customHeight="1">
      <c r="A62" s="275" t="s">
        <v>20</v>
      </c>
      <c r="B62" s="276" t="s">
        <v>27</v>
      </c>
      <c r="C62" s="214"/>
      <c r="D62" s="214">
        <v>16590</v>
      </c>
      <c r="E62" s="441"/>
      <c r="F62" s="441"/>
      <c r="G62" s="441"/>
      <c r="H62" s="441"/>
      <c r="I62" s="441"/>
      <c r="J62" s="440"/>
      <c r="K62" s="214"/>
      <c r="L62" s="214">
        <f>+'Chi 2025'!C78</f>
        <v>20685</v>
      </c>
      <c r="M62" s="238">
        <f t="shared" si="6"/>
        <v>0</v>
      </c>
      <c r="N62" s="238">
        <f t="shared" si="7"/>
        <v>0</v>
      </c>
      <c r="O62" s="238">
        <f t="shared" si="8"/>
        <v>1.2468354430379747</v>
      </c>
      <c r="P62" s="259"/>
      <c r="Q62" s="459"/>
      <c r="R62" s="459"/>
      <c r="S62" s="486"/>
      <c r="T62" s="459"/>
    </row>
    <row r="63" spans="1:22" s="271" customFormat="1" ht="25.9" customHeight="1">
      <c r="A63" s="272" t="s">
        <v>9</v>
      </c>
      <c r="B63" s="273" t="s">
        <v>397</v>
      </c>
      <c r="C63" s="471">
        <f>C64+C86</f>
        <v>158990</v>
      </c>
      <c r="D63" s="471">
        <f t="shared" ref="D63:L63" si="14">D64+D86</f>
        <v>269834</v>
      </c>
      <c r="E63" s="440">
        <f t="shared" si="14"/>
        <v>112160</v>
      </c>
      <c r="F63" s="440">
        <f t="shared" ref="F63:I63" si="15">F64+F86</f>
        <v>0</v>
      </c>
      <c r="G63" s="440">
        <f t="shared" si="15"/>
        <v>0</v>
      </c>
      <c r="H63" s="440">
        <f t="shared" si="15"/>
        <v>0</v>
      </c>
      <c r="I63" s="440">
        <f t="shared" si="15"/>
        <v>77453</v>
      </c>
      <c r="J63" s="440">
        <f>SUM(D63:I63)</f>
        <v>459447</v>
      </c>
      <c r="K63" s="471">
        <f>K64+K86</f>
        <v>326503</v>
      </c>
      <c r="L63" s="471">
        <f t="shared" si="14"/>
        <v>101314</v>
      </c>
      <c r="M63" s="233">
        <f t="shared" si="6"/>
        <v>1.2100143050912784</v>
      </c>
      <c r="N63" s="233">
        <f t="shared" si="7"/>
        <v>2.0536071451034656</v>
      </c>
      <c r="O63" s="233">
        <f t="shared" si="8"/>
        <v>0.37546788025230327</v>
      </c>
      <c r="P63" s="270"/>
      <c r="Q63" s="459"/>
      <c r="R63" s="459"/>
      <c r="S63" s="486"/>
      <c r="T63" s="459"/>
    </row>
    <row r="64" spans="1:22" s="604" customFormat="1" ht="25.9" hidden="1" customHeight="1">
      <c r="A64" s="600" t="s">
        <v>398</v>
      </c>
      <c r="B64" s="601" t="s">
        <v>399</v>
      </c>
      <c r="C64" s="441">
        <f t="shared" ref="C64:L64" si="16">C65+C79</f>
        <v>0</v>
      </c>
      <c r="D64" s="441">
        <f t="shared" si="16"/>
        <v>0</v>
      </c>
      <c r="E64" s="441">
        <f t="shared" si="16"/>
        <v>0</v>
      </c>
      <c r="F64" s="441">
        <f t="shared" ref="F64:I64" si="17">F65+F79</f>
        <v>0</v>
      </c>
      <c r="G64" s="441">
        <f t="shared" si="17"/>
        <v>0</v>
      </c>
      <c r="H64" s="441">
        <f t="shared" si="17"/>
        <v>0</v>
      </c>
      <c r="I64" s="441">
        <f t="shared" si="17"/>
        <v>0</v>
      </c>
      <c r="J64" s="440">
        <f t="shared" si="11"/>
        <v>0</v>
      </c>
      <c r="K64" s="441">
        <f t="shared" si="16"/>
        <v>0</v>
      </c>
      <c r="L64" s="441">
        <f t="shared" si="16"/>
        <v>0</v>
      </c>
      <c r="M64" s="602">
        <f t="shared" si="6"/>
        <v>0</v>
      </c>
      <c r="N64" s="602">
        <f t="shared" si="7"/>
        <v>0</v>
      </c>
      <c r="O64" s="602">
        <f t="shared" si="8"/>
        <v>0</v>
      </c>
      <c r="P64" s="603"/>
      <c r="Q64" s="486"/>
      <c r="R64" s="486"/>
      <c r="S64" s="486"/>
      <c r="T64" s="486"/>
    </row>
    <row r="65" spans="1:20" s="604" customFormat="1" ht="25.9" hidden="1" customHeight="1">
      <c r="A65" s="600" t="s">
        <v>18</v>
      </c>
      <c r="B65" s="601" t="s">
        <v>400</v>
      </c>
      <c r="C65" s="441">
        <f>C66</f>
        <v>0</v>
      </c>
      <c r="D65" s="441">
        <f t="shared" ref="D65:L65" si="18">D66</f>
        <v>0</v>
      </c>
      <c r="E65" s="441">
        <f t="shared" si="18"/>
        <v>0</v>
      </c>
      <c r="F65" s="441">
        <f t="shared" si="18"/>
        <v>0</v>
      </c>
      <c r="G65" s="441">
        <f t="shared" si="18"/>
        <v>0</v>
      </c>
      <c r="H65" s="441">
        <f t="shared" si="18"/>
        <v>0</v>
      </c>
      <c r="I65" s="441">
        <f t="shared" si="18"/>
        <v>0</v>
      </c>
      <c r="J65" s="440">
        <f t="shared" si="11"/>
        <v>0</v>
      </c>
      <c r="K65" s="441">
        <f>K66</f>
        <v>0</v>
      </c>
      <c r="L65" s="441">
        <f t="shared" si="18"/>
        <v>0</v>
      </c>
      <c r="M65" s="602">
        <f t="shared" si="6"/>
        <v>0</v>
      </c>
      <c r="N65" s="602">
        <f t="shared" si="7"/>
        <v>0</v>
      </c>
      <c r="O65" s="602">
        <f t="shared" si="8"/>
        <v>0</v>
      </c>
      <c r="P65" s="603"/>
      <c r="Q65" s="486"/>
      <c r="R65" s="486"/>
      <c r="S65" s="486"/>
      <c r="T65" s="486"/>
    </row>
    <row r="66" spans="1:20" s="436" customFormat="1" ht="25.9" hidden="1" customHeight="1">
      <c r="A66" s="605">
        <v>1</v>
      </c>
      <c r="B66" s="606" t="s">
        <v>178</v>
      </c>
      <c r="C66" s="442"/>
      <c r="D66" s="442"/>
      <c r="E66" s="442"/>
      <c r="F66" s="442"/>
      <c r="G66" s="442"/>
      <c r="H66" s="442"/>
      <c r="I66" s="442"/>
      <c r="J66" s="440">
        <f t="shared" si="11"/>
        <v>0</v>
      </c>
      <c r="K66" s="442"/>
      <c r="L66" s="442"/>
      <c r="M66" s="607">
        <f t="shared" si="6"/>
        <v>0</v>
      </c>
      <c r="N66" s="607">
        <f t="shared" si="7"/>
        <v>0</v>
      </c>
      <c r="O66" s="607">
        <f t="shared" si="8"/>
        <v>0</v>
      </c>
      <c r="P66" s="608"/>
      <c r="Q66" s="486"/>
      <c r="R66" s="486"/>
      <c r="S66" s="486"/>
      <c r="T66" s="486"/>
    </row>
    <row r="67" spans="1:20" s="436" customFormat="1" ht="25.9" hidden="1" customHeight="1">
      <c r="A67" s="605">
        <v>2</v>
      </c>
      <c r="B67" s="606" t="s">
        <v>179</v>
      </c>
      <c r="C67" s="442"/>
      <c r="D67" s="442"/>
      <c r="E67" s="442"/>
      <c r="F67" s="442"/>
      <c r="G67" s="442"/>
      <c r="H67" s="442"/>
      <c r="I67" s="442"/>
      <c r="J67" s="440">
        <f t="shared" si="11"/>
        <v>0</v>
      </c>
      <c r="K67" s="442"/>
      <c r="L67" s="442"/>
      <c r="M67" s="607">
        <f t="shared" si="6"/>
        <v>0</v>
      </c>
      <c r="N67" s="607">
        <f t="shared" si="7"/>
        <v>0</v>
      </c>
      <c r="O67" s="607">
        <f t="shared" si="8"/>
        <v>0</v>
      </c>
      <c r="P67" s="608"/>
      <c r="Q67" s="486"/>
      <c r="R67" s="486"/>
      <c r="S67" s="486"/>
      <c r="T67" s="486"/>
    </row>
    <row r="68" spans="1:20" s="612" customFormat="1" ht="25.9" hidden="1" customHeight="1">
      <c r="A68" s="609"/>
      <c r="B68" s="610" t="s">
        <v>401</v>
      </c>
      <c r="C68" s="440"/>
      <c r="D68" s="445"/>
      <c r="E68" s="445"/>
      <c r="F68" s="445"/>
      <c r="G68" s="445"/>
      <c r="H68" s="445"/>
      <c r="I68" s="445"/>
      <c r="J68" s="440">
        <f t="shared" si="11"/>
        <v>0</v>
      </c>
      <c r="K68" s="445"/>
      <c r="L68" s="440"/>
      <c r="M68" s="602">
        <f t="shared" si="6"/>
        <v>0</v>
      </c>
      <c r="N68" s="602">
        <f t="shared" si="7"/>
        <v>0</v>
      </c>
      <c r="O68" s="602">
        <f t="shared" si="8"/>
        <v>0</v>
      </c>
      <c r="P68" s="611"/>
      <c r="Q68" s="486"/>
      <c r="R68" s="486"/>
      <c r="S68" s="486"/>
      <c r="T68" s="486"/>
    </row>
    <row r="69" spans="1:20" s="612" customFormat="1" ht="25.9" hidden="1" customHeight="1">
      <c r="A69" s="609"/>
      <c r="B69" s="613" t="s">
        <v>402</v>
      </c>
      <c r="C69" s="440"/>
      <c r="D69" s="445"/>
      <c r="E69" s="445"/>
      <c r="F69" s="445"/>
      <c r="G69" s="445"/>
      <c r="H69" s="445"/>
      <c r="I69" s="445"/>
      <c r="J69" s="440">
        <f t="shared" si="11"/>
        <v>0</v>
      </c>
      <c r="K69" s="445"/>
      <c r="L69" s="440"/>
      <c r="M69" s="602">
        <f t="shared" si="6"/>
        <v>0</v>
      </c>
      <c r="N69" s="602">
        <f t="shared" si="7"/>
        <v>0</v>
      </c>
      <c r="O69" s="602">
        <f t="shared" si="8"/>
        <v>0</v>
      </c>
      <c r="P69" s="611"/>
      <c r="Q69" s="486"/>
      <c r="R69" s="486"/>
      <c r="S69" s="486"/>
      <c r="T69" s="486"/>
    </row>
    <row r="70" spans="1:20" s="612" customFormat="1" ht="37.15" hidden="1" customHeight="1">
      <c r="A70" s="609"/>
      <c r="B70" s="613" t="s">
        <v>403</v>
      </c>
      <c r="C70" s="440"/>
      <c r="D70" s="445"/>
      <c r="E70" s="445"/>
      <c r="F70" s="445"/>
      <c r="G70" s="445"/>
      <c r="H70" s="445"/>
      <c r="I70" s="445"/>
      <c r="J70" s="440">
        <f t="shared" si="11"/>
        <v>0</v>
      </c>
      <c r="K70" s="445"/>
      <c r="L70" s="440"/>
      <c r="M70" s="602">
        <f t="shared" si="6"/>
        <v>0</v>
      </c>
      <c r="N70" s="602">
        <f t="shared" si="7"/>
        <v>0</v>
      </c>
      <c r="O70" s="602">
        <f t="shared" si="8"/>
        <v>0</v>
      </c>
      <c r="P70" s="611"/>
      <c r="Q70" s="486"/>
      <c r="R70" s="486"/>
      <c r="S70" s="486"/>
      <c r="T70" s="486"/>
    </row>
    <row r="71" spans="1:20" s="612" customFormat="1" ht="25.9" hidden="1" customHeight="1">
      <c r="A71" s="609"/>
      <c r="B71" s="613" t="s">
        <v>404</v>
      </c>
      <c r="C71" s="440"/>
      <c r="D71" s="445"/>
      <c r="E71" s="445"/>
      <c r="F71" s="445"/>
      <c r="G71" s="445"/>
      <c r="H71" s="445"/>
      <c r="I71" s="445"/>
      <c r="J71" s="440">
        <f t="shared" si="11"/>
        <v>0</v>
      </c>
      <c r="K71" s="445"/>
      <c r="L71" s="440"/>
      <c r="M71" s="602">
        <f t="shared" si="6"/>
        <v>0</v>
      </c>
      <c r="N71" s="602">
        <f t="shared" si="7"/>
        <v>0</v>
      </c>
      <c r="O71" s="602">
        <f t="shared" si="8"/>
        <v>0</v>
      </c>
      <c r="P71" s="611"/>
      <c r="Q71" s="486"/>
      <c r="R71" s="486"/>
      <c r="S71" s="486"/>
      <c r="T71" s="486"/>
    </row>
    <row r="72" spans="1:20" s="612" customFormat="1" ht="31.5" hidden="1">
      <c r="A72" s="609"/>
      <c r="B72" s="613" t="s">
        <v>405</v>
      </c>
      <c r="C72" s="440"/>
      <c r="D72" s="445"/>
      <c r="E72" s="445"/>
      <c r="F72" s="445"/>
      <c r="G72" s="445"/>
      <c r="H72" s="445"/>
      <c r="I72" s="445"/>
      <c r="J72" s="440">
        <f t="shared" si="11"/>
        <v>0</v>
      </c>
      <c r="K72" s="445"/>
      <c r="L72" s="440"/>
      <c r="M72" s="602">
        <f t="shared" si="6"/>
        <v>0</v>
      </c>
      <c r="N72" s="602">
        <f t="shared" si="7"/>
        <v>0</v>
      </c>
      <c r="O72" s="602">
        <f t="shared" si="8"/>
        <v>0</v>
      </c>
      <c r="P72" s="611"/>
      <c r="Q72" s="486"/>
      <c r="R72" s="486"/>
      <c r="S72" s="486"/>
      <c r="T72" s="486"/>
    </row>
    <row r="73" spans="1:20" s="612" customFormat="1" ht="25.9" hidden="1" customHeight="1">
      <c r="A73" s="609"/>
      <c r="B73" s="610" t="s">
        <v>406</v>
      </c>
      <c r="C73" s="440"/>
      <c r="D73" s="445"/>
      <c r="E73" s="445"/>
      <c r="F73" s="445"/>
      <c r="G73" s="445"/>
      <c r="H73" s="445"/>
      <c r="I73" s="445"/>
      <c r="J73" s="440">
        <f t="shared" si="11"/>
        <v>0</v>
      </c>
      <c r="K73" s="445"/>
      <c r="L73" s="440"/>
      <c r="M73" s="602">
        <f t="shared" si="6"/>
        <v>0</v>
      </c>
      <c r="N73" s="602">
        <f t="shared" si="7"/>
        <v>0</v>
      </c>
      <c r="O73" s="602">
        <f t="shared" si="8"/>
        <v>0</v>
      </c>
      <c r="P73" s="611"/>
      <c r="Q73" s="486"/>
      <c r="R73" s="486"/>
      <c r="S73" s="486"/>
      <c r="T73" s="486"/>
    </row>
    <row r="74" spans="1:20" s="612" customFormat="1" ht="39" hidden="1" customHeight="1">
      <c r="A74" s="609"/>
      <c r="B74" s="613" t="s">
        <v>407</v>
      </c>
      <c r="C74" s="440"/>
      <c r="D74" s="445"/>
      <c r="E74" s="445"/>
      <c r="F74" s="445"/>
      <c r="G74" s="445"/>
      <c r="H74" s="445"/>
      <c r="I74" s="445"/>
      <c r="J74" s="440">
        <f t="shared" ref="J74:J137" si="19">SUM(D74:I74)</f>
        <v>0</v>
      </c>
      <c r="K74" s="445"/>
      <c r="L74" s="440"/>
      <c r="M74" s="602">
        <f t="shared" ref="M74:M137" si="20">IFERROR(K74/D74,0)</f>
        <v>0</v>
      </c>
      <c r="N74" s="602">
        <f t="shared" ref="N74:N137" si="21">IFERROR(K74/C74,0)</f>
        <v>0</v>
      </c>
      <c r="O74" s="602">
        <f t="shared" ref="O74:O137" si="22">IFERROR(L74/D74,0)</f>
        <v>0</v>
      </c>
      <c r="P74" s="611"/>
      <c r="Q74" s="486"/>
      <c r="R74" s="486"/>
      <c r="S74" s="486"/>
      <c r="T74" s="486"/>
    </row>
    <row r="75" spans="1:20" s="612" customFormat="1" ht="39" hidden="1" customHeight="1">
      <c r="A75" s="609"/>
      <c r="B75" s="613" t="s">
        <v>408</v>
      </c>
      <c r="C75" s="440"/>
      <c r="D75" s="445"/>
      <c r="E75" s="445"/>
      <c r="F75" s="445"/>
      <c r="G75" s="445"/>
      <c r="H75" s="445"/>
      <c r="I75" s="445"/>
      <c r="J75" s="440">
        <f t="shared" si="19"/>
        <v>0</v>
      </c>
      <c r="K75" s="445"/>
      <c r="L75" s="440"/>
      <c r="M75" s="602">
        <f t="shared" si="20"/>
        <v>0</v>
      </c>
      <c r="N75" s="602">
        <f t="shared" si="21"/>
        <v>0</v>
      </c>
      <c r="O75" s="602">
        <f t="shared" si="22"/>
        <v>0</v>
      </c>
      <c r="P75" s="611"/>
      <c r="Q75" s="486"/>
      <c r="R75" s="486"/>
      <c r="S75" s="486"/>
      <c r="T75" s="486"/>
    </row>
    <row r="76" spans="1:20" s="612" customFormat="1" ht="39" hidden="1" customHeight="1">
      <c r="A76" s="609"/>
      <c r="B76" s="613" t="s">
        <v>409</v>
      </c>
      <c r="C76" s="440"/>
      <c r="D76" s="445"/>
      <c r="E76" s="445"/>
      <c r="F76" s="445"/>
      <c r="G76" s="445"/>
      <c r="H76" s="445"/>
      <c r="I76" s="445"/>
      <c r="J76" s="440">
        <f t="shared" si="19"/>
        <v>0</v>
      </c>
      <c r="K76" s="445"/>
      <c r="L76" s="440"/>
      <c r="M76" s="602">
        <f t="shared" si="20"/>
        <v>0</v>
      </c>
      <c r="N76" s="602">
        <f t="shared" si="21"/>
        <v>0</v>
      </c>
      <c r="O76" s="602">
        <f t="shared" si="22"/>
        <v>0</v>
      </c>
      <c r="P76" s="611"/>
      <c r="Q76" s="486"/>
      <c r="R76" s="486"/>
      <c r="S76" s="486"/>
      <c r="T76" s="486"/>
    </row>
    <row r="77" spans="1:20" s="612" customFormat="1" ht="37.15" hidden="1" customHeight="1">
      <c r="A77" s="609"/>
      <c r="B77" s="610" t="s">
        <v>410</v>
      </c>
      <c r="C77" s="440"/>
      <c r="D77" s="445"/>
      <c r="E77" s="445"/>
      <c r="F77" s="445"/>
      <c r="G77" s="445"/>
      <c r="H77" s="445"/>
      <c r="I77" s="445"/>
      <c r="J77" s="440">
        <f t="shared" si="19"/>
        <v>0</v>
      </c>
      <c r="K77" s="445"/>
      <c r="L77" s="440"/>
      <c r="M77" s="602">
        <f t="shared" si="20"/>
        <v>0</v>
      </c>
      <c r="N77" s="602">
        <f t="shared" si="21"/>
        <v>0</v>
      </c>
      <c r="O77" s="602">
        <f t="shared" si="22"/>
        <v>0</v>
      </c>
      <c r="P77" s="611"/>
      <c r="Q77" s="486"/>
      <c r="R77" s="486"/>
      <c r="S77" s="486"/>
      <c r="T77" s="486"/>
    </row>
    <row r="78" spans="1:20" s="612" customFormat="1" ht="25.9" hidden="1" customHeight="1">
      <c r="A78" s="609"/>
      <c r="B78" s="613" t="s">
        <v>411</v>
      </c>
      <c r="C78" s="440"/>
      <c r="D78" s="445"/>
      <c r="E78" s="445"/>
      <c r="F78" s="445"/>
      <c r="G78" s="445"/>
      <c r="H78" s="445"/>
      <c r="I78" s="445"/>
      <c r="J78" s="440">
        <f t="shared" si="19"/>
        <v>0</v>
      </c>
      <c r="K78" s="445"/>
      <c r="L78" s="440"/>
      <c r="M78" s="602">
        <f t="shared" si="20"/>
        <v>0</v>
      </c>
      <c r="N78" s="602">
        <f t="shared" si="21"/>
        <v>0</v>
      </c>
      <c r="O78" s="602">
        <f t="shared" si="22"/>
        <v>0</v>
      </c>
      <c r="P78" s="611"/>
      <c r="Q78" s="486"/>
      <c r="R78" s="486"/>
      <c r="S78" s="486"/>
      <c r="T78" s="486"/>
    </row>
    <row r="79" spans="1:20" s="604" customFormat="1" ht="25.9" hidden="1" customHeight="1">
      <c r="A79" s="600" t="s">
        <v>19</v>
      </c>
      <c r="B79" s="601" t="s">
        <v>412</v>
      </c>
      <c r="C79" s="441">
        <f>C80</f>
        <v>0</v>
      </c>
      <c r="D79" s="441">
        <f t="shared" ref="D79:L79" si="23">D80</f>
        <v>0</v>
      </c>
      <c r="E79" s="441">
        <f t="shared" si="23"/>
        <v>0</v>
      </c>
      <c r="F79" s="441">
        <f t="shared" si="23"/>
        <v>0</v>
      </c>
      <c r="G79" s="441">
        <f t="shared" si="23"/>
        <v>0</v>
      </c>
      <c r="H79" s="441">
        <f t="shared" si="23"/>
        <v>0</v>
      </c>
      <c r="I79" s="441">
        <f t="shared" si="23"/>
        <v>0</v>
      </c>
      <c r="J79" s="440">
        <f t="shared" si="19"/>
        <v>0</v>
      </c>
      <c r="K79" s="441">
        <f>K80</f>
        <v>0</v>
      </c>
      <c r="L79" s="441">
        <f t="shared" si="23"/>
        <v>0</v>
      </c>
      <c r="M79" s="602">
        <f t="shared" si="20"/>
        <v>0</v>
      </c>
      <c r="N79" s="602">
        <f t="shared" si="21"/>
        <v>0</v>
      </c>
      <c r="O79" s="602">
        <f t="shared" si="22"/>
        <v>0</v>
      </c>
      <c r="P79" s="603"/>
      <c r="Q79" s="486"/>
      <c r="R79" s="486"/>
      <c r="S79" s="486"/>
      <c r="T79" s="486"/>
    </row>
    <row r="80" spans="1:20" s="436" customFormat="1" ht="27" hidden="1" customHeight="1">
      <c r="A80" s="605">
        <v>1</v>
      </c>
      <c r="B80" s="606" t="s">
        <v>413</v>
      </c>
      <c r="C80" s="442"/>
      <c r="D80" s="442"/>
      <c r="E80" s="442"/>
      <c r="F80" s="442"/>
      <c r="G80" s="442"/>
      <c r="H80" s="442"/>
      <c r="I80" s="442"/>
      <c r="J80" s="440">
        <f t="shared" si="19"/>
        <v>0</v>
      </c>
      <c r="K80" s="442">
        <v>0</v>
      </c>
      <c r="L80" s="442"/>
      <c r="M80" s="607">
        <f t="shared" si="20"/>
        <v>0</v>
      </c>
      <c r="N80" s="607">
        <f t="shared" si="21"/>
        <v>0</v>
      </c>
      <c r="O80" s="607">
        <f t="shared" si="22"/>
        <v>0</v>
      </c>
      <c r="P80" s="608"/>
      <c r="Q80" s="486"/>
      <c r="R80" s="486"/>
      <c r="S80" s="486"/>
      <c r="T80" s="486"/>
    </row>
    <row r="81" spans="1:22" s="612" customFormat="1" ht="27" hidden="1" customHeight="1">
      <c r="A81" s="600"/>
      <c r="B81" s="613" t="s">
        <v>414</v>
      </c>
      <c r="C81" s="440"/>
      <c r="D81" s="445"/>
      <c r="E81" s="445"/>
      <c r="F81" s="445"/>
      <c r="G81" s="445"/>
      <c r="H81" s="445"/>
      <c r="I81" s="445"/>
      <c r="J81" s="440">
        <f t="shared" si="19"/>
        <v>0</v>
      </c>
      <c r="K81" s="445"/>
      <c r="L81" s="440"/>
      <c r="M81" s="602">
        <f t="shared" si="20"/>
        <v>0</v>
      </c>
      <c r="N81" s="602">
        <f t="shared" si="21"/>
        <v>0</v>
      </c>
      <c r="O81" s="602">
        <f t="shared" si="22"/>
        <v>0</v>
      </c>
      <c r="P81" s="611"/>
      <c r="Q81" s="486"/>
      <c r="R81" s="486"/>
      <c r="S81" s="486"/>
      <c r="T81" s="486"/>
    </row>
    <row r="82" spans="1:22" s="612" customFormat="1" ht="25.9" hidden="1" customHeight="1">
      <c r="A82" s="600"/>
      <c r="B82" s="613" t="s">
        <v>415</v>
      </c>
      <c r="C82" s="440"/>
      <c r="D82" s="445"/>
      <c r="E82" s="445"/>
      <c r="F82" s="445"/>
      <c r="G82" s="445"/>
      <c r="H82" s="445"/>
      <c r="I82" s="445"/>
      <c r="J82" s="440">
        <f t="shared" si="19"/>
        <v>0</v>
      </c>
      <c r="K82" s="445"/>
      <c r="L82" s="440"/>
      <c r="M82" s="602">
        <f t="shared" si="20"/>
        <v>0</v>
      </c>
      <c r="N82" s="602">
        <f t="shared" si="21"/>
        <v>0</v>
      </c>
      <c r="O82" s="602">
        <f t="shared" si="22"/>
        <v>0</v>
      </c>
      <c r="P82" s="611"/>
      <c r="Q82" s="486"/>
      <c r="R82" s="486"/>
      <c r="S82" s="486"/>
      <c r="T82" s="486"/>
    </row>
    <row r="83" spans="1:22" s="436" customFormat="1" ht="25.9" hidden="1" customHeight="1">
      <c r="A83" s="605">
        <v>2</v>
      </c>
      <c r="B83" s="606" t="s">
        <v>179</v>
      </c>
      <c r="C83" s="442"/>
      <c r="D83" s="442"/>
      <c r="E83" s="442"/>
      <c r="F83" s="442"/>
      <c r="G83" s="442"/>
      <c r="H83" s="442"/>
      <c r="I83" s="442"/>
      <c r="J83" s="440">
        <f t="shared" si="19"/>
        <v>0</v>
      </c>
      <c r="K83" s="442"/>
      <c r="L83" s="442"/>
      <c r="M83" s="602">
        <f t="shared" si="20"/>
        <v>0</v>
      </c>
      <c r="N83" s="602">
        <f t="shared" si="21"/>
        <v>0</v>
      </c>
      <c r="O83" s="602">
        <f t="shared" si="22"/>
        <v>0</v>
      </c>
      <c r="P83" s="608"/>
      <c r="Q83" s="486"/>
      <c r="R83" s="486"/>
      <c r="S83" s="486"/>
      <c r="T83" s="486"/>
    </row>
    <row r="84" spans="1:22" s="612" customFormat="1" ht="25.9" hidden="1" customHeight="1">
      <c r="A84" s="609"/>
      <c r="B84" s="613" t="s">
        <v>416</v>
      </c>
      <c r="C84" s="440"/>
      <c r="D84" s="445"/>
      <c r="E84" s="445"/>
      <c r="F84" s="445"/>
      <c r="G84" s="445"/>
      <c r="H84" s="445"/>
      <c r="I84" s="445"/>
      <c r="J84" s="440">
        <f t="shared" si="19"/>
        <v>0</v>
      </c>
      <c r="K84" s="445"/>
      <c r="L84" s="440"/>
      <c r="M84" s="602">
        <f t="shared" si="20"/>
        <v>0</v>
      </c>
      <c r="N84" s="602">
        <f t="shared" si="21"/>
        <v>0</v>
      </c>
      <c r="O84" s="602">
        <f t="shared" si="22"/>
        <v>0</v>
      </c>
      <c r="P84" s="611"/>
      <c r="Q84" s="486"/>
      <c r="R84" s="486"/>
      <c r="S84" s="486"/>
      <c r="T84" s="486"/>
    </row>
    <row r="85" spans="1:22" s="612" customFormat="1" ht="25.9" hidden="1" customHeight="1">
      <c r="A85" s="609"/>
      <c r="B85" s="614" t="s">
        <v>417</v>
      </c>
      <c r="C85" s="440"/>
      <c r="D85" s="445"/>
      <c r="E85" s="445"/>
      <c r="F85" s="445"/>
      <c r="G85" s="445"/>
      <c r="H85" s="445"/>
      <c r="I85" s="445"/>
      <c r="J85" s="440">
        <f t="shared" si="19"/>
        <v>0</v>
      </c>
      <c r="K85" s="445"/>
      <c r="L85" s="440"/>
      <c r="M85" s="602">
        <f t="shared" si="20"/>
        <v>0</v>
      </c>
      <c r="N85" s="602">
        <f t="shared" si="21"/>
        <v>0</v>
      </c>
      <c r="O85" s="602">
        <f t="shared" si="22"/>
        <v>0</v>
      </c>
      <c r="P85" s="611"/>
      <c r="Q85" s="486"/>
      <c r="R85" s="486"/>
      <c r="S85" s="486"/>
      <c r="T85" s="486"/>
    </row>
    <row r="86" spans="1:22" s="604" customFormat="1" ht="25.9" hidden="1" customHeight="1">
      <c r="A86" s="600" t="s">
        <v>418</v>
      </c>
      <c r="B86" s="601" t="s">
        <v>419</v>
      </c>
      <c r="C86" s="441">
        <f t="shared" ref="C86:K86" si="24">C89+C111+C134</f>
        <v>158990</v>
      </c>
      <c r="D86" s="441">
        <f t="shared" si="24"/>
        <v>269834</v>
      </c>
      <c r="E86" s="441">
        <f>E89+E111+E134</f>
        <v>112160</v>
      </c>
      <c r="F86" s="441">
        <f t="shared" ref="F86:I86" si="25">F89+F111+F134</f>
        <v>0</v>
      </c>
      <c r="G86" s="441">
        <f t="shared" si="25"/>
        <v>0</v>
      </c>
      <c r="H86" s="441">
        <f t="shared" si="25"/>
        <v>0</v>
      </c>
      <c r="I86" s="441">
        <f t="shared" si="25"/>
        <v>77453</v>
      </c>
      <c r="J86" s="440">
        <f t="shared" si="19"/>
        <v>459447</v>
      </c>
      <c r="K86" s="441">
        <f t="shared" si="24"/>
        <v>326503</v>
      </c>
      <c r="L86" s="441">
        <f>L89+L111+L134</f>
        <v>101314</v>
      </c>
      <c r="M86" s="602">
        <f t="shared" si="20"/>
        <v>1.2100143050912784</v>
      </c>
      <c r="N86" s="602">
        <f t="shared" si="21"/>
        <v>2.0536071451034656</v>
      </c>
      <c r="O86" s="602">
        <f t="shared" si="22"/>
        <v>0.37546788025230327</v>
      </c>
      <c r="P86" s="603"/>
      <c r="Q86" s="486"/>
      <c r="R86" s="486"/>
      <c r="S86" s="599">
        <f>K86/J86</f>
        <v>0.71064344744878083</v>
      </c>
      <c r="T86" s="486"/>
    </row>
    <row r="87" spans="1:22" s="80" customFormat="1" ht="25.9" customHeight="1">
      <c r="A87" s="283" t="s">
        <v>451</v>
      </c>
      <c r="B87" s="284" t="s">
        <v>178</v>
      </c>
      <c r="C87" s="214">
        <f>C90+C112+C135</f>
        <v>82420</v>
      </c>
      <c r="D87" s="473">
        <f t="shared" ref="D87:K87" si="26">D90+D112+D135</f>
        <v>122098</v>
      </c>
      <c r="E87" s="441">
        <f>E90+E112+E135</f>
        <v>24839</v>
      </c>
      <c r="F87" s="441">
        <f t="shared" ref="F87:I87" si="27">F90+F112+F135</f>
        <v>0</v>
      </c>
      <c r="G87" s="441">
        <f t="shared" si="27"/>
        <v>0</v>
      </c>
      <c r="H87" s="441">
        <f t="shared" si="27"/>
        <v>0</v>
      </c>
      <c r="I87" s="441">
        <f t="shared" si="27"/>
        <v>3035</v>
      </c>
      <c r="J87" s="440">
        <f t="shared" si="19"/>
        <v>149972</v>
      </c>
      <c r="K87" s="214">
        <f t="shared" si="26"/>
        <v>132659</v>
      </c>
      <c r="L87" s="214">
        <f t="shared" ref="L87" si="28">L90+L112+L135</f>
        <v>98744</v>
      </c>
      <c r="M87" s="238">
        <f t="shared" si="20"/>
        <v>1.0864960933021015</v>
      </c>
      <c r="N87" s="238">
        <f t="shared" si="21"/>
        <v>1.6095486532395049</v>
      </c>
      <c r="O87" s="238">
        <f t="shared" si="22"/>
        <v>0.80872741568248452</v>
      </c>
      <c r="P87" s="259"/>
      <c r="Q87" s="459"/>
      <c r="R87" s="459"/>
      <c r="S87" s="599">
        <f>K87/J87</f>
        <v>0.88455845091083674</v>
      </c>
      <c r="T87" s="459"/>
    </row>
    <row r="88" spans="1:22" s="80" customFormat="1" ht="25.9" customHeight="1">
      <c r="A88" s="283" t="s">
        <v>451</v>
      </c>
      <c r="B88" s="284" t="s">
        <v>179</v>
      </c>
      <c r="C88" s="214">
        <f>C91+C113+C136</f>
        <v>76570</v>
      </c>
      <c r="D88" s="473">
        <f>D91+D113+D136</f>
        <v>147736</v>
      </c>
      <c r="E88" s="441">
        <f>E91+E113+E136</f>
        <v>87321</v>
      </c>
      <c r="F88" s="441">
        <f t="shared" ref="F88:I88" si="29">F91+F113+F136</f>
        <v>0</v>
      </c>
      <c r="G88" s="441">
        <f t="shared" si="29"/>
        <v>0</v>
      </c>
      <c r="H88" s="441">
        <f t="shared" si="29"/>
        <v>0</v>
      </c>
      <c r="I88" s="441">
        <f t="shared" si="29"/>
        <v>74418</v>
      </c>
      <c r="J88" s="440">
        <f t="shared" si="19"/>
        <v>309475</v>
      </c>
      <c r="K88" s="214">
        <f t="shared" ref="K88" si="30">K91+K113+K136</f>
        <v>193844</v>
      </c>
      <c r="L88" s="214">
        <f t="shared" ref="L88" si="31">L91+L113+L136</f>
        <v>2570</v>
      </c>
      <c r="M88" s="238">
        <f t="shared" si="20"/>
        <v>1.3120972545621921</v>
      </c>
      <c r="N88" s="238">
        <f t="shared" si="21"/>
        <v>2.5315920073135691</v>
      </c>
      <c r="O88" s="238">
        <f t="shared" si="22"/>
        <v>1.7395895380949801E-2</v>
      </c>
      <c r="P88" s="259"/>
      <c r="Q88" s="459"/>
      <c r="R88" s="459"/>
      <c r="S88" s="599">
        <f>K88/J88</f>
        <v>0.62636400355440669</v>
      </c>
      <c r="T88" s="459"/>
    </row>
    <row r="89" spans="1:22" s="80" customFormat="1" ht="38.450000000000003" customHeight="1">
      <c r="A89" s="283" t="s">
        <v>18</v>
      </c>
      <c r="B89" s="284" t="s">
        <v>280</v>
      </c>
      <c r="C89" s="214">
        <f>C90+C91</f>
        <v>123488</v>
      </c>
      <c r="D89" s="474">
        <f t="shared" ref="D89:E89" si="32">D90+D91</f>
        <v>205282</v>
      </c>
      <c r="E89" s="446">
        <f t="shared" si="32"/>
        <v>79390</v>
      </c>
      <c r="F89" s="446">
        <f t="shared" ref="F89:I89" si="33">F90+F91</f>
        <v>0</v>
      </c>
      <c r="G89" s="446">
        <f t="shared" si="33"/>
        <v>0</v>
      </c>
      <c r="H89" s="446">
        <f t="shared" si="33"/>
        <v>0</v>
      </c>
      <c r="I89" s="446">
        <f t="shared" si="33"/>
        <v>63453</v>
      </c>
      <c r="J89" s="440">
        <f t="shared" si="19"/>
        <v>348125</v>
      </c>
      <c r="K89" s="474">
        <f>K90+K91</f>
        <v>241396</v>
      </c>
      <c r="L89" s="214">
        <f>L90+L91</f>
        <v>76540</v>
      </c>
      <c r="M89" s="238">
        <f t="shared" si="20"/>
        <v>1.1759238510926433</v>
      </c>
      <c r="N89" s="238">
        <f t="shared" si="21"/>
        <v>1.9548134231666234</v>
      </c>
      <c r="O89" s="238">
        <f t="shared" si="22"/>
        <v>0.37285295349811481</v>
      </c>
      <c r="P89" s="259"/>
      <c r="Q89" s="459"/>
      <c r="R89" s="459"/>
      <c r="S89" s="486"/>
      <c r="T89" s="459"/>
      <c r="V89" s="285"/>
    </row>
    <row r="90" spans="1:22" s="80" customFormat="1" ht="25.9" customHeight="1">
      <c r="A90" s="283">
        <v>1</v>
      </c>
      <c r="B90" s="284" t="s">
        <v>178</v>
      </c>
      <c r="C90" s="214">
        <v>74453</v>
      </c>
      <c r="D90" s="474">
        <v>105302</v>
      </c>
      <c r="E90" s="441">
        <v>22632</v>
      </c>
      <c r="F90" s="441"/>
      <c r="G90" s="441"/>
      <c r="H90" s="441"/>
      <c r="I90" s="441">
        <v>3035</v>
      </c>
      <c r="J90" s="440">
        <f t="shared" si="19"/>
        <v>130969</v>
      </c>
      <c r="K90" s="214">
        <v>115863</v>
      </c>
      <c r="L90" s="214">
        <f>'Chi 2025'!C84</f>
        <v>76540</v>
      </c>
      <c r="M90" s="238">
        <f t="shared" si="20"/>
        <v>1.100292492070426</v>
      </c>
      <c r="N90" s="238">
        <f t="shared" si="21"/>
        <v>1.5561898110217185</v>
      </c>
      <c r="O90" s="238">
        <f t="shared" si="22"/>
        <v>0.72686178800022794</v>
      </c>
      <c r="P90" s="259"/>
      <c r="Q90" s="459"/>
      <c r="R90" s="459"/>
      <c r="S90" s="486"/>
      <c r="T90" s="459"/>
    </row>
    <row r="91" spans="1:22" s="80" customFormat="1" ht="25.9" customHeight="1">
      <c r="A91" s="283">
        <v>2</v>
      </c>
      <c r="B91" s="284" t="s">
        <v>179</v>
      </c>
      <c r="C91" s="214">
        <f>C92+C95+C97+C99+C102+C103+C104+C107</f>
        <v>49035</v>
      </c>
      <c r="D91" s="474">
        <f>D92+D95+D97+D99+D102+D103+D104+D107</f>
        <v>99980</v>
      </c>
      <c r="E91" s="446">
        <v>56758</v>
      </c>
      <c r="F91" s="446">
        <f t="shared" ref="F91:H91" si="34">F92+F95+F97+F99+F102+F103+F104+F107</f>
        <v>0</v>
      </c>
      <c r="G91" s="446">
        <f t="shared" si="34"/>
        <v>0</v>
      </c>
      <c r="H91" s="446">
        <f t="shared" si="34"/>
        <v>0</v>
      </c>
      <c r="I91" s="446">
        <v>60418</v>
      </c>
      <c r="J91" s="440">
        <f>SUM(D91:I91)</f>
        <v>217156</v>
      </c>
      <c r="K91" s="474">
        <f>K92+K95+K97+K99+K102+K103+K104+K107</f>
        <v>125533</v>
      </c>
      <c r="L91" s="214">
        <f>L92+L95+L97+L99+L102+L103+L104+L107</f>
        <v>0</v>
      </c>
      <c r="M91" s="238">
        <f t="shared" si="20"/>
        <v>1.2555811162232446</v>
      </c>
      <c r="N91" s="238">
        <f t="shared" si="21"/>
        <v>2.5600693382277964</v>
      </c>
      <c r="O91" s="238">
        <f t="shared" si="22"/>
        <v>0</v>
      </c>
      <c r="P91" s="259"/>
      <c r="Q91" s="459"/>
      <c r="R91" s="459"/>
      <c r="S91" s="486">
        <v>-1820</v>
      </c>
      <c r="T91" s="459">
        <f>1988+5457</f>
        <v>7445</v>
      </c>
    </row>
    <row r="92" spans="1:22" s="80" customFormat="1" ht="39" customHeight="1">
      <c r="A92" s="283"/>
      <c r="B92" s="284" t="s">
        <v>420</v>
      </c>
      <c r="C92" s="214">
        <f t="shared" ref="C92:L92" si="35">C93+C94</f>
        <v>4192</v>
      </c>
      <c r="D92" s="474">
        <f t="shared" si="35"/>
        <v>8878</v>
      </c>
      <c r="E92" s="446">
        <f t="shared" si="35"/>
        <v>0</v>
      </c>
      <c r="F92" s="446">
        <f t="shared" ref="F92:I92" si="36">F93+F94</f>
        <v>0</v>
      </c>
      <c r="G92" s="446">
        <f t="shared" si="36"/>
        <v>0</v>
      </c>
      <c r="H92" s="446">
        <f t="shared" si="36"/>
        <v>0</v>
      </c>
      <c r="I92" s="446">
        <f t="shared" si="36"/>
        <v>0</v>
      </c>
      <c r="J92" s="440">
        <f t="shared" si="19"/>
        <v>8878</v>
      </c>
      <c r="K92" s="474">
        <f t="shared" si="35"/>
        <v>9005</v>
      </c>
      <c r="L92" s="214">
        <f t="shared" si="35"/>
        <v>0</v>
      </c>
      <c r="M92" s="238">
        <f t="shared" si="20"/>
        <v>1.0143050236539761</v>
      </c>
      <c r="N92" s="238">
        <f t="shared" si="21"/>
        <v>2.1481393129770994</v>
      </c>
      <c r="O92" s="238">
        <f t="shared" si="22"/>
        <v>0</v>
      </c>
      <c r="P92" s="259"/>
      <c r="Q92" s="459"/>
      <c r="R92" s="459"/>
      <c r="S92" s="486"/>
      <c r="T92" s="459"/>
    </row>
    <row r="93" spans="1:22" s="80" customFormat="1" ht="25.9" customHeight="1">
      <c r="A93" s="286"/>
      <c r="B93" s="287" t="s">
        <v>421</v>
      </c>
      <c r="C93" s="214"/>
      <c r="D93" s="475"/>
      <c r="E93" s="442"/>
      <c r="F93" s="442"/>
      <c r="G93" s="442"/>
      <c r="H93" s="442"/>
      <c r="I93" s="442"/>
      <c r="J93" s="440">
        <f t="shared" si="19"/>
        <v>0</v>
      </c>
      <c r="K93" s="256"/>
      <c r="L93" s="214"/>
      <c r="M93" s="245">
        <f t="shared" si="20"/>
        <v>0</v>
      </c>
      <c r="N93" s="245">
        <f t="shared" si="21"/>
        <v>0</v>
      </c>
      <c r="O93" s="245">
        <f t="shared" si="22"/>
        <v>0</v>
      </c>
      <c r="P93" s="259"/>
      <c r="Q93" s="459"/>
      <c r="R93" s="459"/>
      <c r="S93" s="486"/>
      <c r="T93" s="459"/>
    </row>
    <row r="94" spans="1:22" ht="25.9" customHeight="1">
      <c r="A94" s="286"/>
      <c r="B94" s="287" t="s">
        <v>422</v>
      </c>
      <c r="C94" s="256">
        <v>4192</v>
      </c>
      <c r="D94" s="475">
        <v>8878</v>
      </c>
      <c r="E94" s="442"/>
      <c r="F94" s="442"/>
      <c r="G94" s="442"/>
      <c r="H94" s="442"/>
      <c r="I94" s="442"/>
      <c r="J94" s="440">
        <f t="shared" si="19"/>
        <v>8878</v>
      </c>
      <c r="K94" s="256">
        <v>9005</v>
      </c>
      <c r="L94" s="256">
        <f>'Chi 2025'!C88</f>
        <v>0</v>
      </c>
      <c r="M94" s="245">
        <f t="shared" si="20"/>
        <v>1.0143050236539761</v>
      </c>
      <c r="N94" s="245">
        <f t="shared" si="21"/>
        <v>2.1481393129770994</v>
      </c>
      <c r="O94" s="245">
        <f t="shared" si="22"/>
        <v>0</v>
      </c>
      <c r="P94" s="251"/>
    </row>
    <row r="95" spans="1:22" s="80" customFormat="1" ht="54.75" customHeight="1">
      <c r="A95" s="283"/>
      <c r="B95" s="284" t="s">
        <v>423</v>
      </c>
      <c r="C95" s="214">
        <f t="shared" ref="C95:L95" si="37">C96</f>
        <v>34884</v>
      </c>
      <c r="D95" s="474">
        <f t="shared" si="37"/>
        <v>76719</v>
      </c>
      <c r="E95" s="446">
        <f t="shared" si="37"/>
        <v>0</v>
      </c>
      <c r="F95" s="446">
        <f t="shared" si="37"/>
        <v>0</v>
      </c>
      <c r="G95" s="446">
        <f t="shared" si="37"/>
        <v>0</v>
      </c>
      <c r="H95" s="446">
        <f t="shared" si="37"/>
        <v>0</v>
      </c>
      <c r="I95" s="446">
        <f t="shared" si="37"/>
        <v>0</v>
      </c>
      <c r="J95" s="440">
        <f t="shared" si="19"/>
        <v>76719</v>
      </c>
      <c r="K95" s="474">
        <f>K96</f>
        <v>73192</v>
      </c>
      <c r="L95" s="214">
        <f t="shared" si="37"/>
        <v>0</v>
      </c>
      <c r="M95" s="238">
        <f t="shared" si="20"/>
        <v>0.95402703372046038</v>
      </c>
      <c r="N95" s="238">
        <f t="shared" si="21"/>
        <v>2.0981538814356151</v>
      </c>
      <c r="O95" s="238">
        <f t="shared" si="22"/>
        <v>0</v>
      </c>
      <c r="P95" s="259"/>
      <c r="Q95" s="459"/>
      <c r="R95" s="459"/>
      <c r="S95" s="486"/>
      <c r="T95" s="459"/>
    </row>
    <row r="96" spans="1:22" ht="70.5" customHeight="1">
      <c r="A96" s="286"/>
      <c r="B96" s="287" t="s">
        <v>424</v>
      </c>
      <c r="C96" s="256">
        <v>34884</v>
      </c>
      <c r="D96" s="475">
        <v>76719</v>
      </c>
      <c r="E96" s="442"/>
      <c r="F96" s="442"/>
      <c r="G96" s="442"/>
      <c r="H96" s="442"/>
      <c r="I96" s="442"/>
      <c r="J96" s="440">
        <f t="shared" si="19"/>
        <v>76719</v>
      </c>
      <c r="K96" s="256">
        <v>73192</v>
      </c>
      <c r="L96" s="256">
        <f>'Chi 2025'!C90</f>
        <v>0</v>
      </c>
      <c r="M96" s="245">
        <f t="shared" si="20"/>
        <v>0.95402703372046038</v>
      </c>
      <c r="N96" s="245">
        <f t="shared" si="21"/>
        <v>2.0981538814356151</v>
      </c>
      <c r="O96" s="245">
        <f t="shared" si="22"/>
        <v>0</v>
      </c>
      <c r="P96" s="251"/>
    </row>
    <row r="97" spans="1:22" s="80" customFormat="1" ht="56.25" customHeight="1">
      <c r="A97" s="283"/>
      <c r="B97" s="284" t="s">
        <v>425</v>
      </c>
      <c r="C97" s="214">
        <f t="shared" ref="C97:L97" si="38">C98</f>
        <v>4061</v>
      </c>
      <c r="D97" s="474">
        <f t="shared" si="38"/>
        <v>6168</v>
      </c>
      <c r="E97" s="446">
        <f t="shared" si="38"/>
        <v>0</v>
      </c>
      <c r="F97" s="446">
        <f t="shared" si="38"/>
        <v>0</v>
      </c>
      <c r="G97" s="446">
        <f t="shared" si="38"/>
        <v>0</v>
      </c>
      <c r="H97" s="446">
        <f t="shared" si="38"/>
        <v>0</v>
      </c>
      <c r="I97" s="446">
        <f t="shared" si="38"/>
        <v>0</v>
      </c>
      <c r="J97" s="440">
        <f t="shared" si="19"/>
        <v>6168</v>
      </c>
      <c r="K97" s="474">
        <f>K98</f>
        <v>32995</v>
      </c>
      <c r="L97" s="214">
        <f t="shared" si="38"/>
        <v>0</v>
      </c>
      <c r="M97" s="238">
        <f t="shared" si="20"/>
        <v>5.349383916990921</v>
      </c>
      <c r="N97" s="238">
        <f t="shared" si="21"/>
        <v>8.1248460970204377</v>
      </c>
      <c r="O97" s="238">
        <f t="shared" si="22"/>
        <v>0</v>
      </c>
      <c r="P97" s="259"/>
      <c r="Q97" s="459"/>
      <c r="R97" s="459"/>
      <c r="S97" s="486"/>
      <c r="T97" s="459"/>
    </row>
    <row r="98" spans="1:22" ht="56.25" customHeight="1">
      <c r="A98" s="286"/>
      <c r="B98" s="287" t="s">
        <v>426</v>
      </c>
      <c r="C98" s="256">
        <v>4061</v>
      </c>
      <c r="D98" s="475">
        <v>6168</v>
      </c>
      <c r="E98" s="442"/>
      <c r="F98" s="442"/>
      <c r="G98" s="442"/>
      <c r="H98" s="442"/>
      <c r="I98" s="442"/>
      <c r="J98" s="440">
        <f t="shared" si="19"/>
        <v>6168</v>
      </c>
      <c r="K98" s="256">
        <f>33964-969</f>
        <v>32995</v>
      </c>
      <c r="L98" s="256">
        <f>'Chi 2025'!C92</f>
        <v>0</v>
      </c>
      <c r="M98" s="245">
        <f t="shared" si="20"/>
        <v>5.349383916990921</v>
      </c>
      <c r="N98" s="245">
        <f t="shared" si="21"/>
        <v>8.1248460970204377</v>
      </c>
      <c r="O98" s="245">
        <f t="shared" si="22"/>
        <v>0</v>
      </c>
      <c r="P98" s="251"/>
    </row>
    <row r="99" spans="1:22" s="80" customFormat="1" ht="36.6" customHeight="1">
      <c r="A99" s="283"/>
      <c r="B99" s="284" t="s">
        <v>427</v>
      </c>
      <c r="C99" s="214">
        <f>C100+C101</f>
        <v>1324</v>
      </c>
      <c r="D99" s="474">
        <f>D100+D101</f>
        <v>2580</v>
      </c>
      <c r="E99" s="446">
        <f>E100+E101</f>
        <v>0</v>
      </c>
      <c r="F99" s="446">
        <f t="shared" ref="F99:I99" si="39">F100+F101</f>
        <v>0</v>
      </c>
      <c r="G99" s="446">
        <f t="shared" si="39"/>
        <v>0</v>
      </c>
      <c r="H99" s="446">
        <f t="shared" si="39"/>
        <v>0</v>
      </c>
      <c r="I99" s="446">
        <f t="shared" si="39"/>
        <v>0</v>
      </c>
      <c r="J99" s="440">
        <f t="shared" si="19"/>
        <v>2580</v>
      </c>
      <c r="K99" s="474">
        <f>K100+K101</f>
        <v>2254</v>
      </c>
      <c r="L99" s="214">
        <f>L100+L101</f>
        <v>0</v>
      </c>
      <c r="M99" s="238">
        <f t="shared" si="20"/>
        <v>0.87364341085271313</v>
      </c>
      <c r="N99" s="238">
        <f t="shared" si="21"/>
        <v>1.702416918429003</v>
      </c>
      <c r="O99" s="238">
        <f t="shared" si="22"/>
        <v>0</v>
      </c>
      <c r="P99" s="259"/>
      <c r="Q99" s="459"/>
      <c r="R99" s="459"/>
      <c r="S99" s="486"/>
      <c r="T99" s="459"/>
    </row>
    <row r="100" spans="1:22" ht="69" customHeight="1">
      <c r="A100" s="286"/>
      <c r="B100" s="287" t="s">
        <v>572</v>
      </c>
      <c r="C100" s="256"/>
      <c r="D100" s="475">
        <v>232</v>
      </c>
      <c r="E100" s="442"/>
      <c r="F100" s="442"/>
      <c r="G100" s="442"/>
      <c r="H100" s="442"/>
      <c r="I100" s="442"/>
      <c r="J100" s="440">
        <f t="shared" si="19"/>
        <v>232</v>
      </c>
      <c r="K100" s="256">
        <v>289</v>
      </c>
      <c r="L100" s="256">
        <f>'Chi 2025'!C94</f>
        <v>0</v>
      </c>
      <c r="M100" s="245">
        <f t="shared" si="20"/>
        <v>1.2456896551724137</v>
      </c>
      <c r="N100" s="245">
        <f t="shared" si="21"/>
        <v>0</v>
      </c>
      <c r="O100" s="245">
        <f t="shared" si="22"/>
        <v>0</v>
      </c>
      <c r="P100" s="251"/>
    </row>
    <row r="101" spans="1:22" ht="54" customHeight="1">
      <c r="A101" s="286"/>
      <c r="B101" s="287" t="s">
        <v>573</v>
      </c>
      <c r="C101" s="256">
        <v>1324</v>
      </c>
      <c r="D101" s="475">
        <v>2348</v>
      </c>
      <c r="E101" s="442"/>
      <c r="F101" s="442"/>
      <c r="G101" s="442"/>
      <c r="H101" s="442"/>
      <c r="I101" s="442"/>
      <c r="J101" s="440">
        <f t="shared" si="19"/>
        <v>2348</v>
      </c>
      <c r="K101" s="256">
        <v>1965</v>
      </c>
      <c r="L101" s="256">
        <f>'Chi 2025'!C95</f>
        <v>0</v>
      </c>
      <c r="M101" s="245">
        <f t="shared" si="20"/>
        <v>0.83688245315161836</v>
      </c>
      <c r="N101" s="245">
        <f t="shared" si="21"/>
        <v>1.4841389728096677</v>
      </c>
      <c r="O101" s="245">
        <f t="shared" si="22"/>
        <v>0</v>
      </c>
      <c r="P101" s="251"/>
    </row>
    <row r="102" spans="1:22" s="80" customFormat="1" ht="52.15" customHeight="1">
      <c r="A102" s="283"/>
      <c r="B102" s="284" t="s">
        <v>428</v>
      </c>
      <c r="C102" s="214">
        <v>685</v>
      </c>
      <c r="D102" s="476">
        <v>626</v>
      </c>
      <c r="E102" s="441"/>
      <c r="F102" s="441"/>
      <c r="G102" s="441"/>
      <c r="H102" s="441"/>
      <c r="I102" s="441"/>
      <c r="J102" s="440">
        <f t="shared" si="19"/>
        <v>626</v>
      </c>
      <c r="K102" s="214">
        <v>694</v>
      </c>
      <c r="L102" s="214">
        <f>'Chi 2025'!C96</f>
        <v>0</v>
      </c>
      <c r="M102" s="238">
        <f t="shared" si="20"/>
        <v>1.1086261980830672</v>
      </c>
      <c r="N102" s="238">
        <f t="shared" si="21"/>
        <v>1.0131386861313869</v>
      </c>
      <c r="O102" s="238">
        <f t="shared" si="22"/>
        <v>0</v>
      </c>
      <c r="P102" s="259"/>
      <c r="Q102" s="459"/>
      <c r="R102" s="459"/>
      <c r="S102" s="486"/>
      <c r="T102" s="459"/>
      <c r="V102" s="259"/>
    </row>
    <row r="103" spans="1:22" s="80" customFormat="1" ht="55.5" customHeight="1">
      <c r="A103" s="283"/>
      <c r="B103" s="284" t="s">
        <v>429</v>
      </c>
      <c r="C103" s="214">
        <v>1850</v>
      </c>
      <c r="D103" s="476">
        <v>2951</v>
      </c>
      <c r="E103" s="441"/>
      <c r="F103" s="441"/>
      <c r="G103" s="441"/>
      <c r="H103" s="441"/>
      <c r="I103" s="441"/>
      <c r="J103" s="440">
        <f t="shared" si="19"/>
        <v>2951</v>
      </c>
      <c r="K103" s="214">
        <v>4717</v>
      </c>
      <c r="L103" s="214">
        <f>'Chi 2025'!C97</f>
        <v>0</v>
      </c>
      <c r="M103" s="238">
        <f t="shared" si="20"/>
        <v>1.5984412063707218</v>
      </c>
      <c r="N103" s="238">
        <f t="shared" si="21"/>
        <v>2.5497297297297297</v>
      </c>
      <c r="O103" s="238">
        <f t="shared" si="22"/>
        <v>0</v>
      </c>
      <c r="P103" s="259"/>
      <c r="Q103" s="459"/>
      <c r="R103" s="459"/>
      <c r="S103" s="486"/>
      <c r="T103" s="459"/>
    </row>
    <row r="104" spans="1:22" s="80" customFormat="1" ht="39" customHeight="1">
      <c r="A104" s="283"/>
      <c r="B104" s="284" t="s">
        <v>430</v>
      </c>
      <c r="C104" s="479">
        <f>C106+C105</f>
        <v>255</v>
      </c>
      <c r="D104" s="479">
        <f>D106+D105</f>
        <v>792</v>
      </c>
      <c r="E104" s="448">
        <f>E106+E105</f>
        <v>0</v>
      </c>
      <c r="F104" s="448">
        <f t="shared" ref="F104:I104" si="40">F106+F105</f>
        <v>0</v>
      </c>
      <c r="G104" s="448">
        <f t="shared" si="40"/>
        <v>0</v>
      </c>
      <c r="H104" s="448">
        <f t="shared" si="40"/>
        <v>0</v>
      </c>
      <c r="I104" s="448">
        <f t="shared" si="40"/>
        <v>0</v>
      </c>
      <c r="J104" s="440">
        <f t="shared" si="19"/>
        <v>792</v>
      </c>
      <c r="K104" s="479">
        <f>K106+K105</f>
        <v>1117</v>
      </c>
      <c r="L104" s="479">
        <f>L106+L105</f>
        <v>0</v>
      </c>
      <c r="M104" s="238">
        <f t="shared" si="20"/>
        <v>1.4103535353535352</v>
      </c>
      <c r="N104" s="238">
        <f t="shared" si="21"/>
        <v>4.3803921568627455</v>
      </c>
      <c r="O104" s="238">
        <f t="shared" si="22"/>
        <v>0</v>
      </c>
      <c r="P104" s="259"/>
      <c r="Q104" s="459"/>
      <c r="R104" s="459"/>
      <c r="S104" s="486"/>
      <c r="T104" s="459"/>
    </row>
    <row r="105" spans="1:22" ht="55.5" customHeight="1">
      <c r="A105" s="286"/>
      <c r="B105" s="287" t="s">
        <v>431</v>
      </c>
      <c r="C105" s="256"/>
      <c r="D105" s="256"/>
      <c r="E105" s="449"/>
      <c r="F105" s="449"/>
      <c r="G105" s="449"/>
      <c r="H105" s="449"/>
      <c r="I105" s="449"/>
      <c r="J105" s="440">
        <f t="shared" si="19"/>
        <v>0</v>
      </c>
      <c r="K105" s="256">
        <v>0</v>
      </c>
      <c r="L105" s="256"/>
      <c r="M105" s="245">
        <f t="shared" si="20"/>
        <v>0</v>
      </c>
      <c r="N105" s="245">
        <f t="shared" si="21"/>
        <v>0</v>
      </c>
      <c r="O105" s="245">
        <f t="shared" si="22"/>
        <v>0</v>
      </c>
      <c r="P105" s="251"/>
    </row>
    <row r="106" spans="1:22" ht="55.5" customHeight="1">
      <c r="A106" s="286"/>
      <c r="B106" s="287" t="s">
        <v>432</v>
      </c>
      <c r="C106" s="256">
        <v>255</v>
      </c>
      <c r="D106" s="256">
        <v>792</v>
      </c>
      <c r="E106" s="442"/>
      <c r="F106" s="442"/>
      <c r="G106" s="442"/>
      <c r="H106" s="442"/>
      <c r="I106" s="442"/>
      <c r="J106" s="440">
        <f t="shared" si="19"/>
        <v>792</v>
      </c>
      <c r="K106" s="256">
        <v>1117</v>
      </c>
      <c r="L106" s="256">
        <f>'Chi 2025'!C99</f>
        <v>0</v>
      </c>
      <c r="M106" s="245">
        <f t="shared" si="20"/>
        <v>1.4103535353535352</v>
      </c>
      <c r="N106" s="245">
        <f t="shared" si="21"/>
        <v>4.3803921568627455</v>
      </c>
      <c r="O106" s="245">
        <f t="shared" si="22"/>
        <v>0</v>
      </c>
      <c r="P106" s="251"/>
    </row>
    <row r="107" spans="1:22" s="80" customFormat="1" ht="54" customHeight="1">
      <c r="A107" s="283"/>
      <c r="B107" s="284" t="s">
        <v>433</v>
      </c>
      <c r="C107" s="480">
        <f t="shared" ref="C107:L107" si="41">C108+C109+C110</f>
        <v>1784</v>
      </c>
      <c r="D107" s="480">
        <f t="shared" si="41"/>
        <v>1266</v>
      </c>
      <c r="E107" s="450">
        <f t="shared" si="41"/>
        <v>0</v>
      </c>
      <c r="F107" s="450">
        <f t="shared" ref="F107:I107" si="42">F108+F109+F110</f>
        <v>0</v>
      </c>
      <c r="G107" s="450">
        <f t="shared" si="42"/>
        <v>0</v>
      </c>
      <c r="H107" s="450">
        <f t="shared" si="42"/>
        <v>0</v>
      </c>
      <c r="I107" s="450">
        <f t="shared" si="42"/>
        <v>0</v>
      </c>
      <c r="J107" s="440">
        <f t="shared" si="19"/>
        <v>1266</v>
      </c>
      <c r="K107" s="480">
        <f>K108+K109+K110</f>
        <v>1559</v>
      </c>
      <c r="L107" s="480">
        <f t="shared" si="41"/>
        <v>0</v>
      </c>
      <c r="M107" s="238">
        <f t="shared" si="20"/>
        <v>1.231437598736177</v>
      </c>
      <c r="N107" s="238">
        <f t="shared" si="21"/>
        <v>0.8738789237668162</v>
      </c>
      <c r="O107" s="238">
        <f t="shared" si="22"/>
        <v>0</v>
      </c>
      <c r="P107" s="259"/>
      <c r="Q107" s="459"/>
      <c r="R107" s="459"/>
      <c r="S107" s="486"/>
      <c r="T107" s="459"/>
    </row>
    <row r="108" spans="1:22" ht="129" customHeight="1">
      <c r="A108" s="286"/>
      <c r="B108" s="287" t="s">
        <v>434</v>
      </c>
      <c r="C108" s="256">
        <v>1233</v>
      </c>
      <c r="D108" s="478">
        <v>832</v>
      </c>
      <c r="E108" s="441"/>
      <c r="F108" s="441"/>
      <c r="G108" s="441"/>
      <c r="H108" s="441"/>
      <c r="I108" s="441"/>
      <c r="J108" s="440">
        <f t="shared" si="19"/>
        <v>832</v>
      </c>
      <c r="K108" s="256">
        <v>1149</v>
      </c>
      <c r="L108" s="256">
        <f>'Chi 2025'!C101</f>
        <v>0</v>
      </c>
      <c r="M108" s="245">
        <f t="shared" si="20"/>
        <v>1.3810096153846154</v>
      </c>
      <c r="N108" s="245">
        <f t="shared" si="21"/>
        <v>0.93187347931873477</v>
      </c>
      <c r="O108" s="245">
        <f t="shared" si="22"/>
        <v>0</v>
      </c>
      <c r="P108" s="251"/>
    </row>
    <row r="109" spans="1:22" ht="71.099999999999994" customHeight="1">
      <c r="A109" s="286"/>
      <c r="B109" s="287" t="s">
        <v>435</v>
      </c>
      <c r="C109" s="256">
        <v>500</v>
      </c>
      <c r="D109" s="477"/>
      <c r="E109" s="442"/>
      <c r="F109" s="442"/>
      <c r="G109" s="442"/>
      <c r="H109" s="442"/>
      <c r="I109" s="442"/>
      <c r="J109" s="440">
        <f t="shared" si="19"/>
        <v>0</v>
      </c>
      <c r="K109" s="256"/>
      <c r="L109" s="256"/>
      <c r="M109" s="245">
        <f t="shared" si="20"/>
        <v>0</v>
      </c>
      <c r="N109" s="245">
        <f t="shared" si="21"/>
        <v>0</v>
      </c>
      <c r="O109" s="245">
        <f t="shared" si="22"/>
        <v>0</v>
      </c>
      <c r="P109" s="251"/>
    </row>
    <row r="110" spans="1:22" s="271" customFormat="1" ht="61.5" customHeight="1">
      <c r="A110" s="286"/>
      <c r="B110" s="287" t="s">
        <v>436</v>
      </c>
      <c r="C110" s="256">
        <v>51</v>
      </c>
      <c r="D110" s="477">
        <v>434</v>
      </c>
      <c r="E110" s="442"/>
      <c r="F110" s="442"/>
      <c r="G110" s="442"/>
      <c r="H110" s="442"/>
      <c r="I110" s="442"/>
      <c r="J110" s="440">
        <f t="shared" si="19"/>
        <v>434</v>
      </c>
      <c r="K110" s="256">
        <v>410</v>
      </c>
      <c r="L110" s="256">
        <f>'Chi 2025'!C103</f>
        <v>0</v>
      </c>
      <c r="M110" s="245">
        <f t="shared" si="20"/>
        <v>0.9447004608294931</v>
      </c>
      <c r="N110" s="245">
        <f t="shared" si="21"/>
        <v>8.0392156862745097</v>
      </c>
      <c r="O110" s="245">
        <f t="shared" si="22"/>
        <v>0</v>
      </c>
      <c r="P110" s="270"/>
      <c r="Q110" s="459"/>
      <c r="R110" s="459"/>
      <c r="S110" s="486"/>
      <c r="T110" s="459"/>
    </row>
    <row r="111" spans="1:22" s="80" customFormat="1" ht="25.9" customHeight="1">
      <c r="A111" s="283" t="s">
        <v>19</v>
      </c>
      <c r="B111" s="284" t="s">
        <v>281</v>
      </c>
      <c r="C111" s="214">
        <f t="shared" ref="C111:L111" si="43">C112+C113</f>
        <v>27062</v>
      </c>
      <c r="D111" s="474">
        <f t="shared" si="43"/>
        <v>48946</v>
      </c>
      <c r="E111" s="446">
        <f t="shared" si="43"/>
        <v>30353</v>
      </c>
      <c r="F111" s="446">
        <f t="shared" ref="F111:I111" si="44">F112+F113</f>
        <v>0</v>
      </c>
      <c r="G111" s="446">
        <f t="shared" si="44"/>
        <v>0</v>
      </c>
      <c r="H111" s="446">
        <f t="shared" si="44"/>
        <v>0</v>
      </c>
      <c r="I111" s="446">
        <f t="shared" si="44"/>
        <v>14000</v>
      </c>
      <c r="J111" s="440">
        <f t="shared" si="19"/>
        <v>93299</v>
      </c>
      <c r="K111" s="474">
        <f>K112+K113</f>
        <v>67332</v>
      </c>
      <c r="L111" s="214">
        <f t="shared" si="43"/>
        <v>11000</v>
      </c>
      <c r="M111" s="238">
        <f t="shared" si="20"/>
        <v>1.3756384587095982</v>
      </c>
      <c r="N111" s="238">
        <f t="shared" si="21"/>
        <v>2.4880644446086762</v>
      </c>
      <c r="O111" s="238">
        <f t="shared" si="22"/>
        <v>0.22473746577861317</v>
      </c>
      <c r="P111" s="259"/>
      <c r="Q111" s="459"/>
      <c r="R111" s="459"/>
      <c r="S111" s="486"/>
    </row>
    <row r="112" spans="1:22" s="80" customFormat="1" ht="25.9" customHeight="1">
      <c r="A112" s="283">
        <v>1</v>
      </c>
      <c r="B112" s="284" t="s">
        <v>178</v>
      </c>
      <c r="C112" s="214"/>
      <c r="D112" s="474">
        <v>3000</v>
      </c>
      <c r="E112" s="446">
        <v>139</v>
      </c>
      <c r="F112" s="446"/>
      <c r="G112" s="446"/>
      <c r="H112" s="446"/>
      <c r="I112" s="446"/>
      <c r="J112" s="440">
        <f t="shared" si="19"/>
        <v>3139</v>
      </c>
      <c r="K112" s="474">
        <f>3000</f>
        <v>3000</v>
      </c>
      <c r="L112" s="214">
        <f>'Chi 2025'!C105</f>
        <v>11000</v>
      </c>
      <c r="M112" s="238">
        <f t="shared" si="20"/>
        <v>1</v>
      </c>
      <c r="N112" s="238">
        <f t="shared" si="21"/>
        <v>0</v>
      </c>
      <c r="O112" s="238">
        <f t="shared" si="22"/>
        <v>3.6666666666666665</v>
      </c>
      <c r="P112" s="259"/>
      <c r="Q112" s="459"/>
      <c r="R112" s="459"/>
      <c r="S112" s="486"/>
      <c r="T112" s="459"/>
    </row>
    <row r="113" spans="1:20" s="80" customFormat="1" ht="25.9" customHeight="1">
      <c r="A113" s="283">
        <v>2</v>
      </c>
      <c r="B113" s="284" t="s">
        <v>179</v>
      </c>
      <c r="C113" s="214">
        <f>C114+C117+C118+C121+C127+C128+C131</f>
        <v>27062</v>
      </c>
      <c r="D113" s="474">
        <f>D114+D117+D118+D121+D127+D128+D131</f>
        <v>45946</v>
      </c>
      <c r="E113" s="446">
        <v>30214</v>
      </c>
      <c r="F113" s="446">
        <f t="shared" ref="F113:H113" si="45">F114+F117+F118+F121+F127+F128+F131</f>
        <v>0</v>
      </c>
      <c r="G113" s="446">
        <f t="shared" si="45"/>
        <v>0</v>
      </c>
      <c r="H113" s="446">
        <f t="shared" si="45"/>
        <v>0</v>
      </c>
      <c r="I113" s="446">
        <v>14000</v>
      </c>
      <c r="J113" s="440">
        <f t="shared" si="19"/>
        <v>90160</v>
      </c>
      <c r="K113" s="474">
        <f>K114+K117+K118+K121+K127+K128+K131</f>
        <v>64332</v>
      </c>
      <c r="L113" s="214">
        <f>L114+L117+L118+L121+L127+L128+L131</f>
        <v>0</v>
      </c>
      <c r="M113" s="238">
        <f t="shared" si="20"/>
        <v>1.4001654115701041</v>
      </c>
      <c r="N113" s="238">
        <f t="shared" si="21"/>
        <v>2.3772078929864753</v>
      </c>
      <c r="O113" s="238">
        <f t="shared" si="22"/>
        <v>0</v>
      </c>
      <c r="P113" s="259"/>
      <c r="Q113" s="459"/>
      <c r="R113" s="459"/>
      <c r="S113" s="486"/>
      <c r="T113" s="459">
        <f>10+3920</f>
        <v>3930</v>
      </c>
    </row>
    <row r="114" spans="1:20" s="80" customFormat="1" ht="36" customHeight="1">
      <c r="A114" s="283"/>
      <c r="B114" s="284" t="s">
        <v>437</v>
      </c>
      <c r="C114" s="214">
        <f t="shared" ref="C114:L114" si="46">C115+C116</f>
        <v>9300</v>
      </c>
      <c r="D114" s="474">
        <f t="shared" si="46"/>
        <v>7661</v>
      </c>
      <c r="E114" s="446">
        <f t="shared" si="46"/>
        <v>0</v>
      </c>
      <c r="F114" s="446">
        <f t="shared" ref="F114:I114" si="47">F115+F116</f>
        <v>0</v>
      </c>
      <c r="G114" s="446">
        <f t="shared" si="47"/>
        <v>0</v>
      </c>
      <c r="H114" s="446">
        <f t="shared" si="47"/>
        <v>0</v>
      </c>
      <c r="I114" s="446">
        <f t="shared" si="47"/>
        <v>0</v>
      </c>
      <c r="J114" s="440">
        <f t="shared" si="19"/>
        <v>7661</v>
      </c>
      <c r="K114" s="474">
        <f>K115+K116</f>
        <v>14932</v>
      </c>
      <c r="L114" s="214">
        <f t="shared" si="46"/>
        <v>0</v>
      </c>
      <c r="M114" s="238">
        <f t="shared" si="20"/>
        <v>1.9490928077274507</v>
      </c>
      <c r="N114" s="238">
        <f t="shared" si="21"/>
        <v>1.6055913978494625</v>
      </c>
      <c r="O114" s="238">
        <f t="shared" si="22"/>
        <v>0</v>
      </c>
      <c r="P114" s="259"/>
      <c r="Q114" s="459"/>
      <c r="R114" s="459"/>
      <c r="S114" s="486"/>
      <c r="T114" s="459"/>
    </row>
    <row r="115" spans="1:20" ht="39.75" customHeight="1">
      <c r="A115" s="286"/>
      <c r="B115" s="287" t="s">
        <v>530</v>
      </c>
      <c r="C115" s="256">
        <v>2890</v>
      </c>
      <c r="D115" s="475">
        <v>5174</v>
      </c>
      <c r="E115" s="442"/>
      <c r="F115" s="442"/>
      <c r="G115" s="442"/>
      <c r="H115" s="442"/>
      <c r="I115" s="442"/>
      <c r="J115" s="440">
        <f t="shared" si="19"/>
        <v>5174</v>
      </c>
      <c r="K115" s="256">
        <v>6588</v>
      </c>
      <c r="L115" s="256">
        <f>'Chi 2025'!C108</f>
        <v>0</v>
      </c>
      <c r="M115" s="245">
        <f t="shared" si="20"/>
        <v>1.273289524545806</v>
      </c>
      <c r="N115" s="245">
        <f t="shared" si="21"/>
        <v>2.279584775086505</v>
      </c>
      <c r="O115" s="245">
        <f t="shared" si="22"/>
        <v>0</v>
      </c>
      <c r="P115" s="251"/>
    </row>
    <row r="116" spans="1:20" s="271" customFormat="1" ht="54" customHeight="1">
      <c r="A116" s="286"/>
      <c r="B116" s="287" t="s">
        <v>531</v>
      </c>
      <c r="C116" s="256">
        <v>6410</v>
      </c>
      <c r="D116" s="475">
        <v>2487</v>
      </c>
      <c r="E116" s="442"/>
      <c r="F116" s="442"/>
      <c r="G116" s="442"/>
      <c r="H116" s="442"/>
      <c r="I116" s="442"/>
      <c r="J116" s="440">
        <f t="shared" si="19"/>
        <v>2487</v>
      </c>
      <c r="K116" s="256">
        <v>8344</v>
      </c>
      <c r="L116" s="256">
        <f>'Chi 2025'!C109</f>
        <v>0</v>
      </c>
      <c r="M116" s="245">
        <f t="shared" si="20"/>
        <v>3.3550462404503416</v>
      </c>
      <c r="N116" s="245">
        <f t="shared" si="21"/>
        <v>1.3017160686427458</v>
      </c>
      <c r="O116" s="245">
        <f t="shared" si="22"/>
        <v>0</v>
      </c>
      <c r="P116" s="270"/>
      <c r="Q116" s="459"/>
      <c r="R116" s="459"/>
      <c r="S116" s="486"/>
      <c r="T116" s="459"/>
    </row>
    <row r="117" spans="1:20" s="271" customFormat="1" ht="38.450000000000003" customHeight="1">
      <c r="A117" s="283"/>
      <c r="B117" s="284" t="s">
        <v>438</v>
      </c>
      <c r="C117" s="471"/>
      <c r="D117" s="474">
        <v>10646</v>
      </c>
      <c r="E117" s="441"/>
      <c r="F117" s="441"/>
      <c r="G117" s="441"/>
      <c r="H117" s="441"/>
      <c r="I117" s="441"/>
      <c r="J117" s="440">
        <f t="shared" si="19"/>
        <v>10646</v>
      </c>
      <c r="K117" s="214">
        <v>21755</v>
      </c>
      <c r="L117" s="214">
        <f>'Chi 2025'!C110</f>
        <v>0</v>
      </c>
      <c r="M117" s="238">
        <f t="shared" si="20"/>
        <v>2.0434905128686829</v>
      </c>
      <c r="N117" s="238">
        <f t="shared" si="21"/>
        <v>0</v>
      </c>
      <c r="O117" s="238">
        <f t="shared" si="22"/>
        <v>0</v>
      </c>
      <c r="P117" s="270"/>
      <c r="Q117" s="459"/>
      <c r="R117" s="459"/>
      <c r="S117" s="486"/>
      <c r="T117" s="459"/>
    </row>
    <row r="118" spans="1:20" s="288" customFormat="1" ht="38.450000000000003" customHeight="1">
      <c r="A118" s="283"/>
      <c r="B118" s="284" t="s">
        <v>439</v>
      </c>
      <c r="C118" s="214">
        <f t="shared" ref="C118:L118" si="48">C119+C120</f>
        <v>1796</v>
      </c>
      <c r="D118" s="474">
        <f t="shared" si="48"/>
        <v>6845</v>
      </c>
      <c r="E118" s="446">
        <f t="shared" si="48"/>
        <v>0</v>
      </c>
      <c r="F118" s="446">
        <f t="shared" ref="F118:I118" si="49">F119+F120</f>
        <v>0</v>
      </c>
      <c r="G118" s="446">
        <f t="shared" si="49"/>
        <v>0</v>
      </c>
      <c r="H118" s="446">
        <f t="shared" si="49"/>
        <v>0</v>
      </c>
      <c r="I118" s="446">
        <f t="shared" si="49"/>
        <v>0</v>
      </c>
      <c r="J118" s="440">
        <f t="shared" si="19"/>
        <v>6845</v>
      </c>
      <c r="K118" s="474">
        <f>K119+K120</f>
        <v>6146</v>
      </c>
      <c r="L118" s="214">
        <f t="shared" si="48"/>
        <v>0</v>
      </c>
      <c r="M118" s="238">
        <f t="shared" si="20"/>
        <v>0.89788166544923298</v>
      </c>
      <c r="N118" s="238">
        <f t="shared" si="21"/>
        <v>3.4220489977728286</v>
      </c>
      <c r="O118" s="238">
        <f t="shared" si="22"/>
        <v>0</v>
      </c>
      <c r="Q118" s="459"/>
      <c r="R118" s="459"/>
      <c r="S118" s="486"/>
      <c r="T118" s="459"/>
    </row>
    <row r="119" spans="1:20" s="288" customFormat="1" ht="39.75" customHeight="1">
      <c r="A119" s="286"/>
      <c r="B119" s="287" t="s">
        <v>440</v>
      </c>
      <c r="C119" s="479"/>
      <c r="D119" s="475">
        <v>4959</v>
      </c>
      <c r="E119" s="451"/>
      <c r="F119" s="451"/>
      <c r="G119" s="451"/>
      <c r="H119" s="451"/>
      <c r="I119" s="451"/>
      <c r="J119" s="440">
        <f t="shared" si="19"/>
        <v>4959</v>
      </c>
      <c r="K119" s="475">
        <v>4241</v>
      </c>
      <c r="L119" s="479">
        <f>'Chi 2025'!C112</f>
        <v>0</v>
      </c>
      <c r="M119" s="245">
        <f t="shared" si="20"/>
        <v>0.85521274450494056</v>
      </c>
      <c r="N119" s="245">
        <f t="shared" si="21"/>
        <v>0</v>
      </c>
      <c r="O119" s="245">
        <f t="shared" si="22"/>
        <v>0</v>
      </c>
      <c r="Q119" s="459"/>
      <c r="R119" s="459"/>
      <c r="S119" s="486"/>
      <c r="T119" s="459"/>
    </row>
    <row r="120" spans="1:20" s="289" customFormat="1" ht="39.75" customHeight="1">
      <c r="A120" s="286"/>
      <c r="B120" s="287" t="s">
        <v>441</v>
      </c>
      <c r="C120" s="481">
        <v>1796</v>
      </c>
      <c r="D120" s="475">
        <v>1886</v>
      </c>
      <c r="E120" s="453"/>
      <c r="F120" s="453"/>
      <c r="G120" s="453"/>
      <c r="H120" s="453"/>
      <c r="I120" s="453"/>
      <c r="J120" s="440">
        <f t="shared" si="19"/>
        <v>1886</v>
      </c>
      <c r="K120" s="475">
        <v>1905</v>
      </c>
      <c r="L120" s="481">
        <f>'Chi 2025'!C113</f>
        <v>0</v>
      </c>
      <c r="M120" s="245">
        <f t="shared" si="20"/>
        <v>1.0100742311770943</v>
      </c>
      <c r="N120" s="245">
        <f t="shared" si="21"/>
        <v>1.0606904231625836</v>
      </c>
      <c r="O120" s="245">
        <f t="shared" si="22"/>
        <v>0</v>
      </c>
      <c r="Q120" s="459"/>
      <c r="R120" s="459"/>
      <c r="S120" s="486"/>
      <c r="T120" s="459"/>
    </row>
    <row r="121" spans="1:20" s="80" customFormat="1" ht="33" customHeight="1">
      <c r="A121" s="283"/>
      <c r="B121" s="284" t="s">
        <v>442</v>
      </c>
      <c r="C121" s="214">
        <f>C122+C125+C126</f>
        <v>1786</v>
      </c>
      <c r="D121" s="474">
        <f>D122+D125+D126</f>
        <v>3604</v>
      </c>
      <c r="E121" s="446">
        <f>E122+E125+E126</f>
        <v>0</v>
      </c>
      <c r="F121" s="446">
        <f t="shared" ref="F121:I121" si="50">F122+F125+F126</f>
        <v>0</v>
      </c>
      <c r="G121" s="446">
        <f t="shared" si="50"/>
        <v>0</v>
      </c>
      <c r="H121" s="446">
        <f t="shared" si="50"/>
        <v>0</v>
      </c>
      <c r="I121" s="446">
        <f t="shared" si="50"/>
        <v>0</v>
      </c>
      <c r="J121" s="440">
        <f t="shared" si="19"/>
        <v>3604</v>
      </c>
      <c r="K121" s="474">
        <f>K122+K125+K126</f>
        <v>500</v>
      </c>
      <c r="L121" s="214">
        <f>L122+L125+L126</f>
        <v>0</v>
      </c>
      <c r="M121" s="238">
        <f t="shared" si="20"/>
        <v>0.13873473917869034</v>
      </c>
      <c r="N121" s="238">
        <f t="shared" si="21"/>
        <v>0.27995520716685329</v>
      </c>
      <c r="O121" s="238">
        <f t="shared" si="22"/>
        <v>0</v>
      </c>
      <c r="P121" s="259"/>
      <c r="Q121" s="459"/>
      <c r="R121" s="459"/>
      <c r="S121" s="486"/>
      <c r="T121" s="459"/>
    </row>
    <row r="122" spans="1:20" ht="38.25" customHeight="1">
      <c r="A122" s="286"/>
      <c r="B122" s="287" t="s">
        <v>443</v>
      </c>
      <c r="C122" s="88">
        <v>1388</v>
      </c>
      <c r="D122" s="475">
        <v>2528</v>
      </c>
      <c r="E122" s="452"/>
      <c r="F122" s="452"/>
      <c r="G122" s="452"/>
      <c r="H122" s="452"/>
      <c r="I122" s="452"/>
      <c r="J122" s="440">
        <f t="shared" si="19"/>
        <v>2528</v>
      </c>
      <c r="K122" s="475"/>
      <c r="L122" s="88">
        <f>'Chi 2025'!C115</f>
        <v>0</v>
      </c>
      <c r="M122" s="245">
        <f t="shared" si="20"/>
        <v>0</v>
      </c>
      <c r="N122" s="245">
        <f t="shared" si="21"/>
        <v>0</v>
      </c>
      <c r="O122" s="245">
        <f t="shared" si="22"/>
        <v>0</v>
      </c>
      <c r="P122" s="251"/>
    </row>
    <row r="123" spans="1:20" ht="38.25" customHeight="1">
      <c r="A123" s="286"/>
      <c r="B123" s="287" t="s">
        <v>444</v>
      </c>
      <c r="C123" s="88"/>
      <c r="D123" s="475"/>
      <c r="E123" s="454"/>
      <c r="F123" s="454"/>
      <c r="G123" s="454"/>
      <c r="H123" s="454"/>
      <c r="I123" s="454"/>
      <c r="J123" s="440">
        <f t="shared" si="19"/>
        <v>0</v>
      </c>
      <c r="K123" s="211"/>
      <c r="L123" s="88"/>
      <c r="M123" s="245">
        <f t="shared" si="20"/>
        <v>0</v>
      </c>
      <c r="N123" s="245">
        <f t="shared" si="21"/>
        <v>0</v>
      </c>
      <c r="O123" s="245">
        <f t="shared" si="22"/>
        <v>0</v>
      </c>
      <c r="P123" s="251"/>
    </row>
    <row r="124" spans="1:20" ht="25.9" customHeight="1">
      <c r="A124" s="286"/>
      <c r="B124" s="287" t="s">
        <v>445</v>
      </c>
      <c r="C124" s="88"/>
      <c r="D124" s="475"/>
      <c r="E124" s="454"/>
      <c r="F124" s="454"/>
      <c r="G124" s="454"/>
      <c r="H124" s="454"/>
      <c r="I124" s="454"/>
      <c r="J124" s="440">
        <f t="shared" si="19"/>
        <v>0</v>
      </c>
      <c r="K124" s="475"/>
      <c r="L124" s="88"/>
      <c r="M124" s="245">
        <f t="shared" si="20"/>
        <v>0</v>
      </c>
      <c r="N124" s="245">
        <f t="shared" si="21"/>
        <v>0</v>
      </c>
      <c r="O124" s="245">
        <f t="shared" si="22"/>
        <v>0</v>
      </c>
      <c r="P124" s="251"/>
    </row>
    <row r="125" spans="1:20" ht="38.450000000000003" customHeight="1">
      <c r="A125" s="286"/>
      <c r="B125" s="287" t="s">
        <v>446</v>
      </c>
      <c r="C125" s="88">
        <v>14</v>
      </c>
      <c r="D125" s="475">
        <v>373</v>
      </c>
      <c r="E125" s="454"/>
      <c r="F125" s="454"/>
      <c r="G125" s="454"/>
      <c r="H125" s="454"/>
      <c r="I125" s="454"/>
      <c r="J125" s="440">
        <f t="shared" si="19"/>
        <v>373</v>
      </c>
      <c r="K125" s="211">
        <v>150</v>
      </c>
      <c r="L125" s="88">
        <f>'Chi 2025'!C118</f>
        <v>0</v>
      </c>
      <c r="M125" s="245">
        <f t="shared" si="20"/>
        <v>0.40214477211796246</v>
      </c>
      <c r="N125" s="245">
        <f t="shared" si="21"/>
        <v>10.714285714285714</v>
      </c>
      <c r="O125" s="245">
        <f t="shared" si="22"/>
        <v>0</v>
      </c>
      <c r="P125" s="251"/>
    </row>
    <row r="126" spans="1:20" ht="42.75" customHeight="1">
      <c r="A126" s="286"/>
      <c r="B126" s="287" t="s">
        <v>447</v>
      </c>
      <c r="C126" s="88">
        <v>384</v>
      </c>
      <c r="D126" s="475">
        <v>703</v>
      </c>
      <c r="E126" s="454"/>
      <c r="F126" s="454"/>
      <c r="G126" s="454"/>
      <c r="H126" s="454"/>
      <c r="I126" s="454"/>
      <c r="J126" s="440">
        <f t="shared" si="19"/>
        <v>703</v>
      </c>
      <c r="K126" s="211">
        <v>350</v>
      </c>
      <c r="L126" s="88">
        <f>'Chi 2025'!C119</f>
        <v>0</v>
      </c>
      <c r="M126" s="245">
        <f t="shared" si="20"/>
        <v>0.49786628733997157</v>
      </c>
      <c r="N126" s="245">
        <f t="shared" si="21"/>
        <v>0.91145833333333337</v>
      </c>
      <c r="O126" s="245">
        <f t="shared" si="22"/>
        <v>0</v>
      </c>
      <c r="P126" s="251"/>
    </row>
    <row r="127" spans="1:20" s="80" customFormat="1" ht="39" customHeight="1">
      <c r="A127" s="283"/>
      <c r="B127" s="284" t="s">
        <v>448</v>
      </c>
      <c r="C127" s="197">
        <v>10600</v>
      </c>
      <c r="D127" s="474">
        <v>13760</v>
      </c>
      <c r="E127" s="455"/>
      <c r="F127" s="455"/>
      <c r="G127" s="455"/>
      <c r="H127" s="455"/>
      <c r="I127" s="455"/>
      <c r="J127" s="440">
        <f t="shared" si="19"/>
        <v>13760</v>
      </c>
      <c r="K127" s="474">
        <f>21200-3920-10</f>
        <v>17270</v>
      </c>
      <c r="L127" s="197">
        <f>'Chi 2025'!C120</f>
        <v>0</v>
      </c>
      <c r="M127" s="238">
        <f t="shared" si="20"/>
        <v>1.2550872093023255</v>
      </c>
      <c r="N127" s="238">
        <f t="shared" si="21"/>
        <v>1.629245283018868</v>
      </c>
      <c r="O127" s="238">
        <f t="shared" si="22"/>
        <v>0</v>
      </c>
      <c r="P127" s="259"/>
      <c r="Q127" s="459"/>
      <c r="R127" s="459"/>
      <c r="S127" s="486"/>
      <c r="T127" s="459"/>
    </row>
    <row r="128" spans="1:20" s="80" customFormat="1" ht="25.9" customHeight="1">
      <c r="A128" s="283"/>
      <c r="B128" s="284" t="s">
        <v>449</v>
      </c>
      <c r="C128" s="214">
        <f t="shared" ref="C128:E128" si="51">C129+C130</f>
        <v>2066</v>
      </c>
      <c r="D128" s="474">
        <f t="shared" si="51"/>
        <v>2035</v>
      </c>
      <c r="E128" s="446">
        <f t="shared" si="51"/>
        <v>0</v>
      </c>
      <c r="F128" s="446">
        <f t="shared" ref="F128:I128" si="52">F129+F130</f>
        <v>0</v>
      </c>
      <c r="G128" s="446">
        <f t="shared" si="52"/>
        <v>0</v>
      </c>
      <c r="H128" s="446">
        <f t="shared" si="52"/>
        <v>0</v>
      </c>
      <c r="I128" s="446">
        <f t="shared" si="52"/>
        <v>0</v>
      </c>
      <c r="J128" s="440">
        <f t="shared" si="19"/>
        <v>2035</v>
      </c>
      <c r="K128" s="474">
        <f>K129+K130</f>
        <v>2037</v>
      </c>
      <c r="L128" s="214">
        <f>L129+L130</f>
        <v>0</v>
      </c>
      <c r="M128" s="238">
        <f t="shared" si="20"/>
        <v>1.000982800982801</v>
      </c>
      <c r="N128" s="238">
        <f t="shared" si="21"/>
        <v>0.98596321393998065</v>
      </c>
      <c r="O128" s="238">
        <f t="shared" si="22"/>
        <v>0</v>
      </c>
      <c r="P128" s="259"/>
      <c r="Q128" s="459"/>
      <c r="R128" s="459"/>
      <c r="S128" s="486"/>
      <c r="T128" s="459"/>
    </row>
    <row r="129" spans="1:22" ht="39" customHeight="1">
      <c r="A129" s="286"/>
      <c r="B129" s="287" t="s">
        <v>533</v>
      </c>
      <c r="C129" s="88">
        <v>1598</v>
      </c>
      <c r="D129" s="475">
        <v>1586</v>
      </c>
      <c r="E129" s="454"/>
      <c r="F129" s="454"/>
      <c r="G129" s="454"/>
      <c r="H129" s="454"/>
      <c r="I129" s="454"/>
      <c r="J129" s="440">
        <f t="shared" si="19"/>
        <v>1586</v>
      </c>
      <c r="K129" s="475">
        <v>1588</v>
      </c>
      <c r="L129" s="88">
        <f>'Chi 2025'!C122</f>
        <v>0</v>
      </c>
      <c r="M129" s="245">
        <f t="shared" si="20"/>
        <v>1.0012610340479193</v>
      </c>
      <c r="N129" s="245">
        <f t="shared" si="21"/>
        <v>0.99374217772215268</v>
      </c>
      <c r="O129" s="245">
        <f t="shared" si="22"/>
        <v>0</v>
      </c>
      <c r="P129" s="251"/>
    </row>
    <row r="130" spans="1:22" ht="39" customHeight="1">
      <c r="A130" s="286"/>
      <c r="B130" s="287" t="s">
        <v>574</v>
      </c>
      <c r="C130" s="88">
        <v>468</v>
      </c>
      <c r="D130" s="475">
        <v>449</v>
      </c>
      <c r="E130" s="454"/>
      <c r="F130" s="454"/>
      <c r="G130" s="454"/>
      <c r="H130" s="454"/>
      <c r="I130" s="454"/>
      <c r="J130" s="440">
        <f t="shared" si="19"/>
        <v>449</v>
      </c>
      <c r="K130" s="475">
        <v>449</v>
      </c>
      <c r="L130" s="88">
        <f>'Chi 2025'!C123</f>
        <v>0</v>
      </c>
      <c r="M130" s="245">
        <f t="shared" si="20"/>
        <v>1</v>
      </c>
      <c r="N130" s="245">
        <f t="shared" si="21"/>
        <v>0.95940170940170943</v>
      </c>
      <c r="O130" s="245">
        <f t="shared" si="22"/>
        <v>0</v>
      </c>
      <c r="P130" s="251"/>
    </row>
    <row r="131" spans="1:22" s="80" customFormat="1" ht="38.450000000000003" customHeight="1">
      <c r="A131" s="283"/>
      <c r="B131" s="284" t="s">
        <v>450</v>
      </c>
      <c r="C131" s="214">
        <f t="shared" ref="C131:L131" si="53">C132+C133</f>
        <v>1514</v>
      </c>
      <c r="D131" s="474">
        <f t="shared" si="53"/>
        <v>1395</v>
      </c>
      <c r="E131" s="446">
        <f t="shared" si="53"/>
        <v>0</v>
      </c>
      <c r="F131" s="446">
        <f t="shared" ref="F131:I131" si="54">F132+F133</f>
        <v>0</v>
      </c>
      <c r="G131" s="446">
        <f t="shared" si="54"/>
        <v>0</v>
      </c>
      <c r="H131" s="446">
        <f t="shared" si="54"/>
        <v>0</v>
      </c>
      <c r="I131" s="446">
        <f t="shared" si="54"/>
        <v>0</v>
      </c>
      <c r="J131" s="440">
        <f t="shared" si="19"/>
        <v>1395</v>
      </c>
      <c r="K131" s="474">
        <f>K132+K133</f>
        <v>1692</v>
      </c>
      <c r="L131" s="214">
        <f t="shared" si="53"/>
        <v>0</v>
      </c>
      <c r="M131" s="238">
        <f t="shared" si="20"/>
        <v>1.2129032258064516</v>
      </c>
      <c r="N131" s="238">
        <f t="shared" si="21"/>
        <v>1.1175693527080581</v>
      </c>
      <c r="O131" s="238">
        <f t="shared" si="22"/>
        <v>0</v>
      </c>
      <c r="P131" s="259"/>
      <c r="Q131" s="459"/>
      <c r="R131" s="459"/>
      <c r="S131" s="486"/>
      <c r="T131" s="459"/>
    </row>
    <row r="132" spans="1:22" ht="37.5" customHeight="1">
      <c r="A132" s="286"/>
      <c r="B132" s="287" t="s">
        <v>575</v>
      </c>
      <c r="C132" s="88">
        <v>1054</v>
      </c>
      <c r="D132" s="475">
        <v>874</v>
      </c>
      <c r="E132" s="454"/>
      <c r="F132" s="454"/>
      <c r="G132" s="454"/>
      <c r="H132" s="454"/>
      <c r="I132" s="454"/>
      <c r="J132" s="440">
        <f t="shared" si="19"/>
        <v>874</v>
      </c>
      <c r="K132" s="475">
        <v>1113</v>
      </c>
      <c r="L132" s="88">
        <f>'Chi 2025'!C125</f>
        <v>0</v>
      </c>
      <c r="M132" s="245">
        <f t="shared" si="20"/>
        <v>1.2734553775743707</v>
      </c>
      <c r="N132" s="245">
        <f t="shared" si="21"/>
        <v>1.055977229601518</v>
      </c>
      <c r="O132" s="245">
        <f t="shared" si="22"/>
        <v>0</v>
      </c>
      <c r="P132" s="251"/>
    </row>
    <row r="133" spans="1:22" ht="37.5" customHeight="1">
      <c r="A133" s="286"/>
      <c r="B133" s="287" t="s">
        <v>576</v>
      </c>
      <c r="C133" s="88">
        <v>460</v>
      </c>
      <c r="D133" s="475">
        <v>521</v>
      </c>
      <c r="E133" s="454"/>
      <c r="F133" s="454"/>
      <c r="G133" s="454"/>
      <c r="H133" s="454"/>
      <c r="I133" s="454"/>
      <c r="J133" s="440">
        <f t="shared" si="19"/>
        <v>521</v>
      </c>
      <c r="K133" s="211">
        <v>579</v>
      </c>
      <c r="L133" s="88">
        <f>'Chi 2025'!C126</f>
        <v>0</v>
      </c>
      <c r="M133" s="245">
        <f t="shared" si="20"/>
        <v>1.1113243761996161</v>
      </c>
      <c r="N133" s="245">
        <f t="shared" si="21"/>
        <v>1.258695652173913</v>
      </c>
      <c r="O133" s="245">
        <f t="shared" si="22"/>
        <v>0</v>
      </c>
      <c r="P133" s="251"/>
    </row>
    <row r="134" spans="1:22" s="80" customFormat="1" ht="26.45" customHeight="1">
      <c r="A134" s="283" t="s">
        <v>20</v>
      </c>
      <c r="B134" s="284" t="s">
        <v>282</v>
      </c>
      <c r="C134" s="214">
        <f t="shared" ref="C134:L134" si="55">C135+C136</f>
        <v>8440</v>
      </c>
      <c r="D134" s="474">
        <f t="shared" si="55"/>
        <v>15606</v>
      </c>
      <c r="E134" s="446">
        <f t="shared" si="55"/>
        <v>2417</v>
      </c>
      <c r="F134" s="446">
        <f t="shared" ref="F134:I134" si="56">F135+F136</f>
        <v>0</v>
      </c>
      <c r="G134" s="446">
        <f t="shared" si="56"/>
        <v>0</v>
      </c>
      <c r="H134" s="446">
        <f t="shared" si="56"/>
        <v>0</v>
      </c>
      <c r="I134" s="446">
        <f t="shared" si="56"/>
        <v>0</v>
      </c>
      <c r="J134" s="440">
        <f t="shared" si="19"/>
        <v>18023</v>
      </c>
      <c r="K134" s="474">
        <f t="shared" si="55"/>
        <v>17775</v>
      </c>
      <c r="L134" s="214">
        <f t="shared" si="55"/>
        <v>13774</v>
      </c>
      <c r="M134" s="238">
        <f t="shared" si="20"/>
        <v>1.1389850057670128</v>
      </c>
      <c r="N134" s="238">
        <f t="shared" si="21"/>
        <v>2.1060426540284358</v>
      </c>
      <c r="O134" s="238">
        <f t="shared" si="22"/>
        <v>0.88260925285146741</v>
      </c>
      <c r="P134" s="259"/>
      <c r="Q134" s="459"/>
      <c r="R134" s="459"/>
      <c r="S134" s="486"/>
      <c r="T134" s="459"/>
      <c r="V134" s="285"/>
    </row>
    <row r="135" spans="1:22" s="80" customFormat="1" ht="26.45" customHeight="1">
      <c r="A135" s="283">
        <v>1</v>
      </c>
      <c r="B135" s="284" t="s">
        <v>178</v>
      </c>
      <c r="C135" s="214">
        <v>7967</v>
      </c>
      <c r="D135" s="474">
        <v>13796</v>
      </c>
      <c r="E135" s="456">
        <v>2068</v>
      </c>
      <c r="F135" s="456"/>
      <c r="G135" s="456"/>
      <c r="H135" s="456"/>
      <c r="I135" s="456"/>
      <c r="J135" s="440">
        <f t="shared" si="19"/>
        <v>15864</v>
      </c>
      <c r="K135" s="474">
        <f>13796</f>
        <v>13796</v>
      </c>
      <c r="L135" s="214">
        <f>'Chi 2025'!C128</f>
        <v>11204</v>
      </c>
      <c r="M135" s="238">
        <f t="shared" si="20"/>
        <v>1</v>
      </c>
      <c r="N135" s="238">
        <f t="shared" si="21"/>
        <v>1.7316430274883896</v>
      </c>
      <c r="O135" s="238">
        <f t="shared" si="22"/>
        <v>0.81211945491446791</v>
      </c>
      <c r="P135" s="259"/>
      <c r="Q135" s="459"/>
      <c r="R135" s="459"/>
      <c r="S135" s="486"/>
      <c r="T135" s="459"/>
    </row>
    <row r="136" spans="1:22" s="80" customFormat="1" ht="26.45" customHeight="1">
      <c r="A136" s="283">
        <v>2</v>
      </c>
      <c r="B136" s="284" t="s">
        <v>179</v>
      </c>
      <c r="C136" s="482">
        <f t="shared" ref="C136:D136" si="57">C137+C139+C146+C144</f>
        <v>473</v>
      </c>
      <c r="D136" s="474">
        <f t="shared" si="57"/>
        <v>1810</v>
      </c>
      <c r="E136" s="447">
        <v>349</v>
      </c>
      <c r="F136" s="447">
        <f t="shared" ref="F136:I136" si="58">F137+F139+F146+F144</f>
        <v>0</v>
      </c>
      <c r="G136" s="447">
        <f t="shared" si="58"/>
        <v>0</v>
      </c>
      <c r="H136" s="447">
        <f t="shared" si="58"/>
        <v>0</v>
      </c>
      <c r="I136" s="447">
        <f t="shared" si="58"/>
        <v>0</v>
      </c>
      <c r="J136" s="440">
        <f t="shared" si="19"/>
        <v>2159</v>
      </c>
      <c r="K136" s="474">
        <f>K137+K139+K146+K144+K142</f>
        <v>3979</v>
      </c>
      <c r="L136" s="482">
        <f>L137+L139+L146+L144</f>
        <v>2570</v>
      </c>
      <c r="M136" s="238">
        <f t="shared" si="20"/>
        <v>2.1983425414364639</v>
      </c>
      <c r="N136" s="238">
        <f t="shared" si="21"/>
        <v>8.4122621564482021</v>
      </c>
      <c r="O136" s="238">
        <f t="shared" si="22"/>
        <v>1.419889502762431</v>
      </c>
      <c r="P136" s="259"/>
      <c r="Q136" s="459"/>
      <c r="R136" s="459"/>
      <c r="S136" s="486">
        <v>1820</v>
      </c>
      <c r="T136" s="459">
        <f>+(16.25+0.018+3.5)+56.5</f>
        <v>76.268000000000001</v>
      </c>
    </row>
    <row r="137" spans="1:22" s="80" customFormat="1" ht="26.45" customHeight="1">
      <c r="A137" s="283"/>
      <c r="B137" s="290" t="s">
        <v>537</v>
      </c>
      <c r="C137" s="214">
        <f t="shared" ref="C137:L137" si="59">C138</f>
        <v>0</v>
      </c>
      <c r="D137" s="474">
        <f t="shared" si="59"/>
        <v>600</v>
      </c>
      <c r="E137" s="446">
        <f t="shared" si="59"/>
        <v>0</v>
      </c>
      <c r="F137" s="446">
        <f t="shared" si="59"/>
        <v>0</v>
      </c>
      <c r="G137" s="446">
        <f t="shared" si="59"/>
        <v>0</v>
      </c>
      <c r="H137" s="446">
        <f t="shared" si="59"/>
        <v>0</v>
      </c>
      <c r="I137" s="446">
        <f t="shared" si="59"/>
        <v>0</v>
      </c>
      <c r="J137" s="440">
        <f t="shared" si="19"/>
        <v>600</v>
      </c>
      <c r="K137" s="474">
        <f>K138</f>
        <v>925</v>
      </c>
      <c r="L137" s="214">
        <f t="shared" si="59"/>
        <v>1500</v>
      </c>
      <c r="M137" s="238">
        <f t="shared" si="20"/>
        <v>1.5416666666666667</v>
      </c>
      <c r="N137" s="238">
        <f t="shared" si="21"/>
        <v>0</v>
      </c>
      <c r="O137" s="238">
        <f t="shared" si="22"/>
        <v>2.5</v>
      </c>
      <c r="P137" s="259"/>
      <c r="Q137" s="459"/>
      <c r="R137" s="459"/>
      <c r="S137" s="486"/>
      <c r="T137" s="459"/>
    </row>
    <row r="138" spans="1:22" ht="116.25" customHeight="1">
      <c r="A138" s="283"/>
      <c r="B138" s="280" t="s">
        <v>538</v>
      </c>
      <c r="C138" s="256">
        <v>0</v>
      </c>
      <c r="D138" s="475">
        <v>600</v>
      </c>
      <c r="E138" s="452"/>
      <c r="F138" s="452"/>
      <c r="G138" s="452"/>
      <c r="H138" s="452"/>
      <c r="I138" s="452"/>
      <c r="J138" s="440">
        <f t="shared" ref="J138:J155" si="60">SUM(D138:I138)</f>
        <v>600</v>
      </c>
      <c r="K138" s="211">
        <v>925</v>
      </c>
      <c r="L138" s="256">
        <f>'Chi 2025'!C131</f>
        <v>1500</v>
      </c>
      <c r="M138" s="245">
        <f t="shared" ref="M138:M155" si="61">IFERROR(K138/D138,0)</f>
        <v>1.5416666666666667</v>
      </c>
      <c r="N138" s="245">
        <f t="shared" ref="N138:N155" si="62">IFERROR(K138/C138,0)</f>
        <v>0</v>
      </c>
      <c r="O138" s="245">
        <f t="shared" ref="O138:O155" si="63">IFERROR(L138/D138,0)</f>
        <v>2.5</v>
      </c>
      <c r="P138" s="251"/>
    </row>
    <row r="139" spans="1:22" s="80" customFormat="1" ht="35.450000000000003" customHeight="1">
      <c r="A139" s="283"/>
      <c r="B139" s="290" t="s">
        <v>539</v>
      </c>
      <c r="C139" s="482">
        <f t="shared" ref="C139:K139" si="64">SUM(C140:C141)</f>
        <v>200</v>
      </c>
      <c r="D139" s="482">
        <f t="shared" si="64"/>
        <v>700</v>
      </c>
      <c r="E139" s="447">
        <f t="shared" si="64"/>
        <v>0</v>
      </c>
      <c r="F139" s="447">
        <f t="shared" ref="F139:I139" si="65">SUM(F140:F141)</f>
        <v>0</v>
      </c>
      <c r="G139" s="447">
        <f t="shared" si="65"/>
        <v>0</v>
      </c>
      <c r="H139" s="447">
        <f t="shared" si="65"/>
        <v>0</v>
      </c>
      <c r="I139" s="447">
        <f t="shared" si="65"/>
        <v>0</v>
      </c>
      <c r="J139" s="440">
        <f t="shared" si="60"/>
        <v>700</v>
      </c>
      <c r="K139" s="482">
        <f t="shared" si="64"/>
        <v>700</v>
      </c>
      <c r="L139" s="482">
        <f>SUM(L140:L141)</f>
        <v>460</v>
      </c>
      <c r="M139" s="238">
        <f t="shared" si="61"/>
        <v>1</v>
      </c>
      <c r="N139" s="238">
        <f t="shared" si="62"/>
        <v>3.5</v>
      </c>
      <c r="O139" s="238">
        <f t="shared" si="63"/>
        <v>0.65714285714285714</v>
      </c>
      <c r="P139" s="259"/>
      <c r="Q139" s="459"/>
      <c r="R139" s="459"/>
      <c r="S139" s="486"/>
      <c r="T139" s="459"/>
    </row>
    <row r="140" spans="1:22" ht="40.9" customHeight="1">
      <c r="A140" s="283"/>
      <c r="B140" s="280" t="s">
        <v>540</v>
      </c>
      <c r="C140" s="88">
        <v>200</v>
      </c>
      <c r="D140" s="88">
        <v>200</v>
      </c>
      <c r="E140" s="454"/>
      <c r="F140" s="454"/>
      <c r="G140" s="454"/>
      <c r="H140" s="454"/>
      <c r="I140" s="454"/>
      <c r="J140" s="440">
        <f t="shared" si="60"/>
        <v>200</v>
      </c>
      <c r="K140" s="211">
        <v>200</v>
      </c>
      <c r="L140" s="88">
        <f>'Chi 2025'!C133</f>
        <v>460</v>
      </c>
      <c r="M140" s="245">
        <f t="shared" si="61"/>
        <v>1</v>
      </c>
      <c r="N140" s="245">
        <f t="shared" si="62"/>
        <v>1</v>
      </c>
      <c r="O140" s="245">
        <f t="shared" si="63"/>
        <v>2.2999999999999998</v>
      </c>
      <c r="P140" s="251"/>
    </row>
    <row r="141" spans="1:22" ht="40.9" customHeight="1">
      <c r="A141" s="283"/>
      <c r="B141" s="280" t="s">
        <v>541</v>
      </c>
      <c r="C141" s="88">
        <v>0</v>
      </c>
      <c r="D141" s="88">
        <v>500</v>
      </c>
      <c r="E141" s="454"/>
      <c r="F141" s="454"/>
      <c r="G141" s="454"/>
      <c r="H141" s="454"/>
      <c r="I141" s="454"/>
      <c r="J141" s="440">
        <f t="shared" si="60"/>
        <v>500</v>
      </c>
      <c r="K141" s="211">
        <v>500</v>
      </c>
      <c r="L141" s="88">
        <f>'Chi 2025'!C134</f>
        <v>0</v>
      </c>
      <c r="M141" s="245">
        <f t="shared" si="61"/>
        <v>1</v>
      </c>
      <c r="N141" s="245">
        <f t="shared" si="62"/>
        <v>0</v>
      </c>
      <c r="O141" s="245">
        <f t="shared" si="63"/>
        <v>0</v>
      </c>
      <c r="P141" s="251"/>
    </row>
    <row r="142" spans="1:22" s="80" customFormat="1" ht="75" customHeight="1">
      <c r="A142" s="283"/>
      <c r="B142" s="290" t="s">
        <v>742</v>
      </c>
      <c r="C142" s="482"/>
      <c r="D142" s="482"/>
      <c r="E142" s="447"/>
      <c r="F142" s="447"/>
      <c r="G142" s="447"/>
      <c r="H142" s="447"/>
      <c r="I142" s="447"/>
      <c r="J142" s="440"/>
      <c r="K142" s="482">
        <f>+K143</f>
        <v>320</v>
      </c>
      <c r="L142" s="482"/>
      <c r="M142" s="245">
        <f t="shared" ref="M142:M143" si="66">IFERROR(K142/D142,0)</f>
        <v>0</v>
      </c>
      <c r="N142" s="245">
        <f t="shared" ref="N142:N143" si="67">IFERROR(K142/C142,0)</f>
        <v>0</v>
      </c>
      <c r="O142" s="245">
        <f t="shared" ref="O142:O143" si="68">IFERROR(L142/D142,0)</f>
        <v>0</v>
      </c>
      <c r="P142" s="259"/>
      <c r="Q142" s="459"/>
      <c r="R142" s="459"/>
      <c r="S142" s="486"/>
      <c r="T142" s="459"/>
    </row>
    <row r="143" spans="1:22" ht="189.75" customHeight="1">
      <c r="A143" s="283"/>
      <c r="B143" s="280" t="s">
        <v>743</v>
      </c>
      <c r="C143" s="88"/>
      <c r="D143" s="88"/>
      <c r="E143" s="454"/>
      <c r="F143" s="454"/>
      <c r="G143" s="454"/>
      <c r="H143" s="454"/>
      <c r="I143" s="454"/>
      <c r="J143" s="440"/>
      <c r="K143" s="211">
        <v>320</v>
      </c>
      <c r="L143" s="88"/>
      <c r="M143" s="245">
        <f t="shared" si="66"/>
        <v>0</v>
      </c>
      <c r="N143" s="245">
        <f t="shared" si="67"/>
        <v>0</v>
      </c>
      <c r="O143" s="245">
        <f t="shared" si="68"/>
        <v>0</v>
      </c>
      <c r="P143" s="251"/>
    </row>
    <row r="144" spans="1:22" ht="26.45" customHeight="1">
      <c r="A144" s="283"/>
      <c r="B144" s="290" t="s">
        <v>542</v>
      </c>
      <c r="C144" s="214">
        <f t="shared" ref="C144:L144" si="69">C145</f>
        <v>0</v>
      </c>
      <c r="D144" s="474">
        <f t="shared" si="69"/>
        <v>300</v>
      </c>
      <c r="E144" s="446">
        <f t="shared" si="69"/>
        <v>0</v>
      </c>
      <c r="F144" s="446">
        <f t="shared" si="69"/>
        <v>0</v>
      </c>
      <c r="G144" s="446">
        <f t="shared" si="69"/>
        <v>0</v>
      </c>
      <c r="H144" s="446">
        <f t="shared" si="69"/>
        <v>0</v>
      </c>
      <c r="I144" s="446">
        <f t="shared" si="69"/>
        <v>0</v>
      </c>
      <c r="J144" s="440">
        <f t="shared" si="60"/>
        <v>300</v>
      </c>
      <c r="K144" s="474">
        <f>K145</f>
        <v>1800</v>
      </c>
      <c r="L144" s="214">
        <f t="shared" si="69"/>
        <v>400</v>
      </c>
      <c r="M144" s="238">
        <f t="shared" si="61"/>
        <v>6</v>
      </c>
      <c r="N144" s="238">
        <f t="shared" si="62"/>
        <v>0</v>
      </c>
      <c r="O144" s="238">
        <f t="shared" si="63"/>
        <v>1.3333333333333333</v>
      </c>
      <c r="P144" s="251"/>
    </row>
    <row r="145" spans="1:22" ht="70.5" customHeight="1">
      <c r="A145" s="286"/>
      <c r="B145" s="280" t="s">
        <v>543</v>
      </c>
      <c r="C145" s="256">
        <v>0</v>
      </c>
      <c r="D145" s="475">
        <v>300</v>
      </c>
      <c r="E145" s="452"/>
      <c r="F145" s="452"/>
      <c r="G145" s="452"/>
      <c r="H145" s="452"/>
      <c r="I145" s="452"/>
      <c r="J145" s="440">
        <f t="shared" si="60"/>
        <v>300</v>
      </c>
      <c r="K145" s="211">
        <v>1800</v>
      </c>
      <c r="L145" s="256">
        <f>'Chi 2025'!C136</f>
        <v>400</v>
      </c>
      <c r="M145" s="245">
        <f t="shared" si="61"/>
        <v>6</v>
      </c>
      <c r="N145" s="245">
        <f t="shared" si="62"/>
        <v>0</v>
      </c>
      <c r="O145" s="245">
        <f t="shared" si="63"/>
        <v>1.3333333333333333</v>
      </c>
      <c r="P145" s="251"/>
    </row>
    <row r="146" spans="1:22" s="80" customFormat="1" ht="26.45" customHeight="1">
      <c r="A146" s="283"/>
      <c r="B146" s="290" t="s">
        <v>544</v>
      </c>
      <c r="C146" s="214">
        <f t="shared" ref="C146:L146" si="70">C147</f>
        <v>273</v>
      </c>
      <c r="D146" s="474">
        <f t="shared" si="70"/>
        <v>210</v>
      </c>
      <c r="E146" s="446">
        <f t="shared" si="70"/>
        <v>0</v>
      </c>
      <c r="F146" s="446">
        <f t="shared" si="70"/>
        <v>0</v>
      </c>
      <c r="G146" s="446">
        <f t="shared" si="70"/>
        <v>0</v>
      </c>
      <c r="H146" s="446">
        <f t="shared" si="70"/>
        <v>0</v>
      </c>
      <c r="I146" s="446">
        <f t="shared" si="70"/>
        <v>0</v>
      </c>
      <c r="J146" s="440">
        <f t="shared" si="60"/>
        <v>210</v>
      </c>
      <c r="K146" s="474">
        <f>K147</f>
        <v>234</v>
      </c>
      <c r="L146" s="214">
        <f t="shared" si="70"/>
        <v>210</v>
      </c>
      <c r="M146" s="238">
        <f t="shared" si="61"/>
        <v>1.1142857142857143</v>
      </c>
      <c r="N146" s="238">
        <f t="shared" si="62"/>
        <v>0.8571428571428571</v>
      </c>
      <c r="O146" s="238">
        <f t="shared" si="63"/>
        <v>1</v>
      </c>
      <c r="P146" s="259"/>
      <c r="Q146" s="459"/>
      <c r="R146" s="459"/>
      <c r="S146" s="486"/>
      <c r="T146" s="459"/>
    </row>
    <row r="147" spans="1:22" ht="117.75" customHeight="1">
      <c r="A147" s="286"/>
      <c r="B147" s="280" t="s">
        <v>579</v>
      </c>
      <c r="C147" s="88">
        <v>273</v>
      </c>
      <c r="D147" s="475">
        <v>210</v>
      </c>
      <c r="E147" s="454"/>
      <c r="F147" s="454"/>
      <c r="G147" s="454"/>
      <c r="H147" s="454"/>
      <c r="I147" s="454"/>
      <c r="J147" s="440">
        <f t="shared" si="60"/>
        <v>210</v>
      </c>
      <c r="K147" s="211">
        <v>234</v>
      </c>
      <c r="L147" s="88">
        <f>'Chi 2025'!C138</f>
        <v>210</v>
      </c>
      <c r="M147" s="245">
        <f t="shared" si="61"/>
        <v>1.1142857142857143</v>
      </c>
      <c r="N147" s="245">
        <f t="shared" si="62"/>
        <v>0.8571428571428571</v>
      </c>
      <c r="O147" s="245">
        <f t="shared" si="63"/>
        <v>1</v>
      </c>
      <c r="P147" s="251"/>
    </row>
    <row r="148" spans="1:22" s="80" customFormat="1" ht="39.75" customHeight="1">
      <c r="A148" s="272" t="s">
        <v>295</v>
      </c>
      <c r="B148" s="587" t="s">
        <v>836</v>
      </c>
      <c r="C148" s="471">
        <f>C149+C150</f>
        <v>3287</v>
      </c>
      <c r="D148" s="472">
        <f>D149+D150</f>
        <v>1834</v>
      </c>
      <c r="E148" s="445">
        <f>E149+E150</f>
        <v>0</v>
      </c>
      <c r="F148" s="445">
        <f t="shared" ref="F148:I148" si="71">F149+F150</f>
        <v>0</v>
      </c>
      <c r="G148" s="445">
        <f t="shared" si="71"/>
        <v>0</v>
      </c>
      <c r="H148" s="445">
        <f t="shared" si="71"/>
        <v>0</v>
      </c>
      <c r="I148" s="445">
        <f t="shared" si="71"/>
        <v>0</v>
      </c>
      <c r="J148" s="440">
        <f t="shared" si="60"/>
        <v>1834</v>
      </c>
      <c r="K148" s="472">
        <f>K149+K150</f>
        <v>1834</v>
      </c>
      <c r="L148" s="471">
        <f>L149+L150</f>
        <v>666</v>
      </c>
      <c r="M148" s="233">
        <f t="shared" si="61"/>
        <v>1</v>
      </c>
      <c r="N148" s="233">
        <f t="shared" si="62"/>
        <v>0.55795558259811373</v>
      </c>
      <c r="O148" s="233">
        <f t="shared" si="63"/>
        <v>0.36314067611777534</v>
      </c>
      <c r="P148" s="259"/>
      <c r="Q148" s="459"/>
      <c r="R148" s="459"/>
      <c r="S148" s="486"/>
      <c r="T148" s="459"/>
      <c r="V148" s="259"/>
    </row>
    <row r="149" spans="1:22" s="80" customFormat="1" ht="25.9" customHeight="1">
      <c r="A149" s="264" t="s">
        <v>451</v>
      </c>
      <c r="B149" s="291" t="s">
        <v>178</v>
      </c>
      <c r="C149" s="197"/>
      <c r="D149" s="474"/>
      <c r="E149" s="455"/>
      <c r="F149" s="455"/>
      <c r="G149" s="455"/>
      <c r="H149" s="455"/>
      <c r="I149" s="455"/>
      <c r="J149" s="440">
        <f t="shared" si="60"/>
        <v>0</v>
      </c>
      <c r="K149" s="85"/>
      <c r="L149" s="197"/>
      <c r="M149" s="238">
        <f t="shared" si="61"/>
        <v>0</v>
      </c>
      <c r="N149" s="238">
        <f t="shared" si="62"/>
        <v>0</v>
      </c>
      <c r="O149" s="238">
        <f t="shared" si="63"/>
        <v>0</v>
      </c>
      <c r="P149" s="259"/>
      <c r="Q149" s="459"/>
      <c r="R149" s="459"/>
      <c r="S149" s="486"/>
      <c r="T149" s="459"/>
    </row>
    <row r="150" spans="1:22" s="80" customFormat="1" ht="25.9" customHeight="1">
      <c r="A150" s="264" t="s">
        <v>451</v>
      </c>
      <c r="B150" s="291" t="s">
        <v>179</v>
      </c>
      <c r="C150" s="214">
        <f t="shared" ref="C150:I150" si="72">C151+C152</f>
        <v>3287</v>
      </c>
      <c r="D150" s="474">
        <f t="shared" si="72"/>
        <v>1834</v>
      </c>
      <c r="E150" s="446">
        <f t="shared" si="72"/>
        <v>0</v>
      </c>
      <c r="F150" s="446">
        <f t="shared" si="72"/>
        <v>0</v>
      </c>
      <c r="G150" s="446">
        <f t="shared" si="72"/>
        <v>0</v>
      </c>
      <c r="H150" s="446">
        <f t="shared" si="72"/>
        <v>0</v>
      </c>
      <c r="I150" s="446">
        <f t="shared" si="72"/>
        <v>0</v>
      </c>
      <c r="J150" s="440">
        <f t="shared" si="60"/>
        <v>1834</v>
      </c>
      <c r="K150" s="474">
        <f>K151+K152</f>
        <v>1834</v>
      </c>
      <c r="L150" s="214">
        <f>L151+L152</f>
        <v>666</v>
      </c>
      <c r="M150" s="238">
        <f t="shared" si="61"/>
        <v>1</v>
      </c>
      <c r="N150" s="238">
        <f t="shared" si="62"/>
        <v>0.55795558259811373</v>
      </c>
      <c r="O150" s="238">
        <f t="shared" si="63"/>
        <v>0.36314067611777534</v>
      </c>
      <c r="P150" s="259"/>
      <c r="Q150" s="459"/>
      <c r="R150" s="459"/>
      <c r="S150" s="486"/>
      <c r="T150" s="459"/>
    </row>
    <row r="151" spans="1:22" ht="25.9" customHeight="1">
      <c r="A151" s="286">
        <v>1</v>
      </c>
      <c r="B151" s="287" t="s">
        <v>283</v>
      </c>
      <c r="C151" s="256">
        <v>3192</v>
      </c>
      <c r="D151" s="475">
        <v>1650</v>
      </c>
      <c r="E151" s="452"/>
      <c r="F151" s="452"/>
      <c r="G151" s="452"/>
      <c r="H151" s="452"/>
      <c r="I151" s="452"/>
      <c r="J151" s="440">
        <f>SUM(D151:I151)</f>
        <v>1650</v>
      </c>
      <c r="K151" s="475">
        <v>1650</v>
      </c>
      <c r="L151" s="256">
        <f>'Chi 2025'!C140</f>
        <v>475</v>
      </c>
      <c r="M151" s="245">
        <f>IFERROR(K151/D151,0)</f>
        <v>1</v>
      </c>
      <c r="N151" s="245">
        <f>IFERROR(K151/C151,0)</f>
        <v>0.51691729323308266</v>
      </c>
      <c r="O151" s="245">
        <f>IFERROR(L151/D151,0)</f>
        <v>0.2878787878787879</v>
      </c>
      <c r="P151" s="251"/>
    </row>
    <row r="152" spans="1:22" ht="37.5" customHeight="1">
      <c r="A152" s="286">
        <v>2</v>
      </c>
      <c r="B152" s="287" t="s">
        <v>697</v>
      </c>
      <c r="C152" s="256">
        <v>95</v>
      </c>
      <c r="D152" s="475">
        <v>184</v>
      </c>
      <c r="E152" s="452"/>
      <c r="F152" s="452"/>
      <c r="G152" s="452"/>
      <c r="H152" s="452"/>
      <c r="I152" s="452"/>
      <c r="J152" s="440">
        <f t="shared" si="60"/>
        <v>184</v>
      </c>
      <c r="K152" s="475">
        <v>184</v>
      </c>
      <c r="L152" s="256">
        <f>'Chi 2025'!C142</f>
        <v>191</v>
      </c>
      <c r="M152" s="245">
        <f t="shared" si="61"/>
        <v>1</v>
      </c>
      <c r="N152" s="245">
        <f t="shared" si="62"/>
        <v>1.9368421052631579</v>
      </c>
      <c r="O152" s="245">
        <f t="shared" si="63"/>
        <v>1.0380434782608696</v>
      </c>
      <c r="P152" s="251"/>
    </row>
    <row r="153" spans="1:22" ht="25.9" hidden="1" customHeight="1">
      <c r="A153" s="286"/>
      <c r="B153" s="287" t="s">
        <v>577</v>
      </c>
      <c r="C153" s="256">
        <v>3064</v>
      </c>
      <c r="D153" s="475">
        <v>3205</v>
      </c>
      <c r="E153" s="452">
        <v>6.66</v>
      </c>
      <c r="F153" s="452">
        <v>7.66</v>
      </c>
      <c r="G153" s="452">
        <v>8.66</v>
      </c>
      <c r="H153" s="452">
        <v>9.66</v>
      </c>
      <c r="I153" s="452">
        <v>10.66</v>
      </c>
      <c r="J153" s="440">
        <f t="shared" si="60"/>
        <v>3248.2999999999993</v>
      </c>
      <c r="K153" s="475">
        <v>3205</v>
      </c>
      <c r="L153" s="256">
        <v>1650</v>
      </c>
      <c r="M153" s="238">
        <f t="shared" si="61"/>
        <v>1</v>
      </c>
      <c r="N153" s="238">
        <f t="shared" si="62"/>
        <v>1.046018276762402</v>
      </c>
      <c r="O153" s="238">
        <f t="shared" si="63"/>
        <v>0.51482059282371295</v>
      </c>
      <c r="P153" s="251"/>
    </row>
    <row r="154" spans="1:22" s="271" customFormat="1" ht="25.9" customHeight="1">
      <c r="A154" s="292" t="s">
        <v>452</v>
      </c>
      <c r="B154" s="293" t="s">
        <v>453</v>
      </c>
      <c r="C154" s="483">
        <v>9504</v>
      </c>
      <c r="D154" s="474"/>
      <c r="E154" s="446"/>
      <c r="F154" s="446"/>
      <c r="G154" s="446"/>
      <c r="H154" s="446"/>
      <c r="I154" s="446"/>
      <c r="J154" s="440">
        <f t="shared" si="60"/>
        <v>0</v>
      </c>
      <c r="K154" s="472"/>
      <c r="L154" s="483"/>
      <c r="M154" s="238">
        <f t="shared" si="61"/>
        <v>0</v>
      </c>
      <c r="N154" s="238">
        <f t="shared" si="62"/>
        <v>0</v>
      </c>
      <c r="O154" s="238">
        <f t="shared" si="63"/>
        <v>0</v>
      </c>
      <c r="P154" s="270"/>
      <c r="Q154" s="459"/>
      <c r="R154" s="459"/>
      <c r="S154" s="486"/>
      <c r="T154" s="459"/>
    </row>
    <row r="155" spans="1:22" s="271" customFormat="1" ht="25.9" customHeight="1">
      <c r="A155" s="272" t="s">
        <v>454</v>
      </c>
      <c r="B155" s="273" t="s">
        <v>455</v>
      </c>
      <c r="C155" s="471">
        <v>144366</v>
      </c>
      <c r="D155" s="214"/>
      <c r="E155" s="441"/>
      <c r="F155" s="441"/>
      <c r="G155" s="441"/>
      <c r="H155" s="441"/>
      <c r="I155" s="441"/>
      <c r="J155" s="440">
        <f t="shared" si="60"/>
        <v>0</v>
      </c>
      <c r="K155" s="472"/>
      <c r="L155" s="471"/>
      <c r="M155" s="238">
        <f t="shared" si="61"/>
        <v>0</v>
      </c>
      <c r="N155" s="238">
        <f t="shared" si="62"/>
        <v>0</v>
      </c>
      <c r="O155" s="238">
        <f t="shared" si="63"/>
        <v>0</v>
      </c>
      <c r="P155" s="274"/>
      <c r="Q155" s="459"/>
      <c r="R155" s="459"/>
      <c r="S155" s="486"/>
      <c r="T155" s="459"/>
    </row>
    <row r="156" spans="1:22">
      <c r="O156" s="251"/>
      <c r="P156" s="251"/>
    </row>
    <row r="157" spans="1:22">
      <c r="O157" s="251"/>
      <c r="P157" s="251"/>
    </row>
    <row r="158" spans="1:22">
      <c r="O158" s="251"/>
      <c r="P158" s="251"/>
    </row>
    <row r="159" spans="1:22">
      <c r="O159" s="251"/>
      <c r="P159" s="251"/>
    </row>
    <row r="160" spans="1:22">
      <c r="O160" s="251"/>
      <c r="P160" s="251"/>
    </row>
    <row r="161" spans="15:16">
      <c r="O161" s="251"/>
      <c r="P161" s="251"/>
    </row>
    <row r="162" spans="15:16">
      <c r="O162" s="251"/>
      <c r="P162" s="251"/>
    </row>
    <row r="163" spans="15:16">
      <c r="O163" s="251"/>
      <c r="P163" s="251"/>
    </row>
    <row r="164" spans="15:16">
      <c r="O164" s="251"/>
      <c r="P164" s="251"/>
    </row>
    <row r="165" spans="15:16">
      <c r="O165" s="251"/>
      <c r="P165" s="251"/>
    </row>
    <row r="166" spans="15:16">
      <c r="O166" s="251"/>
      <c r="P166" s="251"/>
    </row>
    <row r="167" spans="15:16">
      <c r="O167" s="251"/>
      <c r="P167" s="251"/>
    </row>
    <row r="168" spans="15:16">
      <c r="O168" s="251"/>
      <c r="P168" s="251"/>
    </row>
    <row r="169" spans="15:16">
      <c r="O169" s="251"/>
      <c r="P169" s="251"/>
    </row>
    <row r="170" spans="15:16">
      <c r="O170" s="251"/>
      <c r="P170" s="251"/>
    </row>
    <row r="171" spans="15:16">
      <c r="O171" s="251"/>
      <c r="P171" s="251"/>
    </row>
    <row r="172" spans="15:16">
      <c r="O172" s="251"/>
      <c r="P172" s="251"/>
    </row>
    <row r="173" spans="15:16">
      <c r="O173" s="251"/>
      <c r="P173" s="251"/>
    </row>
    <row r="174" spans="15:16">
      <c r="O174" s="251"/>
      <c r="P174" s="251"/>
    </row>
  </sheetData>
  <mergeCells count="18">
    <mergeCell ref="O6:O7"/>
    <mergeCell ref="M5:O5"/>
    <mergeCell ref="G5:G7"/>
    <mergeCell ref="H5:H7"/>
    <mergeCell ref="A2:O2"/>
    <mergeCell ref="A3:O3"/>
    <mergeCell ref="A5:A7"/>
    <mergeCell ref="B5:B7"/>
    <mergeCell ref="C5:C7"/>
    <mergeCell ref="D5:D7"/>
    <mergeCell ref="E5:E7"/>
    <mergeCell ref="F5:F7"/>
    <mergeCell ref="I5:I7"/>
    <mergeCell ref="J5:J7"/>
    <mergeCell ref="K5:K7"/>
    <mergeCell ref="L5:L7"/>
    <mergeCell ref="N6:N7"/>
    <mergeCell ref="M6:M7"/>
  </mergeCells>
  <pageMargins left="0.55118110236220474" right="0.23622047244094491" top="0.74803149606299213" bottom="0.74803149606299213" header="0.31496062992125984" footer="0.31496062992125984"/>
  <pageSetup paperSize="9" scale="7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57"/>
  <sheetViews>
    <sheetView view="pageBreakPreview" zoomScaleNormal="120" zoomScaleSheetLayoutView="100" workbookViewId="0">
      <pane xSplit="4" ySplit="7" topLeftCell="E70" activePane="bottomRight" state="frozen"/>
      <selection pane="topRight" activeCell="E1" sqref="E1"/>
      <selection pane="bottomLeft" activeCell="A8" sqref="A8"/>
      <selection pane="bottomRight" activeCell="Z11" sqref="Z11"/>
    </sheetView>
  </sheetViews>
  <sheetFormatPr defaultColWidth="8" defaultRowHeight="15.75"/>
  <cols>
    <col min="1" max="1" width="5.33203125" style="488" customWidth="1"/>
    <col min="2" max="2" width="37.88671875" style="198" customWidth="1"/>
    <col min="3" max="3" width="9" style="489" customWidth="1"/>
    <col min="4" max="4" width="8" style="489" customWidth="1"/>
    <col min="5" max="5" width="6.21875" style="198" customWidth="1"/>
    <col min="6" max="6" width="6.33203125" style="198" customWidth="1"/>
    <col min="7" max="7" width="6.44140625" style="198" customWidth="1"/>
    <col min="8" max="8" width="6.6640625" style="198" customWidth="1"/>
    <col min="9" max="9" width="5.44140625" style="198" customWidth="1"/>
    <col min="10" max="10" width="6.33203125" style="198" customWidth="1"/>
    <col min="11" max="11" width="5.6640625" style="198" customWidth="1"/>
    <col min="12" max="12" width="6" style="198" customWidth="1"/>
    <col min="13" max="13" width="6.88671875" style="198" customWidth="1"/>
    <col min="14" max="14" width="5.88671875" style="198" customWidth="1"/>
    <col min="15" max="15" width="5.77734375" style="198" customWidth="1"/>
    <col min="16" max="16" width="6.77734375" style="198" customWidth="1"/>
    <col min="17" max="17" width="6.109375" style="198" customWidth="1"/>
    <col min="18" max="18" width="5.6640625" style="198" customWidth="1"/>
    <col min="19" max="19" width="7.33203125" style="198" customWidth="1"/>
    <col min="20" max="20" width="5.6640625" style="198" customWidth="1"/>
    <col min="21" max="21" width="6.44140625" style="198" customWidth="1"/>
    <col min="22" max="22" width="6.33203125" style="198" customWidth="1"/>
    <col min="23" max="23" width="5.77734375" style="198" customWidth="1"/>
    <col min="24" max="24" width="5.44140625" style="198" customWidth="1"/>
    <col min="25" max="25" width="5.6640625" style="198" customWidth="1"/>
    <col min="26" max="26" width="7.21875" style="198" customWidth="1"/>
    <col min="27" max="27" width="6.44140625" style="198" customWidth="1"/>
    <col min="28" max="28" width="7.44140625" style="489" customWidth="1"/>
    <col min="29" max="29" width="7.88671875" style="560" customWidth="1"/>
    <col min="30" max="30" width="5.44140625" style="560" customWidth="1"/>
    <col min="31" max="31" width="8" style="198" customWidth="1"/>
    <col min="32" max="37" width="8" style="198" hidden="1" customWidth="1"/>
    <col min="38" max="38" width="8" style="198" customWidth="1"/>
    <col min="39" max="16384" width="8" style="198"/>
  </cols>
  <sheetData>
    <row r="1" spans="1:36" ht="18" customHeight="1">
      <c r="Z1" s="752" t="s">
        <v>548</v>
      </c>
      <c r="AA1" s="752"/>
      <c r="AB1" s="752"/>
    </row>
    <row r="2" spans="1:36" ht="18" customHeight="1">
      <c r="A2" s="753" t="s">
        <v>713</v>
      </c>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row>
    <row r="3" spans="1:36" ht="18" customHeight="1">
      <c r="A3" s="754" t="str">
        <f>'Chi 2024'!A3:O3</f>
        <v>(Kèm theo Nghị quyết số          /NQ-HĐND ngày          tháng 12 năm 2024 của HĐND huyện Tuần Giáo)</v>
      </c>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row>
    <row r="4" spans="1:36" s="495" customFormat="1" ht="18" customHeight="1">
      <c r="A4" s="490"/>
      <c r="B4" s="491"/>
      <c r="C4" s="492"/>
      <c r="D4" s="648"/>
      <c r="E4" s="493"/>
      <c r="F4" s="493"/>
      <c r="G4" s="493"/>
      <c r="H4" s="493"/>
      <c r="I4" s="493"/>
      <c r="J4" s="493"/>
      <c r="K4" s="493"/>
      <c r="L4" s="493"/>
      <c r="M4" s="493"/>
      <c r="N4" s="493"/>
      <c r="O4" s="493"/>
      <c r="P4" s="493"/>
      <c r="Q4" s="493"/>
      <c r="R4" s="493"/>
      <c r="S4" s="493"/>
      <c r="T4" s="493"/>
      <c r="U4" s="493"/>
      <c r="V4" s="493"/>
      <c r="W4" s="493"/>
      <c r="X4" s="494"/>
      <c r="Y4" s="493"/>
      <c r="Z4" s="755" t="s">
        <v>456</v>
      </c>
      <c r="AA4" s="755"/>
      <c r="AB4" s="755"/>
    </row>
    <row r="5" spans="1:36" s="501" customFormat="1" ht="57" customHeight="1">
      <c r="A5" s="496" t="s">
        <v>58</v>
      </c>
      <c r="B5" s="497" t="s">
        <v>457</v>
      </c>
      <c r="C5" s="498" t="s">
        <v>458</v>
      </c>
      <c r="D5" s="499" t="s">
        <v>459</v>
      </c>
      <c r="E5" s="499" t="s">
        <v>151</v>
      </c>
      <c r="F5" s="499" t="s">
        <v>460</v>
      </c>
      <c r="G5" s="499" t="s">
        <v>461</v>
      </c>
      <c r="H5" s="499" t="s">
        <v>462</v>
      </c>
      <c r="I5" s="499" t="s">
        <v>154</v>
      </c>
      <c r="J5" s="499" t="s">
        <v>304</v>
      </c>
      <c r="K5" s="500" t="s">
        <v>156</v>
      </c>
      <c r="L5" s="499" t="s">
        <v>463</v>
      </c>
      <c r="M5" s="499" t="s">
        <v>464</v>
      </c>
      <c r="N5" s="499" t="s">
        <v>465</v>
      </c>
      <c r="O5" s="499" t="s">
        <v>466</v>
      </c>
      <c r="P5" s="499" t="s">
        <v>467</v>
      </c>
      <c r="Q5" s="499" t="s">
        <v>468</v>
      </c>
      <c r="R5" s="499" t="s">
        <v>469</v>
      </c>
      <c r="S5" s="499" t="s">
        <v>307</v>
      </c>
      <c r="T5" s="499" t="s">
        <v>299</v>
      </c>
      <c r="U5" s="499" t="s">
        <v>200</v>
      </c>
      <c r="V5" s="499" t="s">
        <v>320</v>
      </c>
      <c r="W5" s="499" t="s">
        <v>470</v>
      </c>
      <c r="X5" s="499" t="s">
        <v>471</v>
      </c>
      <c r="Y5" s="499" t="s">
        <v>472</v>
      </c>
      <c r="Z5" s="499" t="s">
        <v>722</v>
      </c>
      <c r="AA5" s="499" t="s">
        <v>473</v>
      </c>
      <c r="AB5" s="499" t="s">
        <v>474</v>
      </c>
      <c r="AC5" s="647" t="s">
        <v>864</v>
      </c>
      <c r="AD5" s="643"/>
      <c r="AE5" s="643"/>
      <c r="AF5" s="566" t="s">
        <v>802</v>
      </c>
      <c r="AG5" s="488" t="s">
        <v>808</v>
      </c>
      <c r="AI5" s="566" t="s">
        <v>802</v>
      </c>
      <c r="AJ5" s="488" t="s">
        <v>808</v>
      </c>
    </row>
    <row r="6" spans="1:36" s="504" customFormat="1" ht="15" customHeight="1">
      <c r="A6" s="502" t="s">
        <v>8</v>
      </c>
      <c r="B6" s="502" t="s">
        <v>9</v>
      </c>
      <c r="C6" s="500" t="s">
        <v>475</v>
      </c>
      <c r="D6" s="649" t="s">
        <v>739</v>
      </c>
      <c r="E6" s="503">
        <v>1</v>
      </c>
      <c r="F6" s="503">
        <v>2</v>
      </c>
      <c r="G6" s="503">
        <v>3</v>
      </c>
      <c r="H6" s="503">
        <v>4</v>
      </c>
      <c r="I6" s="503">
        <v>5</v>
      </c>
      <c r="J6" s="503">
        <v>6</v>
      </c>
      <c r="K6" s="503">
        <v>7</v>
      </c>
      <c r="L6" s="503">
        <v>8</v>
      </c>
      <c r="M6" s="503">
        <v>9</v>
      </c>
      <c r="N6" s="503">
        <v>10</v>
      </c>
      <c r="O6" s="503">
        <v>11</v>
      </c>
      <c r="P6" s="503">
        <v>12</v>
      </c>
      <c r="Q6" s="503">
        <v>13</v>
      </c>
      <c r="R6" s="503">
        <v>14</v>
      </c>
      <c r="S6" s="503">
        <v>15</v>
      </c>
      <c r="T6" s="503">
        <v>16</v>
      </c>
      <c r="U6" s="503">
        <v>17</v>
      </c>
      <c r="V6" s="503">
        <v>18</v>
      </c>
      <c r="W6" s="503">
        <v>19</v>
      </c>
      <c r="X6" s="503">
        <v>20</v>
      </c>
      <c r="Y6" s="503">
        <v>21</v>
      </c>
      <c r="Z6" s="503">
        <v>22</v>
      </c>
      <c r="AA6" s="503">
        <v>23</v>
      </c>
      <c r="AB6" s="500" t="s">
        <v>454</v>
      </c>
      <c r="AC6" s="561"/>
      <c r="AD6" s="561"/>
    </row>
    <row r="7" spans="1:36" s="508" customFormat="1" ht="21.75" customHeight="1">
      <c r="A7" s="505"/>
      <c r="B7" s="506" t="s">
        <v>476</v>
      </c>
      <c r="C7" s="507">
        <f>+C8+C79</f>
        <v>1136041</v>
      </c>
      <c r="D7" s="507">
        <f>SUM(E7:AA7)</f>
        <v>992861</v>
      </c>
      <c r="E7" s="507">
        <f t="shared" ref="E7:AB7" si="0">+E8+E79</f>
        <v>11502</v>
      </c>
      <c r="F7" s="507">
        <f t="shared" si="0"/>
        <v>6141</v>
      </c>
      <c r="G7" s="507">
        <f t="shared" si="0"/>
        <v>10464</v>
      </c>
      <c r="H7" s="507">
        <f t="shared" si="0"/>
        <v>7847</v>
      </c>
      <c r="I7" s="507">
        <f t="shared" si="0"/>
        <v>1876</v>
      </c>
      <c r="J7" s="507">
        <f t="shared" si="0"/>
        <v>12749</v>
      </c>
      <c r="K7" s="507">
        <f t="shared" si="0"/>
        <v>1235</v>
      </c>
      <c r="L7" s="507">
        <f t="shared" si="0"/>
        <v>992</v>
      </c>
      <c r="M7" s="507">
        <f t="shared" si="0"/>
        <v>4372</v>
      </c>
      <c r="N7" s="507">
        <f t="shared" si="0"/>
        <v>793</v>
      </c>
      <c r="O7" s="507">
        <f t="shared" si="0"/>
        <v>4573</v>
      </c>
      <c r="P7" s="507">
        <f t="shared" si="0"/>
        <v>73699</v>
      </c>
      <c r="Q7" s="507">
        <f t="shared" si="0"/>
        <v>875</v>
      </c>
      <c r="R7" s="507">
        <f t="shared" si="0"/>
        <v>1239</v>
      </c>
      <c r="S7" s="507">
        <f t="shared" si="0"/>
        <v>636556</v>
      </c>
      <c r="T7" s="507">
        <f t="shared" si="0"/>
        <v>907</v>
      </c>
      <c r="U7" s="507">
        <f t="shared" si="0"/>
        <v>3799</v>
      </c>
      <c r="V7" s="507">
        <f t="shared" si="0"/>
        <v>9064</v>
      </c>
      <c r="W7" s="507">
        <f t="shared" si="0"/>
        <v>6035</v>
      </c>
      <c r="X7" s="507">
        <f t="shared" si="0"/>
        <v>1900</v>
      </c>
      <c r="Y7" s="507">
        <f t="shared" si="0"/>
        <v>4500</v>
      </c>
      <c r="Z7" s="507">
        <f t="shared" si="0"/>
        <v>135062</v>
      </c>
      <c r="AA7" s="507">
        <f t="shared" si="0"/>
        <v>56681</v>
      </c>
      <c r="AB7" s="507">
        <f t="shared" si="0"/>
        <v>143180</v>
      </c>
      <c r="AC7" s="560">
        <f>1075691+5000+52351-1+3000</f>
        <v>1136041</v>
      </c>
      <c r="AD7" s="560">
        <f>C7-AC7</f>
        <v>0</v>
      </c>
    </row>
    <row r="8" spans="1:36" s="508" customFormat="1" ht="21.75" customHeight="1">
      <c r="A8" s="509" t="s">
        <v>8</v>
      </c>
      <c r="B8" s="506" t="s">
        <v>477</v>
      </c>
      <c r="C8" s="507">
        <f>C9+C13+C78</f>
        <v>1034061</v>
      </c>
      <c r="D8" s="507">
        <f>SUM(E8:AA8)</f>
        <v>894129</v>
      </c>
      <c r="E8" s="507">
        <f t="shared" ref="E8:AB8" si="1">E9+E13+E78</f>
        <v>11502</v>
      </c>
      <c r="F8" s="507">
        <f t="shared" si="1"/>
        <v>6141</v>
      </c>
      <c r="G8" s="507">
        <f t="shared" si="1"/>
        <v>10464</v>
      </c>
      <c r="H8" s="507">
        <f t="shared" si="1"/>
        <v>7357</v>
      </c>
      <c r="I8" s="507">
        <f t="shared" si="1"/>
        <v>1876</v>
      </c>
      <c r="J8" s="507">
        <f t="shared" si="1"/>
        <v>12749</v>
      </c>
      <c r="K8" s="507">
        <f t="shared" si="1"/>
        <v>1235</v>
      </c>
      <c r="L8" s="507">
        <f t="shared" si="1"/>
        <v>992</v>
      </c>
      <c r="M8" s="507">
        <f t="shared" si="1"/>
        <v>4181</v>
      </c>
      <c r="N8" s="507">
        <f t="shared" si="1"/>
        <v>793</v>
      </c>
      <c r="O8" s="507">
        <f t="shared" si="1"/>
        <v>4573</v>
      </c>
      <c r="P8" s="507">
        <f t="shared" si="1"/>
        <v>73699</v>
      </c>
      <c r="Q8" s="507">
        <f t="shared" si="1"/>
        <v>875</v>
      </c>
      <c r="R8" s="507">
        <f t="shared" si="1"/>
        <v>1239</v>
      </c>
      <c r="S8" s="507">
        <f t="shared" si="1"/>
        <v>636556</v>
      </c>
      <c r="T8" s="507">
        <f t="shared" si="1"/>
        <v>907</v>
      </c>
      <c r="U8" s="507">
        <f t="shared" si="1"/>
        <v>3799</v>
      </c>
      <c r="V8" s="507">
        <f t="shared" si="1"/>
        <v>9064</v>
      </c>
      <c r="W8" s="507">
        <f t="shared" si="1"/>
        <v>6035</v>
      </c>
      <c r="X8" s="507">
        <f t="shared" si="1"/>
        <v>1900</v>
      </c>
      <c r="Y8" s="507">
        <f t="shared" si="1"/>
        <v>4500</v>
      </c>
      <c r="Z8" s="507">
        <f t="shared" si="1"/>
        <v>37486</v>
      </c>
      <c r="AA8" s="507">
        <f t="shared" si="1"/>
        <v>56206</v>
      </c>
      <c r="AB8" s="507">
        <f t="shared" si="1"/>
        <v>139932</v>
      </c>
      <c r="AC8" s="560"/>
      <c r="AD8" s="560"/>
      <c r="AF8" s="508">
        <v>890745</v>
      </c>
      <c r="AG8" s="508">
        <f t="shared" ref="AG8:AG71" si="2">D8-AF8</f>
        <v>3384</v>
      </c>
      <c r="AI8" s="508">
        <v>140316</v>
      </c>
      <c r="AJ8" s="508">
        <f t="shared" ref="AJ8:AJ71" si="3">AB8-AI8</f>
        <v>-384</v>
      </c>
    </row>
    <row r="9" spans="1:36" s="508" customFormat="1" ht="22.5" customHeight="1">
      <c r="A9" s="496" t="s">
        <v>18</v>
      </c>
      <c r="B9" s="510" t="s">
        <v>22</v>
      </c>
      <c r="C9" s="484">
        <f>SUM(C10:C12)</f>
        <v>41932</v>
      </c>
      <c r="D9" s="484">
        <f t="shared" ref="D9:D52" si="4">SUM(E9:AA9)</f>
        <v>38692</v>
      </c>
      <c r="E9" s="484">
        <f t="shared" ref="E9:AB9" si="5">SUM(E10:E12)</f>
        <v>0</v>
      </c>
      <c r="F9" s="484">
        <f t="shared" si="5"/>
        <v>0</v>
      </c>
      <c r="G9" s="484">
        <f t="shared" si="5"/>
        <v>0</v>
      </c>
      <c r="H9" s="484">
        <f t="shared" si="5"/>
        <v>0</v>
      </c>
      <c r="I9" s="484">
        <f t="shared" si="5"/>
        <v>0</v>
      </c>
      <c r="J9" s="484">
        <f t="shared" si="5"/>
        <v>0</v>
      </c>
      <c r="K9" s="484">
        <f t="shared" si="5"/>
        <v>0</v>
      </c>
      <c r="L9" s="484">
        <f t="shared" si="5"/>
        <v>0</v>
      </c>
      <c r="M9" s="484">
        <f t="shared" si="5"/>
        <v>0</v>
      </c>
      <c r="N9" s="484">
        <f t="shared" si="5"/>
        <v>0</v>
      </c>
      <c r="O9" s="484">
        <f t="shared" si="5"/>
        <v>0</v>
      </c>
      <c r="P9" s="484">
        <f t="shared" si="5"/>
        <v>0</v>
      </c>
      <c r="Q9" s="484">
        <f t="shared" si="5"/>
        <v>0</v>
      </c>
      <c r="R9" s="484">
        <f t="shared" si="5"/>
        <v>0</v>
      </c>
      <c r="S9" s="484">
        <f t="shared" si="5"/>
        <v>0</v>
      </c>
      <c r="T9" s="484">
        <f t="shared" si="5"/>
        <v>0</v>
      </c>
      <c r="U9" s="484">
        <f t="shared" si="5"/>
        <v>0</v>
      </c>
      <c r="V9" s="484">
        <f t="shared" si="5"/>
        <v>0</v>
      </c>
      <c r="W9" s="484">
        <f t="shared" si="5"/>
        <v>0</v>
      </c>
      <c r="X9" s="484">
        <f t="shared" si="5"/>
        <v>0</v>
      </c>
      <c r="Y9" s="484">
        <f t="shared" si="5"/>
        <v>0</v>
      </c>
      <c r="Z9" s="484">
        <f t="shared" si="5"/>
        <v>37486</v>
      </c>
      <c r="AA9" s="484">
        <f t="shared" si="5"/>
        <v>1206</v>
      </c>
      <c r="AB9" s="484">
        <f t="shared" si="5"/>
        <v>3240</v>
      </c>
      <c r="AC9" s="560">
        <f>34732+(5000*90%)+(3000*90%)</f>
        <v>41932</v>
      </c>
      <c r="AD9" s="560">
        <f>C9-AC9</f>
        <v>0</v>
      </c>
      <c r="AF9" s="508">
        <v>36532</v>
      </c>
      <c r="AG9" s="508">
        <f t="shared" si="2"/>
        <v>2160</v>
      </c>
      <c r="AI9" s="508">
        <v>2700</v>
      </c>
      <c r="AJ9" s="508">
        <f t="shared" si="3"/>
        <v>540</v>
      </c>
    </row>
    <row r="10" spans="1:36" ht="21" customHeight="1">
      <c r="A10" s="511">
        <v>1</v>
      </c>
      <c r="B10" s="512" t="s">
        <v>478</v>
      </c>
      <c r="C10" s="484">
        <f>D10+AB10</f>
        <v>24526</v>
      </c>
      <c r="D10" s="484">
        <f t="shared" si="4"/>
        <v>24526</v>
      </c>
      <c r="E10" s="513"/>
      <c r="F10" s="513"/>
      <c r="G10" s="513"/>
      <c r="H10" s="513"/>
      <c r="I10" s="513"/>
      <c r="J10" s="513"/>
      <c r="K10" s="513"/>
      <c r="L10" s="513"/>
      <c r="M10" s="513"/>
      <c r="N10" s="513"/>
      <c r="O10" s="513"/>
      <c r="P10" s="513"/>
      <c r="Q10" s="513"/>
      <c r="R10" s="513"/>
      <c r="S10" s="513"/>
      <c r="T10" s="513"/>
      <c r="U10" s="513"/>
      <c r="V10" s="513"/>
      <c r="W10" s="513"/>
      <c r="X10" s="513"/>
      <c r="Y10" s="513"/>
      <c r="Z10" s="513">
        <v>24526</v>
      </c>
      <c r="AA10" s="513"/>
      <c r="AB10" s="513"/>
      <c r="AF10" s="198">
        <v>24526</v>
      </c>
      <c r="AG10" s="508">
        <f t="shared" si="2"/>
        <v>0</v>
      </c>
      <c r="AJ10" s="508">
        <f t="shared" si="3"/>
        <v>0</v>
      </c>
    </row>
    <row r="11" spans="1:36" ht="21" customHeight="1">
      <c r="A11" s="511">
        <v>2</v>
      </c>
      <c r="B11" s="512" t="s">
        <v>23</v>
      </c>
      <c r="C11" s="484">
        <f>D11+AB11</f>
        <v>16200</v>
      </c>
      <c r="D11" s="484">
        <f t="shared" si="4"/>
        <v>12960</v>
      </c>
      <c r="E11" s="513"/>
      <c r="F11" s="513"/>
      <c r="G11" s="513"/>
      <c r="H11" s="513"/>
      <c r="I11" s="513"/>
      <c r="J11" s="513"/>
      <c r="K11" s="513"/>
      <c r="L11" s="513"/>
      <c r="M11" s="513"/>
      <c r="N11" s="513"/>
      <c r="O11" s="513"/>
      <c r="P11" s="513"/>
      <c r="Q11" s="513"/>
      <c r="R11" s="513"/>
      <c r="S11" s="513"/>
      <c r="T11" s="513"/>
      <c r="U11" s="513"/>
      <c r="V11" s="513"/>
      <c r="W11" s="513"/>
      <c r="X11" s="513"/>
      <c r="Y11" s="513"/>
      <c r="Z11" s="569">
        <f>'Thu 2024'!F30*80%*90%</f>
        <v>12960</v>
      </c>
      <c r="AA11" s="513"/>
      <c r="AB11" s="569">
        <f>+'Chi xã,TT 2025'!C19</f>
        <v>3240</v>
      </c>
      <c r="AF11" s="198">
        <v>10800</v>
      </c>
      <c r="AG11" s="508">
        <f t="shared" si="2"/>
        <v>2160</v>
      </c>
      <c r="AI11" s="198">
        <v>2700</v>
      </c>
      <c r="AJ11" s="508">
        <f t="shared" si="3"/>
        <v>540</v>
      </c>
    </row>
    <row r="12" spans="1:36" ht="28.5" customHeight="1">
      <c r="A12" s="511">
        <v>3</v>
      </c>
      <c r="B12" s="515" t="s">
        <v>792</v>
      </c>
      <c r="C12" s="484">
        <f>D12+AB12</f>
        <v>1206</v>
      </c>
      <c r="D12" s="484">
        <f t="shared" si="4"/>
        <v>1206</v>
      </c>
      <c r="E12" s="513"/>
      <c r="F12" s="513"/>
      <c r="G12" s="513"/>
      <c r="H12" s="513"/>
      <c r="I12" s="513"/>
      <c r="J12" s="513"/>
      <c r="K12" s="513"/>
      <c r="L12" s="513"/>
      <c r="M12" s="513"/>
      <c r="N12" s="513"/>
      <c r="O12" s="513"/>
      <c r="P12" s="513"/>
      <c r="Q12" s="513"/>
      <c r="R12" s="513"/>
      <c r="S12" s="513"/>
      <c r="T12" s="513"/>
      <c r="U12" s="513"/>
      <c r="V12" s="513"/>
      <c r="W12" s="513"/>
      <c r="X12" s="513"/>
      <c r="Y12" s="513"/>
      <c r="Z12" s="513"/>
      <c r="AA12" s="513">
        <v>1206</v>
      </c>
      <c r="AB12" s="513"/>
      <c r="AF12" s="198">
        <v>1206</v>
      </c>
      <c r="AG12" s="508">
        <f t="shared" si="2"/>
        <v>0</v>
      </c>
      <c r="AJ12" s="508">
        <f t="shared" si="3"/>
        <v>0</v>
      </c>
    </row>
    <row r="13" spans="1:36" ht="21.75" customHeight="1">
      <c r="A13" s="496" t="s">
        <v>19</v>
      </c>
      <c r="B13" s="510" t="s">
        <v>24</v>
      </c>
      <c r="C13" s="484">
        <f>C28+C29+C14+C30+C27+C31+C32+C33+C69+C35+C34+C53+C75</f>
        <v>971444</v>
      </c>
      <c r="D13" s="484">
        <f>SUM(E13:AA13)</f>
        <v>837561</v>
      </c>
      <c r="E13" s="484">
        <f t="shared" ref="E13:AA13" si="6">E28+E29+E14+E30+E27+E31+E32+E33+E69+E35+E34+E53+E75</f>
        <v>11502</v>
      </c>
      <c r="F13" s="484">
        <f t="shared" si="6"/>
        <v>6141</v>
      </c>
      <c r="G13" s="484">
        <f t="shared" si="6"/>
        <v>10464</v>
      </c>
      <c r="H13" s="484">
        <f t="shared" si="6"/>
        <v>7357</v>
      </c>
      <c r="I13" s="484">
        <f t="shared" si="6"/>
        <v>1876</v>
      </c>
      <c r="J13" s="484">
        <f t="shared" si="6"/>
        <v>12749</v>
      </c>
      <c r="K13" s="484">
        <f t="shared" si="6"/>
        <v>1235</v>
      </c>
      <c r="L13" s="484">
        <f t="shared" si="6"/>
        <v>992</v>
      </c>
      <c r="M13" s="484">
        <f t="shared" si="6"/>
        <v>4181</v>
      </c>
      <c r="N13" s="484">
        <f t="shared" si="6"/>
        <v>793</v>
      </c>
      <c r="O13" s="484">
        <f t="shared" si="6"/>
        <v>4573</v>
      </c>
      <c r="P13" s="484">
        <f t="shared" si="6"/>
        <v>73699</v>
      </c>
      <c r="Q13" s="484">
        <f t="shared" si="6"/>
        <v>875</v>
      </c>
      <c r="R13" s="484">
        <f t="shared" si="6"/>
        <v>1239</v>
      </c>
      <c r="S13" s="484">
        <f t="shared" si="6"/>
        <v>636556</v>
      </c>
      <c r="T13" s="484">
        <f t="shared" si="6"/>
        <v>907</v>
      </c>
      <c r="U13" s="484">
        <f t="shared" si="6"/>
        <v>3799</v>
      </c>
      <c r="V13" s="484">
        <f t="shared" si="6"/>
        <v>9064</v>
      </c>
      <c r="W13" s="484">
        <f t="shared" si="6"/>
        <v>6035</v>
      </c>
      <c r="X13" s="484">
        <f t="shared" si="6"/>
        <v>1900</v>
      </c>
      <c r="Y13" s="484">
        <f t="shared" si="6"/>
        <v>4500</v>
      </c>
      <c r="Z13" s="484">
        <f t="shared" si="6"/>
        <v>0</v>
      </c>
      <c r="AA13" s="484">
        <f t="shared" si="6"/>
        <v>37124</v>
      </c>
      <c r="AB13" s="484">
        <f>AB28+AB29+AB14+AB30+AB27+AB31+AB32+AB33+AB69+AB35+AB34+AB53+AB75</f>
        <v>133883</v>
      </c>
      <c r="AC13" s="560">
        <f>970808+(5000*10%)+(3000*10%)</f>
        <v>971608</v>
      </c>
      <c r="AD13" s="560">
        <f>C13-AC13</f>
        <v>-164</v>
      </c>
      <c r="AF13" s="198">
        <v>836420</v>
      </c>
      <c r="AG13" s="508">
        <f t="shared" si="2"/>
        <v>1141</v>
      </c>
      <c r="AI13" s="198">
        <v>134786</v>
      </c>
      <c r="AJ13" s="508">
        <f t="shared" si="3"/>
        <v>-903</v>
      </c>
    </row>
    <row r="14" spans="1:36" s="489" customFormat="1" ht="18.75" customHeight="1">
      <c r="A14" s="496">
        <v>1</v>
      </c>
      <c r="B14" s="510" t="s">
        <v>479</v>
      </c>
      <c r="C14" s="484">
        <f>D14+AB14</f>
        <v>643985</v>
      </c>
      <c r="D14" s="484">
        <f>SUM(E14:AA14)</f>
        <v>642988</v>
      </c>
      <c r="E14" s="484">
        <f>E15+E24</f>
        <v>0</v>
      </c>
      <c r="F14" s="484">
        <f t="shared" ref="F14:Z14" si="7">F15+F24</f>
        <v>0</v>
      </c>
      <c r="G14" s="484">
        <f t="shared" si="7"/>
        <v>0</v>
      </c>
      <c r="H14" s="484">
        <f t="shared" si="7"/>
        <v>0</v>
      </c>
      <c r="I14" s="484">
        <f t="shared" si="7"/>
        <v>0</v>
      </c>
      <c r="J14" s="484">
        <f t="shared" si="7"/>
        <v>0</v>
      </c>
      <c r="K14" s="484">
        <f t="shared" si="7"/>
        <v>0</v>
      </c>
      <c r="L14" s="484">
        <f t="shared" si="7"/>
        <v>0</v>
      </c>
      <c r="M14" s="484">
        <f t="shared" si="7"/>
        <v>0</v>
      </c>
      <c r="N14" s="484">
        <f t="shared" si="7"/>
        <v>0</v>
      </c>
      <c r="O14" s="484">
        <f t="shared" si="7"/>
        <v>1800</v>
      </c>
      <c r="P14" s="484">
        <f t="shared" si="7"/>
        <v>0</v>
      </c>
      <c r="Q14" s="484">
        <f t="shared" si="7"/>
        <v>0</v>
      </c>
      <c r="R14" s="484">
        <f t="shared" si="7"/>
        <v>0</v>
      </c>
      <c r="S14" s="484">
        <f>S15+S24</f>
        <v>634459</v>
      </c>
      <c r="T14" s="484">
        <f t="shared" si="7"/>
        <v>907</v>
      </c>
      <c r="U14" s="484">
        <f t="shared" si="7"/>
        <v>3799</v>
      </c>
      <c r="V14" s="484">
        <f t="shared" si="7"/>
        <v>0</v>
      </c>
      <c r="W14" s="484">
        <f t="shared" si="7"/>
        <v>0</v>
      </c>
      <c r="X14" s="484">
        <f t="shared" si="7"/>
        <v>0</v>
      </c>
      <c r="Y14" s="484">
        <f t="shared" si="7"/>
        <v>0</v>
      </c>
      <c r="Z14" s="484">
        <f t="shared" si="7"/>
        <v>0</v>
      </c>
      <c r="AA14" s="484">
        <f>AA15+AA24</f>
        <v>2023</v>
      </c>
      <c r="AB14" s="484">
        <f>AB15+AB24</f>
        <v>997</v>
      </c>
      <c r="AC14" s="534"/>
      <c r="AD14" s="534"/>
      <c r="AF14" s="489">
        <v>643434</v>
      </c>
      <c r="AG14" s="567">
        <f t="shared" si="2"/>
        <v>-446</v>
      </c>
      <c r="AI14" s="489">
        <v>551</v>
      </c>
      <c r="AJ14" s="567">
        <f t="shared" si="3"/>
        <v>446</v>
      </c>
    </row>
    <row r="15" spans="1:36" ht="18.75" customHeight="1">
      <c r="A15" s="511" t="s">
        <v>524</v>
      </c>
      <c r="B15" s="512" t="s">
        <v>363</v>
      </c>
      <c r="C15" s="484">
        <f t="shared" ref="C15:C34" si="8">D15+AB15</f>
        <v>636259</v>
      </c>
      <c r="D15" s="484">
        <f t="shared" si="4"/>
        <v>636259</v>
      </c>
      <c r="E15" s="513"/>
      <c r="F15" s="513"/>
      <c r="G15" s="513"/>
      <c r="H15" s="513"/>
      <c r="I15" s="513"/>
      <c r="J15" s="513"/>
      <c r="K15" s="513"/>
      <c r="L15" s="513"/>
      <c r="M15" s="513"/>
      <c r="N15" s="513"/>
      <c r="O15" s="513">
        <f>O23</f>
        <v>1800</v>
      </c>
      <c r="P15" s="513"/>
      <c r="Q15" s="513"/>
      <c r="R15" s="513"/>
      <c r="S15" s="513">
        <f>636259-O15</f>
        <v>634459</v>
      </c>
      <c r="T15" s="513"/>
      <c r="U15" s="513"/>
      <c r="V15" s="513"/>
      <c r="W15" s="513"/>
      <c r="X15" s="513"/>
      <c r="Y15" s="513"/>
      <c r="Z15" s="513"/>
      <c r="AA15" s="513"/>
      <c r="AB15" s="484"/>
      <c r="AF15" s="198">
        <v>636259</v>
      </c>
      <c r="AG15" s="508">
        <f t="shared" si="2"/>
        <v>0</v>
      </c>
      <c r="AJ15" s="508">
        <f t="shared" si="3"/>
        <v>0</v>
      </c>
    </row>
    <row r="16" spans="1:36" ht="18.75" customHeight="1">
      <c r="A16" s="511"/>
      <c r="B16" s="516" t="s">
        <v>480</v>
      </c>
      <c r="C16" s="484">
        <f t="shared" si="8"/>
        <v>9571</v>
      </c>
      <c r="D16" s="484">
        <f t="shared" si="4"/>
        <v>9571</v>
      </c>
      <c r="E16" s="513"/>
      <c r="F16" s="513"/>
      <c r="G16" s="513"/>
      <c r="H16" s="513"/>
      <c r="I16" s="513"/>
      <c r="J16" s="513"/>
      <c r="K16" s="513"/>
      <c r="L16" s="513"/>
      <c r="M16" s="513"/>
      <c r="N16" s="513"/>
      <c r="O16" s="513"/>
      <c r="P16" s="513"/>
      <c r="Q16" s="513"/>
      <c r="R16" s="513"/>
      <c r="S16" s="569">
        <v>9571</v>
      </c>
      <c r="T16" s="513"/>
      <c r="U16" s="513"/>
      <c r="V16" s="513"/>
      <c r="W16" s="513"/>
      <c r="X16" s="513"/>
      <c r="Y16" s="513"/>
      <c r="Z16" s="513"/>
      <c r="AA16" s="513"/>
      <c r="AB16" s="484"/>
      <c r="AF16" s="198">
        <v>0</v>
      </c>
      <c r="AG16" s="508">
        <f t="shared" si="2"/>
        <v>9571</v>
      </c>
      <c r="AJ16" s="508">
        <f t="shared" si="3"/>
        <v>0</v>
      </c>
    </row>
    <row r="17" spans="1:37" ht="17.25" customHeight="1">
      <c r="A17" s="511"/>
      <c r="B17" s="516" t="s">
        <v>481</v>
      </c>
      <c r="C17" s="484">
        <f t="shared" si="8"/>
        <v>28586</v>
      </c>
      <c r="D17" s="484">
        <f t="shared" si="4"/>
        <v>28586</v>
      </c>
      <c r="E17" s="513"/>
      <c r="F17" s="513"/>
      <c r="G17" s="513"/>
      <c r="H17" s="513"/>
      <c r="I17" s="513"/>
      <c r="J17" s="513"/>
      <c r="K17" s="513"/>
      <c r="L17" s="513"/>
      <c r="M17" s="513"/>
      <c r="N17" s="513"/>
      <c r="O17" s="513"/>
      <c r="P17" s="513"/>
      <c r="Q17" s="513"/>
      <c r="R17" s="513"/>
      <c r="S17" s="569">
        <f>+S18+S19</f>
        <v>28586</v>
      </c>
      <c r="T17" s="513"/>
      <c r="U17" s="513"/>
      <c r="V17" s="513"/>
      <c r="W17" s="513"/>
      <c r="X17" s="513"/>
      <c r="Y17" s="513"/>
      <c r="Z17" s="513"/>
      <c r="AA17" s="513"/>
      <c r="AB17" s="484"/>
      <c r="AF17" s="198">
        <v>0</v>
      </c>
      <c r="AG17" s="508">
        <f t="shared" si="2"/>
        <v>28586</v>
      </c>
      <c r="AJ17" s="508">
        <f t="shared" si="3"/>
        <v>0</v>
      </c>
    </row>
    <row r="18" spans="1:37" ht="17.25" customHeight="1">
      <c r="A18" s="511"/>
      <c r="B18" s="516" t="s">
        <v>482</v>
      </c>
      <c r="C18" s="484">
        <f t="shared" si="8"/>
        <v>26899</v>
      </c>
      <c r="D18" s="484">
        <f t="shared" si="4"/>
        <v>26899</v>
      </c>
      <c r="E18" s="513"/>
      <c r="F18" s="513"/>
      <c r="G18" s="513"/>
      <c r="H18" s="513"/>
      <c r="I18" s="513"/>
      <c r="J18" s="513"/>
      <c r="K18" s="513"/>
      <c r="L18" s="513"/>
      <c r="M18" s="513"/>
      <c r="N18" s="513"/>
      <c r="O18" s="513"/>
      <c r="P18" s="513"/>
      <c r="Q18" s="513"/>
      <c r="R18" s="513"/>
      <c r="S18" s="569">
        <v>26899</v>
      </c>
      <c r="T18" s="513"/>
      <c r="U18" s="513"/>
      <c r="V18" s="513"/>
      <c r="W18" s="513"/>
      <c r="X18" s="513"/>
      <c r="Y18" s="513"/>
      <c r="Z18" s="513"/>
      <c r="AA18" s="513"/>
      <c r="AB18" s="484"/>
      <c r="AF18" s="198">
        <v>0</v>
      </c>
      <c r="AG18" s="508">
        <f t="shared" si="2"/>
        <v>26899</v>
      </c>
      <c r="AJ18" s="508">
        <f t="shared" si="3"/>
        <v>0</v>
      </c>
    </row>
    <row r="19" spans="1:37" ht="17.25" customHeight="1">
      <c r="A19" s="511"/>
      <c r="B19" s="516" t="s">
        <v>483</v>
      </c>
      <c r="C19" s="484">
        <f t="shared" si="8"/>
        <v>1687</v>
      </c>
      <c r="D19" s="484">
        <f t="shared" si="4"/>
        <v>1687</v>
      </c>
      <c r="E19" s="513"/>
      <c r="F19" s="513"/>
      <c r="G19" s="513"/>
      <c r="H19" s="513"/>
      <c r="I19" s="513"/>
      <c r="J19" s="513"/>
      <c r="K19" s="513"/>
      <c r="L19" s="513"/>
      <c r="M19" s="513"/>
      <c r="N19" s="513"/>
      <c r="O19" s="513"/>
      <c r="P19" s="513"/>
      <c r="Q19" s="513"/>
      <c r="R19" s="513"/>
      <c r="S19" s="569">
        <v>1687</v>
      </c>
      <c r="T19" s="513"/>
      <c r="U19" s="513"/>
      <c r="V19" s="513"/>
      <c r="W19" s="513"/>
      <c r="X19" s="513"/>
      <c r="Y19" s="513"/>
      <c r="Z19" s="513"/>
      <c r="AA19" s="513"/>
      <c r="AB19" s="484"/>
      <c r="AF19" s="198">
        <v>0</v>
      </c>
      <c r="AG19" s="508">
        <f t="shared" si="2"/>
        <v>1687</v>
      </c>
      <c r="AJ19" s="508">
        <f t="shared" si="3"/>
        <v>0</v>
      </c>
    </row>
    <row r="20" spans="1:37" ht="28.5" customHeight="1">
      <c r="A20" s="511"/>
      <c r="B20" s="515" t="s">
        <v>484</v>
      </c>
      <c r="C20" s="484">
        <f t="shared" si="8"/>
        <v>40823</v>
      </c>
      <c r="D20" s="484">
        <f t="shared" si="4"/>
        <v>40823</v>
      </c>
      <c r="E20" s="513"/>
      <c r="F20" s="513"/>
      <c r="G20" s="513"/>
      <c r="H20" s="513"/>
      <c r="I20" s="513"/>
      <c r="J20" s="513"/>
      <c r="K20" s="513"/>
      <c r="L20" s="513"/>
      <c r="M20" s="513"/>
      <c r="N20" s="513"/>
      <c r="O20" s="513"/>
      <c r="P20" s="513"/>
      <c r="Q20" s="513"/>
      <c r="R20" s="513"/>
      <c r="S20" s="569">
        <v>40823</v>
      </c>
      <c r="T20" s="513"/>
      <c r="U20" s="513"/>
      <c r="V20" s="513"/>
      <c r="W20" s="513"/>
      <c r="X20" s="513"/>
      <c r="Y20" s="513"/>
      <c r="Z20" s="513"/>
      <c r="AA20" s="513"/>
      <c r="AB20" s="484"/>
      <c r="AF20" s="198">
        <v>0</v>
      </c>
      <c r="AG20" s="508">
        <f t="shared" si="2"/>
        <v>40823</v>
      </c>
      <c r="AJ20" s="508">
        <f t="shared" si="3"/>
        <v>0</v>
      </c>
    </row>
    <row r="21" spans="1:37" ht="30.75" customHeight="1">
      <c r="A21" s="511"/>
      <c r="B21" s="515" t="s">
        <v>485</v>
      </c>
      <c r="C21" s="484">
        <f t="shared" si="8"/>
        <v>34</v>
      </c>
      <c r="D21" s="484">
        <f t="shared" si="4"/>
        <v>34</v>
      </c>
      <c r="E21" s="513"/>
      <c r="F21" s="513"/>
      <c r="G21" s="513"/>
      <c r="H21" s="513"/>
      <c r="I21" s="513"/>
      <c r="J21" s="513"/>
      <c r="K21" s="513"/>
      <c r="L21" s="513"/>
      <c r="M21" s="513"/>
      <c r="N21" s="513"/>
      <c r="O21" s="513"/>
      <c r="P21" s="513"/>
      <c r="Q21" s="513"/>
      <c r="R21" s="513"/>
      <c r="S21" s="569">
        <v>34</v>
      </c>
      <c r="T21" s="513"/>
      <c r="U21" s="513"/>
      <c r="V21" s="513"/>
      <c r="W21" s="513"/>
      <c r="X21" s="513"/>
      <c r="Y21" s="513"/>
      <c r="Z21" s="513"/>
      <c r="AA21" s="513"/>
      <c r="AB21" s="484"/>
      <c r="AF21" s="198">
        <v>0</v>
      </c>
      <c r="AG21" s="508">
        <f t="shared" si="2"/>
        <v>34</v>
      </c>
      <c r="AJ21" s="508">
        <f t="shared" si="3"/>
        <v>0</v>
      </c>
    </row>
    <row r="22" spans="1:37" ht="17.25" customHeight="1">
      <c r="A22" s="511"/>
      <c r="B22" s="516" t="s">
        <v>486</v>
      </c>
      <c r="C22" s="484">
        <f t="shared" si="8"/>
        <v>6369</v>
      </c>
      <c r="D22" s="484">
        <f t="shared" si="4"/>
        <v>6369</v>
      </c>
      <c r="E22" s="513"/>
      <c r="F22" s="513"/>
      <c r="G22" s="513"/>
      <c r="H22" s="513"/>
      <c r="I22" s="513"/>
      <c r="J22" s="513"/>
      <c r="K22" s="513"/>
      <c r="L22" s="513"/>
      <c r="M22" s="513"/>
      <c r="N22" s="513"/>
      <c r="O22" s="513"/>
      <c r="P22" s="513"/>
      <c r="Q22" s="513"/>
      <c r="R22" s="513"/>
      <c r="S22" s="569">
        <v>6369</v>
      </c>
      <c r="T22" s="513"/>
      <c r="U22" s="513"/>
      <c r="V22" s="513"/>
      <c r="W22" s="513"/>
      <c r="X22" s="513"/>
      <c r="Y22" s="513"/>
      <c r="Z22" s="513"/>
      <c r="AA22" s="513"/>
      <c r="AB22" s="484"/>
      <c r="AF22" s="198">
        <v>0</v>
      </c>
      <c r="AG22" s="508">
        <f t="shared" si="2"/>
        <v>6369</v>
      </c>
      <c r="AJ22" s="508">
        <f t="shared" si="3"/>
        <v>0</v>
      </c>
    </row>
    <row r="23" spans="1:37" ht="18.75" customHeight="1">
      <c r="A23" s="511"/>
      <c r="B23" s="512" t="s">
        <v>487</v>
      </c>
      <c r="C23" s="484">
        <f t="shared" si="8"/>
        <v>1800</v>
      </c>
      <c r="D23" s="484">
        <f t="shared" si="4"/>
        <v>1800</v>
      </c>
      <c r="E23" s="513"/>
      <c r="F23" s="513"/>
      <c r="G23" s="513"/>
      <c r="H23" s="513"/>
      <c r="I23" s="513"/>
      <c r="J23" s="513"/>
      <c r="K23" s="513"/>
      <c r="L23" s="513"/>
      <c r="M23" s="513"/>
      <c r="N23" s="513"/>
      <c r="O23" s="513">
        <v>1800</v>
      </c>
      <c r="P23" s="513"/>
      <c r="Q23" s="513"/>
      <c r="R23" s="513"/>
      <c r="S23" s="513"/>
      <c r="T23" s="513"/>
      <c r="U23" s="513"/>
      <c r="V23" s="513"/>
      <c r="W23" s="513"/>
      <c r="X23" s="513"/>
      <c r="Y23" s="513"/>
      <c r="Z23" s="513"/>
      <c r="AA23" s="513"/>
      <c r="AB23" s="484"/>
      <c r="AF23" s="198">
        <v>1800</v>
      </c>
      <c r="AG23" s="508">
        <f t="shared" si="2"/>
        <v>0</v>
      </c>
      <c r="AJ23" s="508">
        <f t="shared" si="3"/>
        <v>0</v>
      </c>
    </row>
    <row r="24" spans="1:37" ht="23.25" customHeight="1">
      <c r="A24" s="511" t="s">
        <v>525</v>
      </c>
      <c r="B24" s="512" t="s">
        <v>249</v>
      </c>
      <c r="C24" s="484">
        <f t="shared" si="8"/>
        <v>7726</v>
      </c>
      <c r="D24" s="484">
        <f t="shared" si="4"/>
        <v>6729</v>
      </c>
      <c r="E24" s="513"/>
      <c r="F24" s="513"/>
      <c r="G24" s="513"/>
      <c r="H24" s="513"/>
      <c r="I24" s="513"/>
      <c r="J24" s="513"/>
      <c r="K24" s="513"/>
      <c r="L24" s="513"/>
      <c r="M24" s="513"/>
      <c r="N24" s="513"/>
      <c r="O24" s="513"/>
      <c r="P24" s="513"/>
      <c r="Q24" s="513"/>
      <c r="R24" s="513"/>
      <c r="S24" s="513"/>
      <c r="T24" s="513">
        <f>393+500+14</f>
        <v>907</v>
      </c>
      <c r="U24" s="513">
        <f>3389+200+51+159</f>
        <v>3799</v>
      </c>
      <c r="V24" s="513"/>
      <c r="W24" s="513"/>
      <c r="X24" s="513"/>
      <c r="Y24" s="513"/>
      <c r="Z24" s="513"/>
      <c r="AA24" s="513">
        <f>7726-T24-U24-AB24</f>
        <v>2023</v>
      </c>
      <c r="AB24" s="513">
        <f>+'Chi xã,TT 2025'!C25</f>
        <v>997</v>
      </c>
      <c r="AF24" s="198">
        <v>7175</v>
      </c>
      <c r="AG24" s="567">
        <f>D24-AF24</f>
        <v>-446</v>
      </c>
      <c r="AI24" s="198">
        <v>551</v>
      </c>
      <c r="AJ24" s="567">
        <f t="shared" si="3"/>
        <v>446</v>
      </c>
      <c r="AK24" s="198" t="s">
        <v>806</v>
      </c>
    </row>
    <row r="25" spans="1:37" ht="21.6" customHeight="1">
      <c r="A25" s="511"/>
      <c r="B25" s="515" t="s">
        <v>488</v>
      </c>
      <c r="C25" s="484">
        <f t="shared" si="8"/>
        <v>0</v>
      </c>
      <c r="D25" s="484">
        <f t="shared" si="4"/>
        <v>0</v>
      </c>
      <c r="E25" s="513"/>
      <c r="F25" s="513"/>
      <c r="G25" s="513"/>
      <c r="H25" s="513"/>
      <c r="I25" s="513"/>
      <c r="J25" s="513"/>
      <c r="K25" s="513"/>
      <c r="L25" s="513"/>
      <c r="M25" s="513"/>
      <c r="N25" s="513"/>
      <c r="O25" s="513"/>
      <c r="P25" s="513"/>
      <c r="Q25" s="513"/>
      <c r="R25" s="513"/>
      <c r="S25" s="513"/>
      <c r="T25" s="513"/>
      <c r="U25" s="569">
        <v>0</v>
      </c>
      <c r="V25" s="513"/>
      <c r="W25" s="513"/>
      <c r="X25" s="513"/>
      <c r="Y25" s="513"/>
      <c r="Z25" s="513"/>
      <c r="AA25" s="513"/>
      <c r="AB25" s="484"/>
      <c r="AF25" s="198">
        <v>0</v>
      </c>
      <c r="AG25" s="508">
        <f t="shared" si="2"/>
        <v>0</v>
      </c>
      <c r="AJ25" s="508">
        <f t="shared" si="3"/>
        <v>0</v>
      </c>
    </row>
    <row r="26" spans="1:37" ht="21.6" customHeight="1">
      <c r="A26" s="511"/>
      <c r="B26" s="515" t="s">
        <v>486</v>
      </c>
      <c r="C26" s="484">
        <f t="shared" si="8"/>
        <v>51</v>
      </c>
      <c r="D26" s="484">
        <f t="shared" si="4"/>
        <v>51</v>
      </c>
      <c r="E26" s="513"/>
      <c r="F26" s="513"/>
      <c r="G26" s="513"/>
      <c r="H26" s="513"/>
      <c r="I26" s="513"/>
      <c r="J26" s="513"/>
      <c r="K26" s="513"/>
      <c r="L26" s="513"/>
      <c r="M26" s="513"/>
      <c r="N26" s="513"/>
      <c r="O26" s="513"/>
      <c r="P26" s="513"/>
      <c r="Q26" s="513"/>
      <c r="R26" s="513"/>
      <c r="S26" s="513"/>
      <c r="T26" s="513"/>
      <c r="U26" s="569">
        <v>51</v>
      </c>
      <c r="V26" s="513"/>
      <c r="W26" s="513"/>
      <c r="X26" s="513"/>
      <c r="Y26" s="513"/>
      <c r="Z26" s="513"/>
      <c r="AA26" s="513"/>
      <c r="AB26" s="484"/>
      <c r="AF26" s="198">
        <v>0</v>
      </c>
      <c r="AG26" s="508">
        <f t="shared" si="2"/>
        <v>51</v>
      </c>
      <c r="AJ26" s="508">
        <f t="shared" si="3"/>
        <v>0</v>
      </c>
    </row>
    <row r="27" spans="1:37" s="489" customFormat="1" ht="18.75" customHeight="1">
      <c r="A27" s="496">
        <v>2</v>
      </c>
      <c r="B27" s="510" t="s">
        <v>372</v>
      </c>
      <c r="C27" s="484">
        <f t="shared" si="8"/>
        <v>0</v>
      </c>
      <c r="D27" s="484">
        <f t="shared" si="4"/>
        <v>0</v>
      </c>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534"/>
      <c r="AD27" s="534"/>
      <c r="AF27" s="489">
        <v>0</v>
      </c>
      <c r="AG27" s="567">
        <f t="shared" si="2"/>
        <v>0</v>
      </c>
      <c r="AJ27" s="567">
        <f t="shared" si="3"/>
        <v>0</v>
      </c>
    </row>
    <row r="28" spans="1:37" s="489" customFormat="1" ht="18.75" customHeight="1">
      <c r="A28" s="496">
        <v>3</v>
      </c>
      <c r="B28" s="510" t="s">
        <v>359</v>
      </c>
      <c r="C28" s="484">
        <f t="shared" si="8"/>
        <v>9789</v>
      </c>
      <c r="D28" s="484">
        <f t="shared" si="4"/>
        <v>4500</v>
      </c>
      <c r="E28" s="484"/>
      <c r="F28" s="484"/>
      <c r="G28" s="484"/>
      <c r="H28" s="484"/>
      <c r="I28" s="484"/>
      <c r="J28" s="484"/>
      <c r="K28" s="484"/>
      <c r="L28" s="484"/>
      <c r="M28" s="484"/>
      <c r="N28" s="484"/>
      <c r="O28" s="484"/>
      <c r="P28" s="484"/>
      <c r="Q28" s="484"/>
      <c r="R28" s="484"/>
      <c r="S28" s="484"/>
      <c r="T28" s="484"/>
      <c r="U28" s="484"/>
      <c r="V28" s="484"/>
      <c r="W28" s="484"/>
      <c r="X28" s="484"/>
      <c r="Y28" s="484">
        <v>4500</v>
      </c>
      <c r="Z28" s="484"/>
      <c r="AA28" s="484"/>
      <c r="AB28" s="484">
        <f>+'Chi xã,TT 2025'!C21</f>
        <v>5289</v>
      </c>
      <c r="AC28" s="534"/>
      <c r="AD28" s="534"/>
      <c r="AF28" s="489">
        <v>4500</v>
      </c>
      <c r="AG28" s="567">
        <f t="shared" si="2"/>
        <v>0</v>
      </c>
      <c r="AI28" s="489">
        <v>5813</v>
      </c>
      <c r="AJ28" s="567">
        <f t="shared" si="3"/>
        <v>-524</v>
      </c>
      <c r="AK28" s="489" t="str">
        <f>AK53</f>
        <v xml:space="preserve"> =&gt; kiểm tra, rà soát lại</v>
      </c>
    </row>
    <row r="29" spans="1:37" s="489" customFormat="1" ht="18.75" customHeight="1">
      <c r="A29" s="496">
        <v>4</v>
      </c>
      <c r="B29" s="510" t="s">
        <v>360</v>
      </c>
      <c r="C29" s="484">
        <f t="shared" si="8"/>
        <v>9244</v>
      </c>
      <c r="D29" s="484">
        <f t="shared" si="4"/>
        <v>1900</v>
      </c>
      <c r="E29" s="484"/>
      <c r="F29" s="484"/>
      <c r="G29" s="484"/>
      <c r="H29" s="484"/>
      <c r="I29" s="484"/>
      <c r="J29" s="484"/>
      <c r="K29" s="484"/>
      <c r="L29" s="484"/>
      <c r="M29" s="484"/>
      <c r="N29" s="484"/>
      <c r="O29" s="484"/>
      <c r="P29" s="484"/>
      <c r="Q29" s="484"/>
      <c r="R29" s="484"/>
      <c r="S29" s="484"/>
      <c r="T29" s="484"/>
      <c r="U29" s="484"/>
      <c r="V29" s="484"/>
      <c r="W29" s="484"/>
      <c r="X29" s="484">
        <v>1900</v>
      </c>
      <c r="Y29" s="484"/>
      <c r="Z29" s="484"/>
      <c r="AA29" s="484"/>
      <c r="AB29" s="484">
        <f>+'Chi xã,TT 2025'!C23</f>
        <v>7344</v>
      </c>
      <c r="AC29" s="534"/>
      <c r="AD29" s="534"/>
      <c r="AF29" s="489">
        <v>1900</v>
      </c>
      <c r="AG29" s="567">
        <f t="shared" si="2"/>
        <v>0</v>
      </c>
      <c r="AI29" s="489">
        <v>7344</v>
      </c>
      <c r="AJ29" s="567">
        <f t="shared" si="3"/>
        <v>0</v>
      </c>
    </row>
    <row r="30" spans="1:37" s="489" customFormat="1" ht="18.75" customHeight="1">
      <c r="A30" s="496">
        <v>5</v>
      </c>
      <c r="B30" s="510" t="s">
        <v>373</v>
      </c>
      <c r="C30" s="484">
        <f t="shared" si="8"/>
        <v>315</v>
      </c>
      <c r="D30" s="484">
        <f t="shared" si="4"/>
        <v>315</v>
      </c>
      <c r="E30" s="484">
        <v>315</v>
      </c>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534"/>
      <c r="AD30" s="534"/>
      <c r="AF30" s="489">
        <v>315</v>
      </c>
      <c r="AG30" s="567">
        <f t="shared" si="2"/>
        <v>0</v>
      </c>
      <c r="AJ30" s="567">
        <f t="shared" si="3"/>
        <v>0</v>
      </c>
    </row>
    <row r="31" spans="1:37" s="489" customFormat="1" ht="18.75" customHeight="1">
      <c r="A31" s="496">
        <v>6</v>
      </c>
      <c r="B31" s="510" t="s">
        <v>374</v>
      </c>
      <c r="C31" s="484">
        <f>D31+AB31</f>
        <v>4101</v>
      </c>
      <c r="D31" s="484">
        <f t="shared" si="4"/>
        <v>1876</v>
      </c>
      <c r="E31" s="484"/>
      <c r="F31" s="484"/>
      <c r="G31" s="484"/>
      <c r="H31" s="484"/>
      <c r="I31" s="484"/>
      <c r="J31" s="484"/>
      <c r="K31" s="484"/>
      <c r="L31" s="484"/>
      <c r="M31" s="484"/>
      <c r="N31" s="484"/>
      <c r="O31" s="484"/>
      <c r="P31" s="484"/>
      <c r="Q31" s="484"/>
      <c r="R31" s="484"/>
      <c r="S31" s="484"/>
      <c r="T31" s="484"/>
      <c r="U31" s="484"/>
      <c r="V31" s="484"/>
      <c r="W31" s="484">
        <f>1063+750+63</f>
        <v>1876</v>
      </c>
      <c r="X31" s="484"/>
      <c r="Y31" s="484"/>
      <c r="Z31" s="484"/>
      <c r="AA31" s="484"/>
      <c r="AB31" s="484">
        <f>+'Chi xã,TT 2025'!C26</f>
        <v>2225</v>
      </c>
      <c r="AC31" s="534"/>
      <c r="AD31" s="534"/>
      <c r="AF31" s="489">
        <v>1876</v>
      </c>
      <c r="AG31" s="567">
        <f t="shared" si="2"/>
        <v>0</v>
      </c>
      <c r="AI31" s="489">
        <v>2225</v>
      </c>
      <c r="AJ31" s="567">
        <f t="shared" si="3"/>
        <v>0</v>
      </c>
    </row>
    <row r="32" spans="1:37" s="489" customFormat="1" ht="18.75" customHeight="1">
      <c r="A32" s="496">
        <v>7</v>
      </c>
      <c r="B32" s="510" t="s">
        <v>375</v>
      </c>
      <c r="C32" s="484">
        <f t="shared" si="8"/>
        <v>3703</v>
      </c>
      <c r="D32" s="484">
        <f t="shared" si="4"/>
        <v>3418</v>
      </c>
      <c r="E32" s="484"/>
      <c r="F32" s="484"/>
      <c r="G32" s="484"/>
      <c r="H32" s="484"/>
      <c r="I32" s="484"/>
      <c r="J32" s="484"/>
      <c r="K32" s="484"/>
      <c r="L32" s="484"/>
      <c r="M32" s="484"/>
      <c r="N32" s="484"/>
      <c r="O32" s="484"/>
      <c r="P32" s="484"/>
      <c r="Q32" s="484"/>
      <c r="R32" s="484"/>
      <c r="S32" s="484"/>
      <c r="T32" s="484"/>
      <c r="U32" s="484"/>
      <c r="V32" s="484"/>
      <c r="W32" s="484">
        <f>2772+500+146</f>
        <v>3418</v>
      </c>
      <c r="X32" s="484"/>
      <c r="Y32" s="484"/>
      <c r="Z32" s="484"/>
      <c r="AA32" s="484"/>
      <c r="AB32" s="484">
        <f>+'Chi xã,TT 2025'!C28</f>
        <v>285</v>
      </c>
      <c r="AC32" s="534"/>
      <c r="AD32" s="534"/>
      <c r="AF32" s="489">
        <v>3418</v>
      </c>
      <c r="AG32" s="567">
        <f t="shared" si="2"/>
        <v>0</v>
      </c>
      <c r="AI32" s="489">
        <v>285</v>
      </c>
      <c r="AJ32" s="567">
        <f t="shared" si="3"/>
        <v>0</v>
      </c>
    </row>
    <row r="33" spans="1:37" s="489" customFormat="1" ht="18.75" customHeight="1">
      <c r="A33" s="496">
        <v>8</v>
      </c>
      <c r="B33" s="510" t="s">
        <v>376</v>
      </c>
      <c r="C33" s="484">
        <f t="shared" si="8"/>
        <v>741</v>
      </c>
      <c r="D33" s="484">
        <f t="shared" si="4"/>
        <v>741</v>
      </c>
      <c r="E33" s="484"/>
      <c r="F33" s="484"/>
      <c r="G33" s="484"/>
      <c r="H33" s="484"/>
      <c r="I33" s="484"/>
      <c r="J33" s="484"/>
      <c r="K33" s="484"/>
      <c r="L33" s="484"/>
      <c r="M33" s="484"/>
      <c r="N33" s="484"/>
      <c r="O33" s="484"/>
      <c r="P33" s="484"/>
      <c r="Q33" s="484"/>
      <c r="R33" s="484"/>
      <c r="S33" s="484"/>
      <c r="T33" s="484"/>
      <c r="U33" s="484"/>
      <c r="V33" s="484"/>
      <c r="W33" s="484">
        <f>463+250+28</f>
        <v>741</v>
      </c>
      <c r="X33" s="484"/>
      <c r="Y33" s="484"/>
      <c r="Z33" s="484"/>
      <c r="AA33" s="484"/>
      <c r="AB33" s="484"/>
      <c r="AC33" s="534"/>
      <c r="AD33" s="534"/>
      <c r="AF33" s="489">
        <v>741</v>
      </c>
      <c r="AG33" s="567">
        <f t="shared" si="2"/>
        <v>0</v>
      </c>
      <c r="AJ33" s="567">
        <f t="shared" si="3"/>
        <v>0</v>
      </c>
    </row>
    <row r="34" spans="1:37" s="489" customFormat="1" ht="18.75" customHeight="1">
      <c r="A34" s="496">
        <v>9</v>
      </c>
      <c r="B34" s="510" t="s">
        <v>377</v>
      </c>
      <c r="C34" s="484">
        <f t="shared" si="8"/>
        <v>9220</v>
      </c>
      <c r="D34" s="484">
        <f t="shared" si="4"/>
        <v>9220</v>
      </c>
      <c r="E34" s="484"/>
      <c r="F34" s="484"/>
      <c r="G34" s="484"/>
      <c r="H34" s="484"/>
      <c r="I34" s="484"/>
      <c r="J34" s="484">
        <f>9000+220</f>
        <v>9220</v>
      </c>
      <c r="K34" s="484"/>
      <c r="L34" s="484"/>
      <c r="M34" s="484"/>
      <c r="N34" s="484"/>
      <c r="O34" s="484"/>
      <c r="P34" s="484"/>
      <c r="Q34" s="484"/>
      <c r="R34" s="484"/>
      <c r="S34" s="484"/>
      <c r="T34" s="484"/>
      <c r="U34" s="484"/>
      <c r="V34" s="484"/>
      <c r="W34" s="484"/>
      <c r="X34" s="484"/>
      <c r="Y34" s="484"/>
      <c r="Z34" s="484"/>
      <c r="AA34" s="484"/>
      <c r="AB34" s="484"/>
      <c r="AC34" s="534"/>
      <c r="AD34" s="534"/>
      <c r="AF34" s="489">
        <v>9220</v>
      </c>
      <c r="AG34" s="567">
        <f t="shared" si="2"/>
        <v>0</v>
      </c>
      <c r="AJ34" s="567">
        <f t="shared" si="3"/>
        <v>0</v>
      </c>
    </row>
    <row r="35" spans="1:37" s="489" customFormat="1" ht="18.75" customHeight="1">
      <c r="A35" s="496">
        <v>10</v>
      </c>
      <c r="B35" s="510" t="s">
        <v>378</v>
      </c>
      <c r="C35" s="484">
        <f>C36+C39+C41+C44</f>
        <v>48670</v>
      </c>
      <c r="D35" s="484">
        <f t="shared" si="4"/>
        <v>48670</v>
      </c>
      <c r="E35" s="484">
        <f t="shared" ref="E35:Z35" si="9">E36+E39+E41+E44</f>
        <v>0</v>
      </c>
      <c r="F35" s="484">
        <f t="shared" si="9"/>
        <v>200</v>
      </c>
      <c r="G35" s="484">
        <f t="shared" si="9"/>
        <v>0</v>
      </c>
      <c r="H35" s="484">
        <f t="shared" si="9"/>
        <v>6055</v>
      </c>
      <c r="I35" s="484">
        <f t="shared" si="9"/>
        <v>0</v>
      </c>
      <c r="J35" s="484">
        <f t="shared" si="9"/>
        <v>2029</v>
      </c>
      <c r="K35" s="484">
        <f t="shared" si="9"/>
        <v>0</v>
      </c>
      <c r="L35" s="484">
        <f t="shared" si="9"/>
        <v>0</v>
      </c>
      <c r="M35" s="484">
        <f t="shared" si="9"/>
        <v>3000</v>
      </c>
      <c r="N35" s="484">
        <f t="shared" si="9"/>
        <v>0</v>
      </c>
      <c r="O35" s="484">
        <f t="shared" si="9"/>
        <v>0</v>
      </c>
      <c r="P35" s="484">
        <f t="shared" si="9"/>
        <v>0</v>
      </c>
      <c r="Q35" s="484">
        <f t="shared" si="9"/>
        <v>0</v>
      </c>
      <c r="R35" s="484">
        <f t="shared" si="9"/>
        <v>0</v>
      </c>
      <c r="S35" s="484">
        <f t="shared" si="9"/>
        <v>0</v>
      </c>
      <c r="T35" s="484">
        <f t="shared" si="9"/>
        <v>0</v>
      </c>
      <c r="U35" s="484">
        <f t="shared" si="9"/>
        <v>0</v>
      </c>
      <c r="V35" s="484">
        <f t="shared" si="9"/>
        <v>9064</v>
      </c>
      <c r="W35" s="484">
        <f t="shared" si="9"/>
        <v>0</v>
      </c>
      <c r="X35" s="484">
        <f t="shared" si="9"/>
        <v>0</v>
      </c>
      <c r="Y35" s="484">
        <f t="shared" si="9"/>
        <v>0</v>
      </c>
      <c r="Z35" s="484">
        <f t="shared" si="9"/>
        <v>0</v>
      </c>
      <c r="AA35" s="484">
        <f t="shared" ref="AA35:AB35" si="10">AA36+AA39+AA41+AA44</f>
        <v>28322</v>
      </c>
      <c r="AB35" s="484">
        <f t="shared" si="10"/>
        <v>0</v>
      </c>
      <c r="AC35" s="534"/>
      <c r="AD35" s="534"/>
      <c r="AF35" s="489">
        <v>48792</v>
      </c>
      <c r="AG35" s="567">
        <f>D35-AF35</f>
        <v>-122</v>
      </c>
      <c r="AI35" s="489">
        <v>3358</v>
      </c>
      <c r="AJ35" s="567">
        <f t="shared" si="3"/>
        <v>-3358</v>
      </c>
    </row>
    <row r="36" spans="1:37" ht="21.6" customHeight="1">
      <c r="A36" s="511" t="s">
        <v>489</v>
      </c>
      <c r="B36" s="515" t="s">
        <v>490</v>
      </c>
      <c r="C36" s="484">
        <f>D36+AB36</f>
        <v>8421</v>
      </c>
      <c r="D36" s="484">
        <f t="shared" si="4"/>
        <v>8421</v>
      </c>
      <c r="E36" s="513">
        <f t="shared" ref="E36:X36" si="11">SUM(E37:E38)</f>
        <v>0</v>
      </c>
      <c r="F36" s="513">
        <f t="shared" si="11"/>
        <v>0</v>
      </c>
      <c r="G36" s="513">
        <f t="shared" si="11"/>
        <v>0</v>
      </c>
      <c r="H36" s="513">
        <f>SUM(H37:H38)</f>
        <v>6055</v>
      </c>
      <c r="I36" s="513">
        <f t="shared" si="11"/>
        <v>0</v>
      </c>
      <c r="J36" s="513">
        <f t="shared" si="11"/>
        <v>0</v>
      </c>
      <c r="K36" s="513">
        <f t="shared" si="11"/>
        <v>0</v>
      </c>
      <c r="L36" s="513">
        <f t="shared" si="11"/>
        <v>0</v>
      </c>
      <c r="M36" s="513">
        <f t="shared" si="11"/>
        <v>0</v>
      </c>
      <c r="N36" s="513">
        <f t="shared" si="11"/>
        <v>0</v>
      </c>
      <c r="O36" s="513">
        <f t="shared" si="11"/>
        <v>0</v>
      </c>
      <c r="P36" s="513">
        <f t="shared" si="11"/>
        <v>0</v>
      </c>
      <c r="Q36" s="513">
        <f t="shared" si="11"/>
        <v>0</v>
      </c>
      <c r="R36" s="513">
        <f t="shared" si="11"/>
        <v>0</v>
      </c>
      <c r="S36" s="513">
        <f t="shared" si="11"/>
        <v>0</v>
      </c>
      <c r="T36" s="513">
        <f t="shared" si="11"/>
        <v>0</v>
      </c>
      <c r="U36" s="513">
        <f t="shared" si="11"/>
        <v>0</v>
      </c>
      <c r="V36" s="513">
        <f t="shared" si="11"/>
        <v>100</v>
      </c>
      <c r="W36" s="513">
        <f t="shared" si="11"/>
        <v>0</v>
      </c>
      <c r="X36" s="513">
        <f t="shared" si="11"/>
        <v>0</v>
      </c>
      <c r="Y36" s="513">
        <f>SUM(Y37:Y38)</f>
        <v>0</v>
      </c>
      <c r="Z36" s="513">
        <f>SUM(Z37:Z38)</f>
        <v>0</v>
      </c>
      <c r="AA36" s="513">
        <f t="shared" ref="AA36:AB36" si="12">SUM(AA37:AA38)</f>
        <v>2266</v>
      </c>
      <c r="AB36" s="484">
        <f t="shared" si="12"/>
        <v>0</v>
      </c>
      <c r="AF36" s="198">
        <v>8421</v>
      </c>
      <c r="AG36" s="508">
        <f t="shared" si="2"/>
        <v>0</v>
      </c>
      <c r="AI36" s="198">
        <v>3358</v>
      </c>
      <c r="AJ36" s="508">
        <f t="shared" si="3"/>
        <v>-3358</v>
      </c>
      <c r="AK36" s="198" t="s">
        <v>809</v>
      </c>
    </row>
    <row r="37" spans="1:37" ht="21.6" customHeight="1">
      <c r="A37" s="511"/>
      <c r="B37" s="515" t="s">
        <v>718</v>
      </c>
      <c r="C37" s="484">
        <f t="shared" ref="C37:C52" si="13">D37+AB37</f>
        <v>869</v>
      </c>
      <c r="D37" s="484">
        <f t="shared" si="4"/>
        <v>869</v>
      </c>
      <c r="E37" s="513"/>
      <c r="F37" s="513"/>
      <c r="G37" s="513"/>
      <c r="H37" s="513">
        <f>869-V37</f>
        <v>769</v>
      </c>
      <c r="I37" s="513"/>
      <c r="J37" s="513"/>
      <c r="K37" s="513"/>
      <c r="L37" s="513"/>
      <c r="M37" s="513"/>
      <c r="N37" s="513"/>
      <c r="O37" s="513"/>
      <c r="P37" s="513"/>
      <c r="Q37" s="513"/>
      <c r="R37" s="513"/>
      <c r="S37" s="513"/>
      <c r="T37" s="513"/>
      <c r="U37" s="513"/>
      <c r="V37" s="513">
        <v>100</v>
      </c>
      <c r="W37" s="513"/>
      <c r="X37" s="513"/>
      <c r="Y37" s="513"/>
      <c r="Z37" s="513"/>
      <c r="AA37" s="513"/>
      <c r="AB37" s="484"/>
      <c r="AF37" s="198">
        <v>869</v>
      </c>
      <c r="AG37" s="508">
        <f t="shared" si="2"/>
        <v>0</v>
      </c>
      <c r="AJ37" s="508">
        <f t="shared" si="3"/>
        <v>0</v>
      </c>
    </row>
    <row r="38" spans="1:37" ht="21.6" customHeight="1">
      <c r="A38" s="511"/>
      <c r="B38" s="515" t="s">
        <v>842</v>
      </c>
      <c r="C38" s="484">
        <f>D38+AB38</f>
        <v>7552</v>
      </c>
      <c r="D38" s="484">
        <f>SUM(E38:AA38)</f>
        <v>7552</v>
      </c>
      <c r="E38" s="513"/>
      <c r="F38" s="513"/>
      <c r="G38" s="513"/>
      <c r="H38" s="513">
        <v>5286</v>
      </c>
      <c r="I38" s="513"/>
      <c r="J38" s="513"/>
      <c r="K38" s="513"/>
      <c r="L38" s="513"/>
      <c r="M38" s="513"/>
      <c r="N38" s="513"/>
      <c r="O38" s="513"/>
      <c r="P38" s="513"/>
      <c r="Q38" s="513"/>
      <c r="R38" s="513"/>
      <c r="S38" s="513"/>
      <c r="T38" s="513"/>
      <c r="U38" s="513"/>
      <c r="V38" s="513"/>
      <c r="W38" s="513"/>
      <c r="X38" s="513"/>
      <c r="Y38" s="513"/>
      <c r="Z38" s="513"/>
      <c r="AA38" s="513">
        <v>2266</v>
      </c>
      <c r="AB38" s="484"/>
      <c r="AF38" s="198">
        <v>7552</v>
      </c>
      <c r="AG38" s="508">
        <f t="shared" si="2"/>
        <v>0</v>
      </c>
      <c r="AJ38" s="508">
        <f t="shared" si="3"/>
        <v>0</v>
      </c>
    </row>
    <row r="39" spans="1:37" ht="21.6" customHeight="1">
      <c r="A39" s="511" t="s">
        <v>492</v>
      </c>
      <c r="B39" s="515" t="s">
        <v>493</v>
      </c>
      <c r="C39" s="484">
        <f t="shared" si="13"/>
        <v>22500</v>
      </c>
      <c r="D39" s="484">
        <f t="shared" si="4"/>
        <v>22500</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v>22500</v>
      </c>
      <c r="AB39" s="484"/>
      <c r="AF39" s="198">
        <v>27069</v>
      </c>
      <c r="AG39" s="508">
        <f t="shared" si="2"/>
        <v>-4569</v>
      </c>
      <c r="AJ39" s="508">
        <f t="shared" si="3"/>
        <v>0</v>
      </c>
    </row>
    <row r="40" spans="1:37" ht="21.6" hidden="1" customHeight="1">
      <c r="A40" s="511"/>
      <c r="B40" s="515" t="s">
        <v>695</v>
      </c>
      <c r="C40" s="484">
        <f t="shared" si="13"/>
        <v>0</v>
      </c>
      <c r="D40" s="484">
        <f t="shared" si="4"/>
        <v>0</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484"/>
      <c r="AF40" s="198">
        <v>0</v>
      </c>
      <c r="AG40" s="508">
        <f t="shared" si="2"/>
        <v>0</v>
      </c>
      <c r="AJ40" s="508">
        <f t="shared" si="3"/>
        <v>0</v>
      </c>
    </row>
    <row r="41" spans="1:37" ht="21.6" customHeight="1">
      <c r="A41" s="511" t="s">
        <v>494</v>
      </c>
      <c r="B41" s="515" t="s">
        <v>495</v>
      </c>
      <c r="C41" s="484">
        <f t="shared" si="13"/>
        <v>2456</v>
      </c>
      <c r="D41" s="484">
        <f t="shared" si="4"/>
        <v>2456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f>AA42</f>
        <v>2456</v>
      </c>
      <c r="AB41" s="484"/>
      <c r="AF41" s="198">
        <v>2456</v>
      </c>
      <c r="AG41" s="508">
        <f t="shared" si="2"/>
        <v>0</v>
      </c>
      <c r="AJ41" s="508">
        <f t="shared" si="3"/>
        <v>0</v>
      </c>
    </row>
    <row r="42" spans="1:37" ht="21.6" customHeight="1">
      <c r="A42" s="511"/>
      <c r="B42" s="515" t="s">
        <v>696</v>
      </c>
      <c r="C42" s="484">
        <f t="shared" si="13"/>
        <v>2456</v>
      </c>
      <c r="D42" s="484">
        <f t="shared" si="4"/>
        <v>2456</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v>2456</v>
      </c>
      <c r="AB42" s="484"/>
      <c r="AF42" s="198">
        <v>2456</v>
      </c>
      <c r="AG42" s="508">
        <f t="shared" si="2"/>
        <v>0</v>
      </c>
      <c r="AJ42" s="508">
        <f t="shared" si="3"/>
        <v>0</v>
      </c>
    </row>
    <row r="43" spans="1:37" ht="21.6" hidden="1" customHeight="1">
      <c r="A43" s="511"/>
      <c r="B43" s="515" t="s">
        <v>491</v>
      </c>
      <c r="C43" s="484">
        <f t="shared" si="13"/>
        <v>0</v>
      </c>
      <c r="D43" s="484">
        <f t="shared" si="4"/>
        <v>0</v>
      </c>
      <c r="E43" s="513"/>
      <c r="F43" s="513"/>
      <c r="G43" s="513"/>
      <c r="H43" s="513"/>
      <c r="I43" s="513"/>
      <c r="J43" s="513"/>
      <c r="K43" s="513"/>
      <c r="L43" s="513"/>
      <c r="M43" s="513"/>
      <c r="N43" s="513"/>
      <c r="O43" s="513"/>
      <c r="P43" s="513"/>
      <c r="Q43" s="513"/>
      <c r="R43" s="513"/>
      <c r="S43" s="513"/>
      <c r="T43" s="513"/>
      <c r="U43" s="513"/>
      <c r="V43" s="513"/>
      <c r="W43" s="513"/>
      <c r="X43" s="513"/>
      <c r="Y43" s="513"/>
      <c r="Z43" s="513"/>
      <c r="AA43" s="513"/>
      <c r="AB43" s="484"/>
      <c r="AF43" s="198">
        <v>0</v>
      </c>
      <c r="AG43" s="508">
        <f t="shared" si="2"/>
        <v>0</v>
      </c>
      <c r="AJ43" s="508">
        <f t="shared" si="3"/>
        <v>0</v>
      </c>
    </row>
    <row r="44" spans="1:37" ht="21.6" customHeight="1">
      <c r="A44" s="511" t="s">
        <v>496</v>
      </c>
      <c r="B44" s="515" t="s">
        <v>497</v>
      </c>
      <c r="C44" s="484">
        <f>D44+AB44</f>
        <v>15293</v>
      </c>
      <c r="D44" s="484">
        <f>SUM(E44:AA44)</f>
        <v>15293</v>
      </c>
      <c r="E44" s="513"/>
      <c r="F44" s="513">
        <f>F51</f>
        <v>200</v>
      </c>
      <c r="G44" s="513"/>
      <c r="H44" s="513"/>
      <c r="I44" s="513"/>
      <c r="J44" s="513">
        <f>J48+J49</f>
        <v>2029</v>
      </c>
      <c r="K44" s="513"/>
      <c r="L44" s="513"/>
      <c r="M44" s="513">
        <f>+M45+M46+M47</f>
        <v>3000</v>
      </c>
      <c r="N44" s="513"/>
      <c r="O44" s="513"/>
      <c r="P44" s="513"/>
      <c r="Q44" s="513"/>
      <c r="R44" s="513"/>
      <c r="S44" s="513"/>
      <c r="T44" s="513"/>
      <c r="U44" s="513"/>
      <c r="V44" s="513">
        <f>3146+1500+171+V50</f>
        <v>8964</v>
      </c>
      <c r="W44" s="513"/>
      <c r="X44" s="513"/>
      <c r="Y44" s="513"/>
      <c r="Z44" s="513"/>
      <c r="AA44" s="513">
        <f>SUM(AA45:AA52)</f>
        <v>1100</v>
      </c>
      <c r="AB44" s="484"/>
      <c r="AF44" s="198">
        <v>10846</v>
      </c>
      <c r="AG44" s="508">
        <f t="shared" si="2"/>
        <v>4447</v>
      </c>
      <c r="AJ44" s="508">
        <f t="shared" si="3"/>
        <v>0</v>
      </c>
    </row>
    <row r="45" spans="1:37" ht="32.25" customHeight="1">
      <c r="A45" s="511"/>
      <c r="B45" s="515" t="s">
        <v>727</v>
      </c>
      <c r="C45" s="484">
        <f t="shared" si="13"/>
        <v>1000</v>
      </c>
      <c r="D45" s="484">
        <f t="shared" si="4"/>
        <v>1000</v>
      </c>
      <c r="E45" s="513"/>
      <c r="F45" s="513"/>
      <c r="G45" s="513"/>
      <c r="H45" s="513"/>
      <c r="I45" s="513"/>
      <c r="J45" s="513"/>
      <c r="K45" s="513"/>
      <c r="L45" s="513"/>
      <c r="M45" s="513">
        <v>1000</v>
      </c>
      <c r="N45" s="513"/>
      <c r="O45" s="513"/>
      <c r="P45" s="513"/>
      <c r="Q45" s="513"/>
      <c r="R45" s="513"/>
      <c r="S45" s="513"/>
      <c r="T45" s="513"/>
      <c r="U45" s="513"/>
      <c r="V45" s="513"/>
      <c r="W45" s="513"/>
      <c r="X45" s="513"/>
      <c r="Y45" s="513"/>
      <c r="Z45" s="513"/>
      <c r="AA45" s="513"/>
      <c r="AB45" s="484"/>
      <c r="AF45" s="198">
        <v>1000</v>
      </c>
      <c r="AG45" s="508">
        <f t="shared" si="2"/>
        <v>0</v>
      </c>
      <c r="AJ45" s="508">
        <f t="shared" si="3"/>
        <v>0</v>
      </c>
    </row>
    <row r="46" spans="1:37" ht="21.6" customHeight="1">
      <c r="A46" s="511"/>
      <c r="B46" s="515" t="s">
        <v>719</v>
      </c>
      <c r="C46" s="484">
        <f t="shared" si="13"/>
        <v>1000</v>
      </c>
      <c r="D46" s="484">
        <f t="shared" si="4"/>
        <v>1000</v>
      </c>
      <c r="E46" s="513"/>
      <c r="F46" s="513"/>
      <c r="G46" s="513"/>
      <c r="H46" s="513"/>
      <c r="I46" s="513"/>
      <c r="J46" s="513"/>
      <c r="K46" s="513"/>
      <c r="L46" s="513"/>
      <c r="M46" s="513">
        <v>1000</v>
      </c>
      <c r="N46" s="513"/>
      <c r="O46" s="513"/>
      <c r="P46" s="513"/>
      <c r="Q46" s="513"/>
      <c r="R46" s="513"/>
      <c r="S46" s="513"/>
      <c r="T46" s="513"/>
      <c r="U46" s="513"/>
      <c r="V46" s="513"/>
      <c r="W46" s="513"/>
      <c r="X46" s="513"/>
      <c r="Y46" s="513"/>
      <c r="Z46" s="513"/>
      <c r="AA46" s="513"/>
      <c r="AB46" s="484"/>
      <c r="AF46" s="198">
        <v>1000</v>
      </c>
      <c r="AG46" s="508">
        <f t="shared" si="2"/>
        <v>0</v>
      </c>
      <c r="AJ46" s="508">
        <f t="shared" si="3"/>
        <v>0</v>
      </c>
    </row>
    <row r="47" spans="1:37" ht="32.25" customHeight="1">
      <c r="A47" s="511"/>
      <c r="B47" s="515" t="s">
        <v>720</v>
      </c>
      <c r="C47" s="484">
        <f t="shared" si="13"/>
        <v>1000</v>
      </c>
      <c r="D47" s="484">
        <f t="shared" si="4"/>
        <v>1000</v>
      </c>
      <c r="E47" s="513"/>
      <c r="F47" s="513"/>
      <c r="G47" s="513"/>
      <c r="H47" s="513"/>
      <c r="I47" s="513"/>
      <c r="J47" s="513"/>
      <c r="K47" s="513"/>
      <c r="L47" s="513"/>
      <c r="M47" s="513">
        <v>1000</v>
      </c>
      <c r="N47" s="513"/>
      <c r="O47" s="513"/>
      <c r="P47" s="513"/>
      <c r="Q47" s="513"/>
      <c r="R47" s="513"/>
      <c r="S47" s="513"/>
      <c r="T47" s="513"/>
      <c r="U47" s="513"/>
      <c r="V47" s="513"/>
      <c r="W47" s="513"/>
      <c r="X47" s="513"/>
      <c r="Y47" s="513"/>
      <c r="Z47" s="513"/>
      <c r="AA47" s="513"/>
      <c r="AB47" s="484"/>
      <c r="AF47" s="198">
        <v>1000</v>
      </c>
      <c r="AG47" s="508">
        <f t="shared" si="2"/>
        <v>0</v>
      </c>
      <c r="AJ47" s="508">
        <f t="shared" si="3"/>
        <v>0</v>
      </c>
    </row>
    <row r="48" spans="1:37" ht="46.5" customHeight="1">
      <c r="A48" s="511"/>
      <c r="B48" s="515" t="s">
        <v>498</v>
      </c>
      <c r="C48" s="484">
        <f t="shared" si="13"/>
        <v>2029</v>
      </c>
      <c r="D48" s="484">
        <f t="shared" si="4"/>
        <v>2029</v>
      </c>
      <c r="E48" s="513"/>
      <c r="F48" s="513"/>
      <c r="G48" s="513"/>
      <c r="H48" s="513"/>
      <c r="I48" s="513"/>
      <c r="J48" s="569">
        <f>1229+(5000*10%)+(3000*10%)</f>
        <v>2029</v>
      </c>
      <c r="K48" s="513"/>
      <c r="L48" s="513"/>
      <c r="M48" s="513"/>
      <c r="N48" s="513"/>
      <c r="O48" s="513"/>
      <c r="P48" s="513"/>
      <c r="Q48" s="513"/>
      <c r="R48" s="513"/>
      <c r="S48" s="513"/>
      <c r="T48" s="513"/>
      <c r="U48" s="513"/>
      <c r="V48" s="513"/>
      <c r="W48" s="513"/>
      <c r="X48" s="513"/>
      <c r="Y48" s="513"/>
      <c r="Z48" s="513"/>
      <c r="AA48" s="513"/>
      <c r="AB48" s="484"/>
      <c r="AF48" s="198">
        <v>1729</v>
      </c>
      <c r="AG48" s="508">
        <f t="shared" si="2"/>
        <v>300</v>
      </c>
      <c r="AJ48" s="508">
        <f t="shared" si="3"/>
        <v>0</v>
      </c>
    </row>
    <row r="49" spans="1:37" ht="30" hidden="1" customHeight="1">
      <c r="A49" s="511"/>
      <c r="B49" s="515" t="s">
        <v>867</v>
      </c>
      <c r="C49" s="484">
        <f t="shared" si="13"/>
        <v>0</v>
      </c>
      <c r="D49" s="484">
        <f t="shared" si="4"/>
        <v>0</v>
      </c>
      <c r="E49" s="513"/>
      <c r="F49" s="513"/>
      <c r="G49" s="513"/>
      <c r="H49" s="513"/>
      <c r="I49" s="513"/>
      <c r="J49" s="513"/>
      <c r="K49" s="513"/>
      <c r="L49" s="513"/>
      <c r="M49" s="513"/>
      <c r="N49" s="513"/>
      <c r="O49" s="513"/>
      <c r="P49" s="513"/>
      <c r="Q49" s="513"/>
      <c r="R49" s="513"/>
      <c r="S49" s="513"/>
      <c r="T49" s="513"/>
      <c r="U49" s="513"/>
      <c r="V49" s="513"/>
      <c r="W49" s="513"/>
      <c r="X49" s="513"/>
      <c r="Y49" s="513"/>
      <c r="Z49" s="513"/>
      <c r="AA49" s="513"/>
      <c r="AB49" s="484"/>
      <c r="AF49" s="198">
        <v>0</v>
      </c>
      <c r="AG49" s="508">
        <f t="shared" si="2"/>
        <v>0</v>
      </c>
      <c r="AJ49" s="508">
        <f t="shared" si="3"/>
        <v>0</v>
      </c>
    </row>
    <row r="50" spans="1:37" ht="30" customHeight="1">
      <c r="A50" s="511"/>
      <c r="B50" s="515" t="s">
        <v>801</v>
      </c>
      <c r="C50" s="484">
        <f>D50+AB50</f>
        <v>4147</v>
      </c>
      <c r="D50" s="484">
        <f>SUM(E50:AA50)</f>
        <v>4147</v>
      </c>
      <c r="E50" s="513"/>
      <c r="F50" s="513"/>
      <c r="G50" s="513"/>
      <c r="H50" s="513"/>
      <c r="I50" s="513"/>
      <c r="J50" s="513"/>
      <c r="K50" s="513"/>
      <c r="L50" s="513"/>
      <c r="M50" s="513"/>
      <c r="N50" s="513"/>
      <c r="O50" s="513"/>
      <c r="P50" s="513"/>
      <c r="Q50" s="513"/>
      <c r="R50" s="513"/>
      <c r="S50" s="513"/>
      <c r="T50" s="513"/>
      <c r="U50" s="513"/>
      <c r="V50" s="513">
        <f>3358+789</f>
        <v>4147</v>
      </c>
      <c r="W50" s="513"/>
      <c r="X50" s="513"/>
      <c r="Y50" s="513"/>
      <c r="Z50" s="513"/>
      <c r="AA50" s="513"/>
      <c r="AB50" s="484"/>
      <c r="AG50" s="567">
        <f>D50-AF50</f>
        <v>4147</v>
      </c>
      <c r="AH50" s="198" t="s">
        <v>805</v>
      </c>
      <c r="AJ50" s="508">
        <f>AB50-AI50</f>
        <v>0</v>
      </c>
    </row>
    <row r="51" spans="1:37" ht="21.6" customHeight="1">
      <c r="A51" s="511"/>
      <c r="B51" s="515" t="s">
        <v>385</v>
      </c>
      <c r="C51" s="484">
        <f t="shared" si="13"/>
        <v>200</v>
      </c>
      <c r="D51" s="484">
        <f t="shared" si="4"/>
        <v>200</v>
      </c>
      <c r="E51" s="513"/>
      <c r="F51" s="513">
        <v>200</v>
      </c>
      <c r="G51" s="513"/>
      <c r="H51" s="513"/>
      <c r="I51" s="513"/>
      <c r="J51" s="513"/>
      <c r="K51" s="513"/>
      <c r="L51" s="513"/>
      <c r="M51" s="513"/>
      <c r="N51" s="513"/>
      <c r="O51" s="513"/>
      <c r="P51" s="513"/>
      <c r="Q51" s="513"/>
      <c r="R51" s="513"/>
      <c r="S51" s="513"/>
      <c r="T51" s="513"/>
      <c r="U51" s="513"/>
      <c r="V51" s="513"/>
      <c r="W51" s="513"/>
      <c r="X51" s="513"/>
      <c r="Y51" s="513"/>
      <c r="Z51" s="513"/>
      <c r="AA51" s="513"/>
      <c r="AB51" s="484"/>
      <c r="AF51" s="198">
        <v>200</v>
      </c>
      <c r="AG51" s="508">
        <f t="shared" si="2"/>
        <v>0</v>
      </c>
      <c r="AJ51" s="508">
        <f t="shared" si="3"/>
        <v>0</v>
      </c>
    </row>
    <row r="52" spans="1:37" ht="33.75" customHeight="1">
      <c r="A52" s="511"/>
      <c r="B52" s="515" t="s">
        <v>499</v>
      </c>
      <c r="C52" s="484">
        <f t="shared" si="13"/>
        <v>1100</v>
      </c>
      <c r="D52" s="484">
        <f t="shared" si="4"/>
        <v>1100</v>
      </c>
      <c r="E52" s="513"/>
      <c r="F52" s="513"/>
      <c r="G52" s="513"/>
      <c r="H52" s="513"/>
      <c r="I52" s="513"/>
      <c r="J52" s="513"/>
      <c r="K52" s="513"/>
      <c r="L52" s="513"/>
      <c r="M52" s="513"/>
      <c r="N52" s="513"/>
      <c r="O52" s="513"/>
      <c r="P52" s="513"/>
      <c r="Q52" s="513"/>
      <c r="R52" s="513"/>
      <c r="S52" s="513"/>
      <c r="T52" s="513"/>
      <c r="U52" s="513"/>
      <c r="V52" s="513"/>
      <c r="W52" s="513"/>
      <c r="X52" s="513"/>
      <c r="Y52" s="513"/>
      <c r="Z52" s="513"/>
      <c r="AA52" s="513">
        <v>1100</v>
      </c>
      <c r="AB52" s="484"/>
      <c r="AF52" s="198">
        <v>1100</v>
      </c>
      <c r="AG52" s="508">
        <f t="shared" si="2"/>
        <v>0</v>
      </c>
      <c r="AJ52" s="508">
        <f t="shared" si="3"/>
        <v>0</v>
      </c>
    </row>
    <row r="53" spans="1:37" s="489" customFormat="1" ht="24.75" customHeight="1">
      <c r="A53" s="496">
        <v>11</v>
      </c>
      <c r="B53" s="520" t="s">
        <v>500</v>
      </c>
      <c r="C53" s="484">
        <f t="shared" ref="C53:C78" si="14">D53+AB53</f>
        <v>165026</v>
      </c>
      <c r="D53" s="484">
        <f>SUM(E53:AA53)</f>
        <v>49257</v>
      </c>
      <c r="E53" s="484">
        <f t="shared" ref="E53:S53" si="15">E54+E56+E57+E63</f>
        <v>11187</v>
      </c>
      <c r="F53" s="484">
        <f t="shared" si="15"/>
        <v>5941</v>
      </c>
      <c r="G53" s="484">
        <f t="shared" si="15"/>
        <v>10464</v>
      </c>
      <c r="H53" s="484">
        <f t="shared" si="15"/>
        <v>1302</v>
      </c>
      <c r="I53" s="484">
        <f t="shared" si="15"/>
        <v>1876</v>
      </c>
      <c r="J53" s="484">
        <f t="shared" si="15"/>
        <v>1500</v>
      </c>
      <c r="K53" s="484">
        <f t="shared" si="15"/>
        <v>1235</v>
      </c>
      <c r="L53" s="484">
        <f t="shared" si="15"/>
        <v>992</v>
      </c>
      <c r="M53" s="484">
        <f t="shared" si="15"/>
        <v>1181</v>
      </c>
      <c r="N53" s="484">
        <f t="shared" si="15"/>
        <v>793</v>
      </c>
      <c r="O53" s="484">
        <f t="shared" si="15"/>
        <v>2773</v>
      </c>
      <c r="P53" s="484">
        <f t="shared" si="15"/>
        <v>1278</v>
      </c>
      <c r="Q53" s="484">
        <f t="shared" si="15"/>
        <v>690</v>
      </c>
      <c r="R53" s="484">
        <f t="shared" si="15"/>
        <v>1239</v>
      </c>
      <c r="S53" s="484">
        <f t="shared" si="15"/>
        <v>2097</v>
      </c>
      <c r="T53" s="484"/>
      <c r="U53" s="484"/>
      <c r="V53" s="484"/>
      <c r="W53" s="484"/>
      <c r="X53" s="484"/>
      <c r="Y53" s="484"/>
      <c r="Z53" s="484"/>
      <c r="AA53" s="514">
        <f>1771+3000-62</f>
        <v>4709</v>
      </c>
      <c r="AB53" s="484">
        <f>+'Chi xã,TT 2025'!C30</f>
        <v>115769</v>
      </c>
      <c r="AC53" s="534"/>
      <c r="AD53" s="534"/>
      <c r="AF53" s="198">
        <v>44548</v>
      </c>
      <c r="AG53" s="508">
        <f t="shared" si="2"/>
        <v>4709</v>
      </c>
      <c r="AI53" s="198">
        <v>113236</v>
      </c>
      <c r="AJ53" s="567">
        <f t="shared" si="3"/>
        <v>2533</v>
      </c>
      <c r="AK53" s="489" t="s">
        <v>804</v>
      </c>
    </row>
    <row r="54" spans="1:37" ht="19.5" customHeight="1">
      <c r="A54" s="519" t="s">
        <v>501</v>
      </c>
      <c r="B54" s="512" t="s">
        <v>502</v>
      </c>
      <c r="C54" s="484">
        <f t="shared" si="14"/>
        <v>27018</v>
      </c>
      <c r="D54" s="484">
        <f>SUM(E54:AA54)</f>
        <v>27018</v>
      </c>
      <c r="E54" s="513"/>
      <c r="F54" s="513"/>
      <c r="G54" s="513">
        <f>5122+4800+220</f>
        <v>10142</v>
      </c>
      <c r="H54" s="513">
        <f>1189+50+63</f>
        <v>1302</v>
      </c>
      <c r="I54" s="513">
        <f>1761+20+95</f>
        <v>1876</v>
      </c>
      <c r="J54" s="513">
        <f>1389+40+71</f>
        <v>1500</v>
      </c>
      <c r="K54" s="513">
        <f>1149+38+48</f>
        <v>1235</v>
      </c>
      <c r="L54" s="513">
        <f>762+190+40</f>
        <v>992</v>
      </c>
      <c r="M54" s="513">
        <f>1036+90+55</f>
        <v>1181</v>
      </c>
      <c r="N54" s="513">
        <f>393+380+20</f>
        <v>793</v>
      </c>
      <c r="O54" s="513">
        <f>1427+1270+76</f>
        <v>2773</v>
      </c>
      <c r="P54" s="513">
        <f>1175+40+63</f>
        <v>1278</v>
      </c>
      <c r="Q54" s="513">
        <f>655+35</f>
        <v>690</v>
      </c>
      <c r="R54" s="513">
        <f>967+200+52</f>
        <v>1219</v>
      </c>
      <c r="S54" s="513">
        <f>1931+106</f>
        <v>2037</v>
      </c>
      <c r="T54" s="513"/>
      <c r="U54" s="513"/>
      <c r="V54" s="513"/>
      <c r="W54" s="513"/>
      <c r="X54" s="513"/>
      <c r="Y54" s="513"/>
      <c r="Z54" s="513"/>
      <c r="AA54" s="513"/>
      <c r="AB54" s="484"/>
      <c r="AF54" s="489">
        <v>27018</v>
      </c>
      <c r="AG54" s="508">
        <f t="shared" si="2"/>
        <v>0</v>
      </c>
      <c r="AI54" s="489"/>
      <c r="AJ54" s="508">
        <f t="shared" si="3"/>
        <v>0</v>
      </c>
    </row>
    <row r="55" spans="1:37" ht="19.5" customHeight="1">
      <c r="A55" s="519"/>
      <c r="B55" s="512" t="s">
        <v>503</v>
      </c>
      <c r="C55" s="484">
        <f t="shared" si="14"/>
        <v>1000</v>
      </c>
      <c r="D55" s="484">
        <f t="shared" ref="D55:D67" si="16">SUM(E55:AA55)</f>
        <v>1000</v>
      </c>
      <c r="E55" s="513"/>
      <c r="F55" s="513"/>
      <c r="G55" s="513"/>
      <c r="H55" s="513"/>
      <c r="I55" s="513"/>
      <c r="J55" s="513"/>
      <c r="K55" s="513"/>
      <c r="L55" s="513"/>
      <c r="M55" s="513"/>
      <c r="N55" s="513"/>
      <c r="O55" s="513">
        <v>1000</v>
      </c>
      <c r="P55" s="513"/>
      <c r="Q55" s="513"/>
      <c r="R55" s="513"/>
      <c r="S55" s="513"/>
      <c r="T55" s="513"/>
      <c r="U55" s="513"/>
      <c r="V55" s="513"/>
      <c r="W55" s="513"/>
      <c r="X55" s="513"/>
      <c r="Y55" s="513"/>
      <c r="Z55" s="513"/>
      <c r="AA55" s="513"/>
      <c r="AB55" s="484"/>
      <c r="AF55" s="198">
        <v>1000</v>
      </c>
      <c r="AG55" s="508">
        <f t="shared" si="2"/>
        <v>0</v>
      </c>
      <c r="AJ55" s="508">
        <f t="shared" si="3"/>
        <v>0</v>
      </c>
    </row>
    <row r="56" spans="1:37" s="258" customFormat="1" ht="18" customHeight="1">
      <c r="A56" s="511" t="s">
        <v>504</v>
      </c>
      <c r="B56" s="516" t="s">
        <v>505</v>
      </c>
      <c r="C56" s="484">
        <f t="shared" si="14"/>
        <v>11187</v>
      </c>
      <c r="D56" s="484">
        <f t="shared" si="16"/>
        <v>11187</v>
      </c>
      <c r="E56" s="513">
        <f>8289+2600+298</f>
        <v>11187</v>
      </c>
      <c r="F56" s="513"/>
      <c r="G56" s="513"/>
      <c r="H56" s="513"/>
      <c r="I56" s="513"/>
      <c r="J56" s="513"/>
      <c r="K56" s="513"/>
      <c r="L56" s="513"/>
      <c r="M56" s="513"/>
      <c r="N56" s="513"/>
      <c r="O56" s="513"/>
      <c r="P56" s="513"/>
      <c r="Q56" s="513"/>
      <c r="R56" s="513"/>
      <c r="S56" s="513"/>
      <c r="T56" s="513"/>
      <c r="U56" s="513"/>
      <c r="V56" s="513"/>
      <c r="W56" s="513"/>
      <c r="X56" s="513"/>
      <c r="Y56" s="513"/>
      <c r="Z56" s="513"/>
      <c r="AA56" s="513"/>
      <c r="AB56" s="484"/>
      <c r="AC56" s="560"/>
      <c r="AD56" s="560"/>
      <c r="AF56" s="198">
        <v>11187</v>
      </c>
      <c r="AG56" s="508">
        <f t="shared" si="2"/>
        <v>0</v>
      </c>
      <c r="AI56" s="198"/>
      <c r="AJ56" s="508">
        <f t="shared" si="3"/>
        <v>0</v>
      </c>
    </row>
    <row r="57" spans="1:37" ht="18" customHeight="1">
      <c r="A57" s="511" t="s">
        <v>506</v>
      </c>
      <c r="B57" s="512" t="s">
        <v>507</v>
      </c>
      <c r="C57" s="484">
        <f t="shared" si="14"/>
        <v>5845</v>
      </c>
      <c r="D57" s="484">
        <f t="shared" si="16"/>
        <v>5845</v>
      </c>
      <c r="E57" s="513"/>
      <c r="F57" s="484">
        <f>SUM(F58:F62)</f>
        <v>5845</v>
      </c>
      <c r="G57" s="513"/>
      <c r="H57" s="513"/>
      <c r="I57" s="513"/>
      <c r="J57" s="513"/>
      <c r="K57" s="513"/>
      <c r="L57" s="513"/>
      <c r="M57" s="513"/>
      <c r="N57" s="513"/>
      <c r="O57" s="513"/>
      <c r="P57" s="513"/>
      <c r="Q57" s="513"/>
      <c r="R57" s="513"/>
      <c r="S57" s="513"/>
      <c r="T57" s="513"/>
      <c r="U57" s="513"/>
      <c r="V57" s="513"/>
      <c r="W57" s="513"/>
      <c r="X57" s="513"/>
      <c r="Y57" s="513"/>
      <c r="Z57" s="513"/>
      <c r="AA57" s="513"/>
      <c r="AB57" s="484"/>
      <c r="AF57" s="258">
        <v>5845</v>
      </c>
      <c r="AG57" s="508">
        <f t="shared" si="2"/>
        <v>0</v>
      </c>
      <c r="AI57" s="258"/>
      <c r="AJ57" s="508">
        <f t="shared" si="3"/>
        <v>0</v>
      </c>
    </row>
    <row r="58" spans="1:37" ht="18" customHeight="1">
      <c r="A58" s="519"/>
      <c r="B58" s="512" t="s">
        <v>508</v>
      </c>
      <c r="C58" s="484">
        <f t="shared" si="14"/>
        <v>1617</v>
      </c>
      <c r="D58" s="484">
        <f t="shared" si="16"/>
        <v>1617</v>
      </c>
      <c r="E58" s="513"/>
      <c r="F58" s="513">
        <f>1252+310+55</f>
        <v>1617</v>
      </c>
      <c r="G58" s="513"/>
      <c r="H58" s="513"/>
      <c r="I58" s="513"/>
      <c r="J58" s="513"/>
      <c r="K58" s="513"/>
      <c r="L58" s="513"/>
      <c r="M58" s="513"/>
      <c r="N58" s="513"/>
      <c r="O58" s="513"/>
      <c r="P58" s="513"/>
      <c r="Q58" s="513"/>
      <c r="R58" s="513"/>
      <c r="S58" s="513"/>
      <c r="T58" s="513"/>
      <c r="U58" s="513"/>
      <c r="V58" s="513"/>
      <c r="W58" s="513"/>
      <c r="X58" s="513"/>
      <c r="Y58" s="513"/>
      <c r="Z58" s="513"/>
      <c r="AA58" s="513"/>
      <c r="AB58" s="484"/>
      <c r="AF58" s="198">
        <v>1617</v>
      </c>
      <c r="AG58" s="508">
        <f t="shared" si="2"/>
        <v>0</v>
      </c>
      <c r="AJ58" s="508">
        <f t="shared" si="3"/>
        <v>0</v>
      </c>
    </row>
    <row r="59" spans="1:37" ht="18" customHeight="1">
      <c r="A59" s="519"/>
      <c r="B59" s="512" t="s">
        <v>509</v>
      </c>
      <c r="C59" s="484">
        <f t="shared" si="14"/>
        <v>849</v>
      </c>
      <c r="D59" s="484">
        <f t="shared" si="16"/>
        <v>849</v>
      </c>
      <c r="E59" s="513"/>
      <c r="F59" s="513">
        <f>570+255+24</f>
        <v>849</v>
      </c>
      <c r="G59" s="513"/>
      <c r="H59" s="513"/>
      <c r="I59" s="513"/>
      <c r="J59" s="513"/>
      <c r="K59" s="513"/>
      <c r="L59" s="513"/>
      <c r="M59" s="513"/>
      <c r="N59" s="513"/>
      <c r="O59" s="513"/>
      <c r="P59" s="513"/>
      <c r="Q59" s="513"/>
      <c r="R59" s="513"/>
      <c r="S59" s="513"/>
      <c r="T59" s="513"/>
      <c r="U59" s="513"/>
      <c r="V59" s="513"/>
      <c r="W59" s="513"/>
      <c r="X59" s="513"/>
      <c r="Y59" s="513"/>
      <c r="Z59" s="513"/>
      <c r="AA59" s="513"/>
      <c r="AB59" s="484"/>
      <c r="AF59" s="198">
        <v>849</v>
      </c>
      <c r="AG59" s="508">
        <f t="shared" si="2"/>
        <v>0</v>
      </c>
      <c r="AJ59" s="508">
        <f t="shared" si="3"/>
        <v>0</v>
      </c>
    </row>
    <row r="60" spans="1:37" ht="18" customHeight="1">
      <c r="A60" s="519"/>
      <c r="B60" s="512" t="s">
        <v>510</v>
      </c>
      <c r="C60" s="484">
        <f t="shared" si="14"/>
        <v>1047</v>
      </c>
      <c r="D60" s="484">
        <f t="shared" si="16"/>
        <v>1047</v>
      </c>
      <c r="E60" s="513"/>
      <c r="F60" s="513">
        <f>748+265+34</f>
        <v>1047</v>
      </c>
      <c r="G60" s="513"/>
      <c r="H60" s="513"/>
      <c r="I60" s="513"/>
      <c r="J60" s="513"/>
      <c r="K60" s="513"/>
      <c r="L60" s="513"/>
      <c r="M60" s="513"/>
      <c r="N60" s="513"/>
      <c r="O60" s="513"/>
      <c r="P60" s="513"/>
      <c r="Q60" s="513"/>
      <c r="R60" s="513"/>
      <c r="S60" s="513"/>
      <c r="T60" s="513"/>
      <c r="U60" s="513"/>
      <c r="V60" s="513"/>
      <c r="W60" s="513"/>
      <c r="X60" s="513"/>
      <c r="Y60" s="513"/>
      <c r="Z60" s="513"/>
      <c r="AA60" s="513"/>
      <c r="AB60" s="484"/>
      <c r="AF60" s="198">
        <v>1047</v>
      </c>
      <c r="AG60" s="508">
        <f t="shared" si="2"/>
        <v>0</v>
      </c>
      <c r="AJ60" s="508">
        <f t="shared" si="3"/>
        <v>0</v>
      </c>
    </row>
    <row r="61" spans="1:37" ht="18" customHeight="1">
      <c r="A61" s="519"/>
      <c r="B61" s="512" t="s">
        <v>511</v>
      </c>
      <c r="C61" s="484">
        <f t="shared" si="14"/>
        <v>1390</v>
      </c>
      <c r="D61" s="484">
        <f t="shared" si="16"/>
        <v>1390</v>
      </c>
      <c r="E61" s="513"/>
      <c r="F61" s="513">
        <f>1112+228+50</f>
        <v>1390</v>
      </c>
      <c r="G61" s="513"/>
      <c r="H61" s="513"/>
      <c r="I61" s="513"/>
      <c r="J61" s="513"/>
      <c r="K61" s="513"/>
      <c r="L61" s="513"/>
      <c r="M61" s="513"/>
      <c r="N61" s="513"/>
      <c r="O61" s="513"/>
      <c r="P61" s="513"/>
      <c r="Q61" s="513"/>
      <c r="R61" s="513"/>
      <c r="S61" s="513"/>
      <c r="T61" s="513"/>
      <c r="U61" s="513"/>
      <c r="V61" s="513"/>
      <c r="W61" s="513"/>
      <c r="X61" s="513"/>
      <c r="Y61" s="513"/>
      <c r="Z61" s="513"/>
      <c r="AA61" s="513"/>
      <c r="AB61" s="484"/>
      <c r="AF61" s="198">
        <v>1390</v>
      </c>
      <c r="AG61" s="508">
        <f t="shared" si="2"/>
        <v>0</v>
      </c>
      <c r="AJ61" s="508">
        <f t="shared" si="3"/>
        <v>0</v>
      </c>
    </row>
    <row r="62" spans="1:37" ht="18" customHeight="1">
      <c r="A62" s="519"/>
      <c r="B62" s="512" t="s">
        <v>512</v>
      </c>
      <c r="C62" s="484">
        <f t="shared" si="14"/>
        <v>942</v>
      </c>
      <c r="D62" s="484">
        <f t="shared" si="16"/>
        <v>942</v>
      </c>
      <c r="E62" s="513"/>
      <c r="F62" s="513">
        <f>680+230+32</f>
        <v>942</v>
      </c>
      <c r="G62" s="513"/>
      <c r="H62" s="513"/>
      <c r="I62" s="513"/>
      <c r="J62" s="513"/>
      <c r="K62" s="513"/>
      <c r="L62" s="513"/>
      <c r="M62" s="513"/>
      <c r="N62" s="513"/>
      <c r="O62" s="513"/>
      <c r="P62" s="513"/>
      <c r="Q62" s="513"/>
      <c r="R62" s="513"/>
      <c r="S62" s="513"/>
      <c r="T62" s="513"/>
      <c r="U62" s="513"/>
      <c r="V62" s="513"/>
      <c r="W62" s="513"/>
      <c r="X62" s="513"/>
      <c r="Y62" s="513"/>
      <c r="Z62" s="513"/>
      <c r="AA62" s="513"/>
      <c r="AB62" s="484"/>
      <c r="AF62" s="198">
        <v>942</v>
      </c>
      <c r="AG62" s="508">
        <f t="shared" si="2"/>
        <v>0</v>
      </c>
      <c r="AJ62" s="508">
        <f t="shared" si="3"/>
        <v>0</v>
      </c>
    </row>
    <row r="63" spans="1:37" ht="18" customHeight="1">
      <c r="A63" s="511" t="s">
        <v>513</v>
      </c>
      <c r="B63" s="512" t="s">
        <v>514</v>
      </c>
      <c r="C63" s="484">
        <f t="shared" si="14"/>
        <v>498</v>
      </c>
      <c r="D63" s="484">
        <f>SUM(E63:AA63)</f>
        <v>498</v>
      </c>
      <c r="E63" s="513"/>
      <c r="F63" s="484">
        <f>+F64</f>
        <v>96</v>
      </c>
      <c r="G63" s="484">
        <f>+G65+G66</f>
        <v>322</v>
      </c>
      <c r="H63" s="484"/>
      <c r="I63" s="484"/>
      <c r="J63" s="484"/>
      <c r="K63" s="484"/>
      <c r="L63" s="484"/>
      <c r="M63" s="484"/>
      <c r="N63" s="484"/>
      <c r="O63" s="484"/>
      <c r="P63" s="484"/>
      <c r="Q63" s="484"/>
      <c r="R63" s="484">
        <f>R67</f>
        <v>20</v>
      </c>
      <c r="S63" s="484">
        <f>S68</f>
        <v>60</v>
      </c>
      <c r="T63" s="513"/>
      <c r="U63" s="513"/>
      <c r="V63" s="513"/>
      <c r="W63" s="513"/>
      <c r="X63" s="513"/>
      <c r="Y63" s="513"/>
      <c r="Z63" s="513"/>
      <c r="AA63" s="513"/>
      <c r="AB63" s="484"/>
      <c r="AF63" s="198">
        <v>498</v>
      </c>
      <c r="AG63" s="508">
        <f t="shared" si="2"/>
        <v>0</v>
      </c>
      <c r="AJ63" s="508">
        <f t="shared" si="3"/>
        <v>0</v>
      </c>
    </row>
    <row r="64" spans="1:37" ht="18" customHeight="1">
      <c r="A64" s="511"/>
      <c r="B64" s="512" t="s">
        <v>515</v>
      </c>
      <c r="C64" s="484">
        <f t="shared" si="14"/>
        <v>96</v>
      </c>
      <c r="D64" s="484">
        <f t="shared" si="16"/>
        <v>96</v>
      </c>
      <c r="E64" s="513"/>
      <c r="F64" s="513">
        <f>56+40</f>
        <v>96</v>
      </c>
      <c r="G64" s="513"/>
      <c r="H64" s="513"/>
      <c r="I64" s="513"/>
      <c r="J64" s="513"/>
      <c r="K64" s="513"/>
      <c r="L64" s="513"/>
      <c r="M64" s="513"/>
      <c r="N64" s="513"/>
      <c r="O64" s="513"/>
      <c r="P64" s="513"/>
      <c r="Q64" s="513"/>
      <c r="R64" s="513"/>
      <c r="S64" s="513"/>
      <c r="T64" s="513"/>
      <c r="U64" s="513"/>
      <c r="V64" s="513"/>
      <c r="W64" s="513"/>
      <c r="X64" s="513"/>
      <c r="Y64" s="513"/>
      <c r="Z64" s="513"/>
      <c r="AA64" s="513"/>
      <c r="AB64" s="484"/>
      <c r="AF64" s="198">
        <v>96</v>
      </c>
      <c r="AG64" s="508">
        <f t="shared" si="2"/>
        <v>0</v>
      </c>
      <c r="AJ64" s="508">
        <f t="shared" si="3"/>
        <v>0</v>
      </c>
    </row>
    <row r="65" spans="1:37" ht="18" customHeight="1">
      <c r="A65" s="511"/>
      <c r="B65" s="512" t="s">
        <v>516</v>
      </c>
      <c r="C65" s="484">
        <f t="shared" si="14"/>
        <v>282</v>
      </c>
      <c r="D65" s="484">
        <f t="shared" si="16"/>
        <v>282</v>
      </c>
      <c r="E65" s="513"/>
      <c r="F65" s="513"/>
      <c r="G65" s="513">
        <f>182+100</f>
        <v>282</v>
      </c>
      <c r="H65" s="513"/>
      <c r="I65" s="513"/>
      <c r="J65" s="513"/>
      <c r="K65" s="513"/>
      <c r="L65" s="513"/>
      <c r="M65" s="513"/>
      <c r="N65" s="513"/>
      <c r="O65" s="513"/>
      <c r="P65" s="513"/>
      <c r="Q65" s="513"/>
      <c r="R65" s="513"/>
      <c r="S65" s="513"/>
      <c r="T65" s="513"/>
      <c r="U65" s="513"/>
      <c r="V65" s="513"/>
      <c r="W65" s="513"/>
      <c r="X65" s="513"/>
      <c r="Y65" s="513"/>
      <c r="Z65" s="513"/>
      <c r="AA65" s="513"/>
      <c r="AB65" s="484"/>
      <c r="AF65" s="198">
        <v>282</v>
      </c>
      <c r="AG65" s="508">
        <f t="shared" si="2"/>
        <v>0</v>
      </c>
      <c r="AJ65" s="508">
        <f t="shared" si="3"/>
        <v>0</v>
      </c>
    </row>
    <row r="66" spans="1:37" ht="18" customHeight="1">
      <c r="A66" s="511"/>
      <c r="B66" s="512" t="s">
        <v>517</v>
      </c>
      <c r="C66" s="484">
        <f t="shared" si="14"/>
        <v>40</v>
      </c>
      <c r="D66" s="484">
        <f t="shared" si="16"/>
        <v>40</v>
      </c>
      <c r="E66" s="513"/>
      <c r="F66" s="513"/>
      <c r="G66" s="513">
        <v>40</v>
      </c>
      <c r="H66" s="513"/>
      <c r="I66" s="513"/>
      <c r="J66" s="513"/>
      <c r="K66" s="513"/>
      <c r="L66" s="513"/>
      <c r="M66" s="513"/>
      <c r="N66" s="513"/>
      <c r="O66" s="513"/>
      <c r="P66" s="513"/>
      <c r="Q66" s="513"/>
      <c r="R66" s="513"/>
      <c r="S66" s="513"/>
      <c r="T66" s="513"/>
      <c r="U66" s="513"/>
      <c r="V66" s="513"/>
      <c r="W66" s="513"/>
      <c r="X66" s="513"/>
      <c r="Y66" s="513"/>
      <c r="Z66" s="513"/>
      <c r="AA66" s="513"/>
      <c r="AB66" s="484"/>
      <c r="AF66" s="198">
        <v>40</v>
      </c>
      <c r="AG66" s="508">
        <f t="shared" si="2"/>
        <v>0</v>
      </c>
      <c r="AJ66" s="508">
        <f t="shared" si="3"/>
        <v>0</v>
      </c>
    </row>
    <row r="67" spans="1:37" ht="18" customHeight="1">
      <c r="A67" s="511"/>
      <c r="B67" s="512" t="s">
        <v>518</v>
      </c>
      <c r="C67" s="484">
        <f t="shared" si="14"/>
        <v>20</v>
      </c>
      <c r="D67" s="484">
        <f t="shared" si="16"/>
        <v>20</v>
      </c>
      <c r="E67" s="513"/>
      <c r="F67" s="513"/>
      <c r="G67" s="513"/>
      <c r="H67" s="513"/>
      <c r="I67" s="513"/>
      <c r="J67" s="513"/>
      <c r="K67" s="513"/>
      <c r="L67" s="513"/>
      <c r="M67" s="513"/>
      <c r="N67" s="513"/>
      <c r="O67" s="513"/>
      <c r="P67" s="513"/>
      <c r="Q67" s="513"/>
      <c r="R67" s="513">
        <v>20</v>
      </c>
      <c r="S67" s="513"/>
      <c r="T67" s="513"/>
      <c r="U67" s="513"/>
      <c r="V67" s="513"/>
      <c r="W67" s="513"/>
      <c r="X67" s="513"/>
      <c r="Y67" s="513"/>
      <c r="Z67" s="513"/>
      <c r="AA67" s="513"/>
      <c r="AB67" s="484"/>
      <c r="AF67" s="198">
        <v>20</v>
      </c>
      <c r="AG67" s="508">
        <f t="shared" si="2"/>
        <v>0</v>
      </c>
      <c r="AJ67" s="508">
        <f t="shared" si="3"/>
        <v>0</v>
      </c>
    </row>
    <row r="68" spans="1:37" ht="18" customHeight="1">
      <c r="A68" s="511"/>
      <c r="B68" s="512" t="s">
        <v>519</v>
      </c>
      <c r="C68" s="484">
        <f t="shared" si="14"/>
        <v>60</v>
      </c>
      <c r="D68" s="484">
        <f>SUM(E68:AA68)</f>
        <v>60</v>
      </c>
      <c r="E68" s="513"/>
      <c r="F68" s="513"/>
      <c r="G68" s="513"/>
      <c r="H68" s="513"/>
      <c r="I68" s="513"/>
      <c r="J68" s="513"/>
      <c r="K68" s="513"/>
      <c r="L68" s="513"/>
      <c r="M68" s="513"/>
      <c r="N68" s="513"/>
      <c r="O68" s="513"/>
      <c r="P68" s="513"/>
      <c r="Q68" s="513"/>
      <c r="R68" s="513"/>
      <c r="S68" s="513">
        <v>60</v>
      </c>
      <c r="T68" s="513"/>
      <c r="U68" s="513"/>
      <c r="V68" s="513"/>
      <c r="W68" s="513"/>
      <c r="X68" s="513"/>
      <c r="Y68" s="513"/>
      <c r="Z68" s="513"/>
      <c r="AA68" s="513"/>
      <c r="AB68" s="484"/>
      <c r="AF68" s="198">
        <v>60</v>
      </c>
      <c r="AG68" s="508">
        <f t="shared" si="2"/>
        <v>0</v>
      </c>
      <c r="AJ68" s="508">
        <f t="shared" si="3"/>
        <v>0</v>
      </c>
    </row>
    <row r="69" spans="1:37" s="489" customFormat="1" ht="18" customHeight="1">
      <c r="A69" s="496">
        <v>12</v>
      </c>
      <c r="B69" s="510" t="s">
        <v>25</v>
      </c>
      <c r="C69" s="484">
        <f t="shared" si="14"/>
        <v>74580</v>
      </c>
      <c r="D69" s="484">
        <f>SUM(E69:AA69)</f>
        <v>72606</v>
      </c>
      <c r="E69" s="484"/>
      <c r="F69" s="484"/>
      <c r="G69" s="484"/>
      <c r="H69" s="484"/>
      <c r="I69" s="484"/>
      <c r="J69" s="484"/>
      <c r="K69" s="484"/>
      <c r="L69" s="484"/>
      <c r="M69" s="484"/>
      <c r="N69" s="484"/>
      <c r="O69" s="484"/>
      <c r="P69" s="484">
        <f>67486+P73+P74-Q69</f>
        <v>72421</v>
      </c>
      <c r="Q69" s="484">
        <f>127+58</f>
        <v>185</v>
      </c>
      <c r="R69" s="484"/>
      <c r="S69" s="484"/>
      <c r="T69" s="484"/>
      <c r="U69" s="484"/>
      <c r="V69" s="484"/>
      <c r="W69" s="484"/>
      <c r="X69" s="484"/>
      <c r="Y69" s="484"/>
      <c r="Z69" s="484"/>
      <c r="AA69" s="484"/>
      <c r="AB69" s="484">
        <f>+'Chi xã,TT 2025'!C35</f>
        <v>1974</v>
      </c>
      <c r="AC69" s="534"/>
      <c r="AD69" s="534"/>
      <c r="AF69" s="198">
        <v>72606</v>
      </c>
      <c r="AG69" s="508">
        <f t="shared" si="2"/>
        <v>0</v>
      </c>
      <c r="AI69" s="198">
        <v>1974</v>
      </c>
      <c r="AJ69" s="508">
        <f t="shared" si="3"/>
        <v>0</v>
      </c>
    </row>
    <row r="70" spans="1:37" ht="22.5" customHeight="1">
      <c r="A70" s="511"/>
      <c r="B70" s="515" t="s">
        <v>869</v>
      </c>
      <c r="C70" s="484">
        <f t="shared" si="14"/>
        <v>62243</v>
      </c>
      <c r="D70" s="484">
        <f t="shared" ref="D70:D74" si="17">SUM(E70:AA70)</f>
        <v>62243</v>
      </c>
      <c r="E70" s="513"/>
      <c r="F70" s="513"/>
      <c r="G70" s="513"/>
      <c r="H70" s="513"/>
      <c r="I70" s="513"/>
      <c r="J70" s="513"/>
      <c r="K70" s="513"/>
      <c r="L70" s="513"/>
      <c r="M70" s="513"/>
      <c r="N70" s="513"/>
      <c r="O70" s="513"/>
      <c r="P70" s="569">
        <v>62243</v>
      </c>
      <c r="Q70" s="569"/>
      <c r="R70" s="513"/>
      <c r="S70" s="513"/>
      <c r="T70" s="513"/>
      <c r="U70" s="513"/>
      <c r="V70" s="513"/>
      <c r="W70" s="513"/>
      <c r="X70" s="513"/>
      <c r="Y70" s="513"/>
      <c r="Z70" s="513"/>
      <c r="AA70" s="513"/>
      <c r="AB70" s="484"/>
      <c r="AF70" s="489">
        <v>0</v>
      </c>
      <c r="AG70" s="508">
        <f t="shared" si="2"/>
        <v>62243</v>
      </c>
      <c r="AI70" s="489"/>
      <c r="AJ70" s="508">
        <f t="shared" si="3"/>
        <v>0</v>
      </c>
    </row>
    <row r="71" spans="1:37" ht="20.25" customHeight="1">
      <c r="A71" s="511"/>
      <c r="B71" s="512" t="s">
        <v>868</v>
      </c>
      <c r="C71" s="484">
        <f t="shared" si="14"/>
        <v>5058</v>
      </c>
      <c r="D71" s="484">
        <f t="shared" si="17"/>
        <v>5058</v>
      </c>
      <c r="E71" s="513"/>
      <c r="F71" s="513"/>
      <c r="G71" s="513"/>
      <c r="H71" s="513"/>
      <c r="I71" s="513"/>
      <c r="J71" s="513"/>
      <c r="K71" s="513"/>
      <c r="L71" s="513"/>
      <c r="M71" s="513"/>
      <c r="N71" s="513"/>
      <c r="O71" s="513"/>
      <c r="P71" s="569">
        <v>5058</v>
      </c>
      <c r="Q71" s="569"/>
      <c r="R71" s="513"/>
      <c r="S71" s="513"/>
      <c r="T71" s="513"/>
      <c r="U71" s="513"/>
      <c r="V71" s="513"/>
      <c r="W71" s="513"/>
      <c r="X71" s="513"/>
      <c r="Y71" s="513"/>
      <c r="Z71" s="513"/>
      <c r="AA71" s="513"/>
      <c r="AB71" s="484"/>
      <c r="AF71" s="198">
        <v>0</v>
      </c>
      <c r="AG71" s="508">
        <f t="shared" si="2"/>
        <v>5058</v>
      </c>
      <c r="AJ71" s="508">
        <f t="shared" si="3"/>
        <v>0</v>
      </c>
    </row>
    <row r="72" spans="1:37" ht="30" customHeight="1">
      <c r="A72" s="511"/>
      <c r="B72" s="515" t="s">
        <v>520</v>
      </c>
      <c r="C72" s="484">
        <f t="shared" si="14"/>
        <v>185</v>
      </c>
      <c r="D72" s="484">
        <f t="shared" si="17"/>
        <v>185</v>
      </c>
      <c r="E72" s="513"/>
      <c r="F72" s="513"/>
      <c r="G72" s="513"/>
      <c r="H72" s="513"/>
      <c r="I72" s="513"/>
      <c r="J72" s="513"/>
      <c r="K72" s="513"/>
      <c r="L72" s="513"/>
      <c r="M72" s="513"/>
      <c r="N72" s="513"/>
      <c r="O72" s="513"/>
      <c r="P72" s="569"/>
      <c r="Q72" s="569">
        <v>185</v>
      </c>
      <c r="R72" s="513"/>
      <c r="S72" s="513"/>
      <c r="T72" s="513"/>
      <c r="U72" s="513"/>
      <c r="V72" s="513"/>
      <c r="W72" s="513"/>
      <c r="X72" s="513"/>
      <c r="Y72" s="513"/>
      <c r="Z72" s="513"/>
      <c r="AA72" s="513"/>
      <c r="AB72" s="484"/>
      <c r="AF72" s="198">
        <v>0</v>
      </c>
      <c r="AG72" s="508">
        <f t="shared" ref="AG72:AG78" si="18">D72-AF72</f>
        <v>185</v>
      </c>
      <c r="AJ72" s="508">
        <f t="shared" ref="AJ72:AJ77" si="19">AB72-AI72</f>
        <v>0</v>
      </c>
    </row>
    <row r="73" spans="1:37" ht="15.75" customHeight="1">
      <c r="A73" s="511"/>
      <c r="B73" s="512" t="s">
        <v>738</v>
      </c>
      <c r="C73" s="484">
        <f t="shared" si="14"/>
        <v>120</v>
      </c>
      <c r="D73" s="484">
        <f t="shared" si="17"/>
        <v>120</v>
      </c>
      <c r="E73" s="513"/>
      <c r="F73" s="513"/>
      <c r="G73" s="513"/>
      <c r="H73" s="513"/>
      <c r="I73" s="513"/>
      <c r="J73" s="513"/>
      <c r="K73" s="513"/>
      <c r="L73" s="513"/>
      <c r="M73" s="513"/>
      <c r="N73" s="513"/>
      <c r="O73" s="513"/>
      <c r="P73" s="513">
        <v>120</v>
      </c>
      <c r="Q73" s="513"/>
      <c r="R73" s="513"/>
      <c r="S73" s="513"/>
      <c r="T73" s="513"/>
      <c r="U73" s="513"/>
      <c r="V73" s="513"/>
      <c r="W73" s="513"/>
      <c r="X73" s="513"/>
      <c r="Y73" s="513"/>
      <c r="Z73" s="513"/>
      <c r="AA73" s="513"/>
      <c r="AB73" s="484"/>
      <c r="AF73" s="198">
        <v>120</v>
      </c>
      <c r="AG73" s="508">
        <f t="shared" si="18"/>
        <v>0</v>
      </c>
      <c r="AJ73" s="508">
        <f t="shared" si="19"/>
        <v>0</v>
      </c>
    </row>
    <row r="74" spans="1:37" ht="18.75" customHeight="1">
      <c r="A74" s="511"/>
      <c r="B74" s="512" t="s">
        <v>521</v>
      </c>
      <c r="C74" s="484">
        <f t="shared" si="14"/>
        <v>5000</v>
      </c>
      <c r="D74" s="484">
        <f t="shared" si="17"/>
        <v>5000</v>
      </c>
      <c r="E74" s="513"/>
      <c r="F74" s="513"/>
      <c r="G74" s="513"/>
      <c r="H74" s="513"/>
      <c r="I74" s="513"/>
      <c r="J74" s="513"/>
      <c r="K74" s="513"/>
      <c r="L74" s="513"/>
      <c r="M74" s="513"/>
      <c r="N74" s="513"/>
      <c r="O74" s="513"/>
      <c r="P74" s="513">
        <v>5000</v>
      </c>
      <c r="Q74" s="513"/>
      <c r="R74" s="513"/>
      <c r="S74" s="513"/>
      <c r="T74" s="513"/>
      <c r="U74" s="513"/>
      <c r="V74" s="513"/>
      <c r="W74" s="513"/>
      <c r="X74" s="513"/>
      <c r="Y74" s="513"/>
      <c r="Z74" s="513"/>
      <c r="AA74" s="513"/>
      <c r="AB74" s="484"/>
      <c r="AF74" s="198">
        <v>5000</v>
      </c>
      <c r="AG74" s="508">
        <f t="shared" si="18"/>
        <v>0</v>
      </c>
      <c r="AJ74" s="508">
        <f t="shared" si="19"/>
        <v>0</v>
      </c>
    </row>
    <row r="75" spans="1:37" ht="19.5" customHeight="1">
      <c r="A75" s="496">
        <v>13</v>
      </c>
      <c r="B75" s="510" t="s">
        <v>394</v>
      </c>
      <c r="C75" s="484">
        <f>D75+AB75</f>
        <v>2070</v>
      </c>
      <c r="D75" s="484">
        <f>SUM(E75:AA75)</f>
        <v>2070</v>
      </c>
      <c r="E75" s="484"/>
      <c r="F75" s="484"/>
      <c r="G75" s="484"/>
      <c r="H75" s="484"/>
      <c r="I75" s="484"/>
      <c r="J75" s="484"/>
      <c r="K75" s="484"/>
      <c r="L75" s="484"/>
      <c r="M75" s="484"/>
      <c r="N75" s="484"/>
      <c r="O75" s="484"/>
      <c r="P75" s="484"/>
      <c r="Q75" s="484"/>
      <c r="R75" s="484"/>
      <c r="S75" s="484"/>
      <c r="T75" s="484"/>
      <c r="U75" s="484"/>
      <c r="V75" s="484"/>
      <c r="W75" s="484"/>
      <c r="X75" s="484"/>
      <c r="Y75" s="484"/>
      <c r="Z75" s="484"/>
      <c r="AA75" s="484">
        <f>AA76+AA77</f>
        <v>2070</v>
      </c>
      <c r="AB75" s="484"/>
      <c r="AF75" s="198">
        <v>5070</v>
      </c>
      <c r="AG75" s="508">
        <f t="shared" si="18"/>
        <v>-3000</v>
      </c>
      <c r="AJ75" s="508">
        <f t="shared" si="19"/>
        <v>0</v>
      </c>
    </row>
    <row r="76" spans="1:37" ht="24" customHeight="1">
      <c r="A76" s="511"/>
      <c r="B76" s="515" t="s">
        <v>721</v>
      </c>
      <c r="C76" s="484">
        <f t="shared" si="14"/>
        <v>2000</v>
      </c>
      <c r="D76" s="484">
        <f>SUM(E76:AA76)</f>
        <v>2000</v>
      </c>
      <c r="E76" s="513"/>
      <c r="F76" s="513"/>
      <c r="G76" s="513"/>
      <c r="H76" s="513"/>
      <c r="I76" s="513"/>
      <c r="J76" s="513"/>
      <c r="K76" s="513"/>
      <c r="L76" s="513"/>
      <c r="M76" s="513"/>
      <c r="N76" s="513"/>
      <c r="O76" s="513"/>
      <c r="P76" s="513"/>
      <c r="Q76" s="513"/>
      <c r="R76" s="513"/>
      <c r="S76" s="513"/>
      <c r="T76" s="513"/>
      <c r="U76" s="513"/>
      <c r="V76" s="513"/>
      <c r="W76" s="513"/>
      <c r="X76" s="513"/>
      <c r="Y76" s="513"/>
      <c r="Z76" s="513"/>
      <c r="AA76" s="513">
        <v>2000</v>
      </c>
      <c r="AB76" s="484"/>
      <c r="AF76" s="198">
        <v>5000</v>
      </c>
      <c r="AG76" s="508">
        <f t="shared" si="18"/>
        <v>-3000</v>
      </c>
      <c r="AJ76" s="508">
        <f t="shared" si="19"/>
        <v>0</v>
      </c>
    </row>
    <row r="77" spans="1:37" ht="33.75" customHeight="1">
      <c r="A77" s="521"/>
      <c r="B77" s="522" t="s">
        <v>841</v>
      </c>
      <c r="C77" s="484">
        <f t="shared" si="14"/>
        <v>70</v>
      </c>
      <c r="D77" s="484">
        <f>SUM(E77:AA77)</f>
        <v>70</v>
      </c>
      <c r="E77" s="523"/>
      <c r="F77" s="523"/>
      <c r="G77" s="523"/>
      <c r="H77" s="523"/>
      <c r="I77" s="523"/>
      <c r="J77" s="523"/>
      <c r="K77" s="523"/>
      <c r="L77" s="523"/>
      <c r="M77" s="523"/>
      <c r="N77" s="523"/>
      <c r="O77" s="523"/>
      <c r="P77" s="523"/>
      <c r="Q77" s="523"/>
      <c r="R77" s="523"/>
      <c r="S77" s="523"/>
      <c r="T77" s="523"/>
      <c r="U77" s="523"/>
      <c r="V77" s="523"/>
      <c r="W77" s="523"/>
      <c r="X77" s="523"/>
      <c r="Y77" s="523"/>
      <c r="Z77" s="523"/>
      <c r="AA77" s="523">
        <v>70</v>
      </c>
      <c r="AB77" s="523"/>
      <c r="AF77" s="198">
        <v>70</v>
      </c>
      <c r="AG77" s="508">
        <f t="shared" si="18"/>
        <v>0</v>
      </c>
      <c r="AJ77" s="508">
        <f t="shared" si="19"/>
        <v>0</v>
      </c>
    </row>
    <row r="78" spans="1:37" ht="20.25" customHeight="1">
      <c r="A78" s="496" t="s">
        <v>20</v>
      </c>
      <c r="B78" s="510" t="s">
        <v>27</v>
      </c>
      <c r="C78" s="484">
        <f t="shared" si="14"/>
        <v>20685</v>
      </c>
      <c r="D78" s="484">
        <f>SUM(E78:AA78)</f>
        <v>17876</v>
      </c>
      <c r="E78" s="484"/>
      <c r="F78" s="484"/>
      <c r="G78" s="484"/>
      <c r="H78" s="484"/>
      <c r="I78" s="484"/>
      <c r="J78" s="484"/>
      <c r="K78" s="484"/>
      <c r="L78" s="484"/>
      <c r="M78" s="484"/>
      <c r="N78" s="484"/>
      <c r="O78" s="484"/>
      <c r="P78" s="484"/>
      <c r="Q78" s="484"/>
      <c r="R78" s="484"/>
      <c r="S78" s="484"/>
      <c r="T78" s="484"/>
      <c r="U78" s="484"/>
      <c r="V78" s="484"/>
      <c r="W78" s="484"/>
      <c r="X78" s="484"/>
      <c r="Y78" s="484"/>
      <c r="Z78" s="484"/>
      <c r="AA78" s="484">
        <f>20521+102+62-AB78</f>
        <v>17876</v>
      </c>
      <c r="AB78" s="484">
        <f>+'Chi xã,TT 2025'!C36</f>
        <v>2809</v>
      </c>
      <c r="AC78" s="560">
        <f>20521</f>
        <v>20521</v>
      </c>
      <c r="AD78" s="560">
        <f>C78-AC78</f>
        <v>164</v>
      </c>
      <c r="AF78" s="198">
        <v>17793</v>
      </c>
      <c r="AG78" s="567">
        <f t="shared" si="18"/>
        <v>83</v>
      </c>
      <c r="AI78" s="198">
        <v>2830</v>
      </c>
      <c r="AJ78" s="567">
        <f>AB78-AI78</f>
        <v>-21</v>
      </c>
    </row>
    <row r="79" spans="1:37" s="526" customFormat="1" ht="19.5" customHeight="1">
      <c r="A79" s="509" t="s">
        <v>9</v>
      </c>
      <c r="B79" s="524" t="s">
        <v>102</v>
      </c>
      <c r="C79" s="525">
        <f>+C80+C139</f>
        <v>101980</v>
      </c>
      <c r="D79" s="525">
        <f>SUM(E79:AA79)</f>
        <v>98732</v>
      </c>
      <c r="E79" s="525">
        <f t="shared" ref="E79:AA79" si="20">+E80+E139</f>
        <v>0</v>
      </c>
      <c r="F79" s="525">
        <f t="shared" si="20"/>
        <v>0</v>
      </c>
      <c r="G79" s="525">
        <f t="shared" si="20"/>
        <v>0</v>
      </c>
      <c r="H79" s="525">
        <f t="shared" si="20"/>
        <v>490</v>
      </c>
      <c r="I79" s="525">
        <f t="shared" si="20"/>
        <v>0</v>
      </c>
      <c r="J79" s="525">
        <f t="shared" si="20"/>
        <v>0</v>
      </c>
      <c r="K79" s="525">
        <f t="shared" si="20"/>
        <v>0</v>
      </c>
      <c r="L79" s="525">
        <f t="shared" si="20"/>
        <v>0</v>
      </c>
      <c r="M79" s="525">
        <f t="shared" si="20"/>
        <v>191</v>
      </c>
      <c r="N79" s="525">
        <f t="shared" si="20"/>
        <v>0</v>
      </c>
      <c r="O79" s="525">
        <f t="shared" si="20"/>
        <v>0</v>
      </c>
      <c r="P79" s="525">
        <f t="shared" si="20"/>
        <v>0</v>
      </c>
      <c r="Q79" s="525">
        <f t="shared" si="20"/>
        <v>0</v>
      </c>
      <c r="R79" s="525">
        <f t="shared" si="20"/>
        <v>0</v>
      </c>
      <c r="S79" s="525">
        <f t="shared" si="20"/>
        <v>0</v>
      </c>
      <c r="T79" s="525">
        <f t="shared" si="20"/>
        <v>0</v>
      </c>
      <c r="U79" s="525">
        <f t="shared" si="20"/>
        <v>0</v>
      </c>
      <c r="V79" s="525">
        <f t="shared" si="20"/>
        <v>0</v>
      </c>
      <c r="W79" s="525">
        <f t="shared" si="20"/>
        <v>0</v>
      </c>
      <c r="X79" s="525">
        <f t="shared" si="20"/>
        <v>0</v>
      </c>
      <c r="Y79" s="525">
        <f t="shared" si="20"/>
        <v>0</v>
      </c>
      <c r="Z79" s="525">
        <f t="shared" si="20"/>
        <v>97576</v>
      </c>
      <c r="AA79" s="525">
        <f t="shared" si="20"/>
        <v>475</v>
      </c>
      <c r="AB79" s="525">
        <f>+AB80+AB139</f>
        <v>3248</v>
      </c>
      <c r="AC79" s="560"/>
      <c r="AD79" s="560"/>
    </row>
    <row r="80" spans="1:37" s="489" customFormat="1" ht="19.5" customHeight="1">
      <c r="A80" s="527" t="s">
        <v>18</v>
      </c>
      <c r="B80" s="528" t="s">
        <v>522</v>
      </c>
      <c r="C80" s="529">
        <f t="shared" ref="C80:C111" si="21">+D80+AB80</f>
        <v>101314</v>
      </c>
      <c r="D80" s="484">
        <f t="shared" ref="D80:D142" si="22">SUM(E80:AA80)</f>
        <v>98066</v>
      </c>
      <c r="E80" s="530">
        <f>+E83+E104+E127</f>
        <v>0</v>
      </c>
      <c r="F80" s="530">
        <f t="shared" ref="F80:AB82" si="23">+F83+F104+F127</f>
        <v>0</v>
      </c>
      <c r="G80" s="530">
        <f t="shared" si="23"/>
        <v>0</v>
      </c>
      <c r="H80" s="530">
        <f t="shared" si="23"/>
        <v>490</v>
      </c>
      <c r="I80" s="530">
        <f t="shared" si="23"/>
        <v>0</v>
      </c>
      <c r="J80" s="530">
        <f t="shared" si="23"/>
        <v>0</v>
      </c>
      <c r="K80" s="530">
        <f t="shared" si="23"/>
        <v>0</v>
      </c>
      <c r="L80" s="530">
        <f t="shared" si="23"/>
        <v>0</v>
      </c>
      <c r="M80" s="530">
        <f t="shared" si="23"/>
        <v>0</v>
      </c>
      <c r="N80" s="530">
        <f t="shared" si="23"/>
        <v>0</v>
      </c>
      <c r="O80" s="530">
        <f t="shared" si="23"/>
        <v>0</v>
      </c>
      <c r="P80" s="530">
        <f t="shared" si="23"/>
        <v>0</v>
      </c>
      <c r="Q80" s="530">
        <f t="shared" si="23"/>
        <v>0</v>
      </c>
      <c r="R80" s="530">
        <f t="shared" si="23"/>
        <v>0</v>
      </c>
      <c r="S80" s="530">
        <f t="shared" si="23"/>
        <v>0</v>
      </c>
      <c r="T80" s="530">
        <f t="shared" si="23"/>
        <v>0</v>
      </c>
      <c r="U80" s="530">
        <f t="shared" si="23"/>
        <v>0</v>
      </c>
      <c r="V80" s="530">
        <f t="shared" si="23"/>
        <v>0</v>
      </c>
      <c r="W80" s="530">
        <f t="shared" si="23"/>
        <v>0</v>
      </c>
      <c r="X80" s="530">
        <f t="shared" si="23"/>
        <v>0</v>
      </c>
      <c r="Y80" s="530">
        <f t="shared" si="23"/>
        <v>0</v>
      </c>
      <c r="Z80" s="530">
        <f t="shared" si="23"/>
        <v>97576</v>
      </c>
      <c r="AA80" s="530">
        <f t="shared" si="23"/>
        <v>0</v>
      </c>
      <c r="AB80" s="530">
        <f t="shared" si="23"/>
        <v>3248</v>
      </c>
      <c r="AC80" s="560">
        <f>48964+52351-1</f>
        <v>101314</v>
      </c>
      <c r="AD80" s="560">
        <f t="shared" ref="AD80" si="24">C80-AC80</f>
        <v>0</v>
      </c>
      <c r="AE80" s="526"/>
      <c r="AF80" s="526"/>
      <c r="AG80" s="526"/>
      <c r="AH80" s="526"/>
      <c r="AI80" s="526"/>
      <c r="AJ80" s="526"/>
      <c r="AK80" s="526"/>
    </row>
    <row r="81" spans="1:37" s="534" customFormat="1" ht="19.5" customHeight="1">
      <c r="A81" s="531" t="s">
        <v>451</v>
      </c>
      <c r="B81" s="532" t="s">
        <v>178</v>
      </c>
      <c r="C81" s="529">
        <f t="shared" si="21"/>
        <v>98744</v>
      </c>
      <c r="D81" s="484">
        <f t="shared" si="22"/>
        <v>97576</v>
      </c>
      <c r="E81" s="530">
        <f>+E84+E105+E128</f>
        <v>0</v>
      </c>
      <c r="F81" s="530">
        <f t="shared" si="23"/>
        <v>0</v>
      </c>
      <c r="G81" s="530">
        <f t="shared" si="23"/>
        <v>0</v>
      </c>
      <c r="H81" s="530">
        <f t="shared" si="23"/>
        <v>0</v>
      </c>
      <c r="I81" s="530">
        <f t="shared" si="23"/>
        <v>0</v>
      </c>
      <c r="J81" s="530">
        <f t="shared" si="23"/>
        <v>0</v>
      </c>
      <c r="K81" s="530">
        <f t="shared" si="23"/>
        <v>0</v>
      </c>
      <c r="L81" s="530">
        <f t="shared" si="23"/>
        <v>0</v>
      </c>
      <c r="M81" s="530">
        <f t="shared" si="23"/>
        <v>0</v>
      </c>
      <c r="N81" s="530">
        <f t="shared" si="23"/>
        <v>0</v>
      </c>
      <c r="O81" s="530">
        <f t="shared" si="23"/>
        <v>0</v>
      </c>
      <c r="P81" s="530">
        <f t="shared" si="23"/>
        <v>0</v>
      </c>
      <c r="Q81" s="530">
        <f t="shared" si="23"/>
        <v>0</v>
      </c>
      <c r="R81" s="530">
        <f t="shared" si="23"/>
        <v>0</v>
      </c>
      <c r="S81" s="530">
        <f t="shared" si="23"/>
        <v>0</v>
      </c>
      <c r="T81" s="530">
        <f t="shared" si="23"/>
        <v>0</v>
      </c>
      <c r="U81" s="530">
        <f t="shared" si="23"/>
        <v>0</v>
      </c>
      <c r="V81" s="530">
        <f t="shared" si="23"/>
        <v>0</v>
      </c>
      <c r="W81" s="530">
        <f t="shared" si="23"/>
        <v>0</v>
      </c>
      <c r="X81" s="530">
        <f t="shared" si="23"/>
        <v>0</v>
      </c>
      <c r="Y81" s="530">
        <f t="shared" si="23"/>
        <v>0</v>
      </c>
      <c r="Z81" s="530">
        <f>+Z84+Z105+Z128</f>
        <v>97576</v>
      </c>
      <c r="AA81" s="530">
        <f t="shared" si="23"/>
        <v>0</v>
      </c>
      <c r="AB81" s="530">
        <f t="shared" ref="AB81" si="25">+AB84+AB105+AB128</f>
        <v>1168</v>
      </c>
      <c r="AC81" s="560"/>
      <c r="AD81" s="560"/>
      <c r="AE81" s="526"/>
      <c r="AF81" s="526"/>
      <c r="AG81" s="526"/>
      <c r="AH81" s="526"/>
      <c r="AI81" s="526"/>
      <c r="AJ81" s="526"/>
      <c r="AK81" s="526"/>
    </row>
    <row r="82" spans="1:37" s="534" customFormat="1" ht="19.5" customHeight="1">
      <c r="A82" s="531" t="s">
        <v>451</v>
      </c>
      <c r="B82" s="532" t="s">
        <v>179</v>
      </c>
      <c r="C82" s="529">
        <f t="shared" si="21"/>
        <v>2570</v>
      </c>
      <c r="D82" s="484">
        <f>SUM(E82:AA82)</f>
        <v>490</v>
      </c>
      <c r="E82" s="530">
        <f>+E85+E106+E129</f>
        <v>0</v>
      </c>
      <c r="F82" s="530">
        <f t="shared" si="23"/>
        <v>0</v>
      </c>
      <c r="G82" s="530">
        <f t="shared" si="23"/>
        <v>0</v>
      </c>
      <c r="H82" s="530">
        <f t="shared" si="23"/>
        <v>490</v>
      </c>
      <c r="I82" s="530">
        <f t="shared" si="23"/>
        <v>0</v>
      </c>
      <c r="J82" s="530">
        <f t="shared" si="23"/>
        <v>0</v>
      </c>
      <c r="K82" s="530">
        <f t="shared" si="23"/>
        <v>0</v>
      </c>
      <c r="L82" s="530">
        <f t="shared" si="23"/>
        <v>0</v>
      </c>
      <c r="M82" s="530">
        <f t="shared" si="23"/>
        <v>0</v>
      </c>
      <c r="N82" s="530">
        <f t="shared" si="23"/>
        <v>0</v>
      </c>
      <c r="O82" s="530">
        <f t="shared" si="23"/>
        <v>0</v>
      </c>
      <c r="P82" s="530">
        <f t="shared" si="23"/>
        <v>0</v>
      </c>
      <c r="Q82" s="530">
        <f t="shared" si="23"/>
        <v>0</v>
      </c>
      <c r="R82" s="530">
        <f t="shared" si="23"/>
        <v>0</v>
      </c>
      <c r="S82" s="530">
        <f t="shared" si="23"/>
        <v>0</v>
      </c>
      <c r="T82" s="530">
        <f t="shared" si="23"/>
        <v>0</v>
      </c>
      <c r="U82" s="530">
        <f t="shared" si="23"/>
        <v>0</v>
      </c>
      <c r="V82" s="530">
        <f t="shared" si="23"/>
        <v>0</v>
      </c>
      <c r="W82" s="530">
        <f t="shared" si="23"/>
        <v>0</v>
      </c>
      <c r="X82" s="530">
        <f t="shared" si="23"/>
        <v>0</v>
      </c>
      <c r="Y82" s="530">
        <f t="shared" si="23"/>
        <v>0</v>
      </c>
      <c r="Z82" s="530">
        <f>+Z85+Z106+Z129</f>
        <v>0</v>
      </c>
      <c r="AA82" s="530">
        <f t="shared" si="23"/>
        <v>0</v>
      </c>
      <c r="AB82" s="530">
        <f t="shared" ref="AB82" si="26">+AB85+AB106+AB129</f>
        <v>2080</v>
      </c>
      <c r="AC82" s="560"/>
      <c r="AD82" s="560"/>
      <c r="AE82" s="526"/>
      <c r="AF82" s="526"/>
      <c r="AG82" s="526"/>
      <c r="AH82" s="526"/>
      <c r="AI82" s="526"/>
      <c r="AJ82" s="526"/>
      <c r="AK82" s="526"/>
    </row>
    <row r="83" spans="1:37" s="489" customFormat="1" ht="31.5" customHeight="1">
      <c r="A83" s="527">
        <v>1</v>
      </c>
      <c r="B83" s="528" t="s">
        <v>523</v>
      </c>
      <c r="C83" s="529">
        <f t="shared" si="21"/>
        <v>76540</v>
      </c>
      <c r="D83" s="484">
        <f t="shared" si="22"/>
        <v>75372</v>
      </c>
      <c r="E83" s="530">
        <f>+E84+E85</f>
        <v>0</v>
      </c>
      <c r="F83" s="530">
        <f t="shared" ref="F83:AB83" si="27">+F84+F85</f>
        <v>0</v>
      </c>
      <c r="G83" s="530">
        <f t="shared" si="27"/>
        <v>0</v>
      </c>
      <c r="H83" s="530">
        <f t="shared" si="27"/>
        <v>0</v>
      </c>
      <c r="I83" s="530">
        <f t="shared" si="27"/>
        <v>0</v>
      </c>
      <c r="J83" s="530">
        <f t="shared" si="27"/>
        <v>0</v>
      </c>
      <c r="K83" s="530">
        <f t="shared" si="27"/>
        <v>0</v>
      </c>
      <c r="L83" s="530">
        <f t="shared" si="27"/>
        <v>0</v>
      </c>
      <c r="M83" s="530">
        <f t="shared" si="27"/>
        <v>0</v>
      </c>
      <c r="N83" s="530">
        <f t="shared" si="27"/>
        <v>0</v>
      </c>
      <c r="O83" s="530">
        <f t="shared" si="27"/>
        <v>0</v>
      </c>
      <c r="P83" s="530">
        <f t="shared" si="27"/>
        <v>0</v>
      </c>
      <c r="Q83" s="530">
        <f t="shared" si="27"/>
        <v>0</v>
      </c>
      <c r="R83" s="530">
        <f t="shared" si="27"/>
        <v>0</v>
      </c>
      <c r="S83" s="530">
        <f t="shared" si="27"/>
        <v>0</v>
      </c>
      <c r="T83" s="530">
        <f t="shared" si="27"/>
        <v>0</v>
      </c>
      <c r="U83" s="530">
        <f t="shared" si="27"/>
        <v>0</v>
      </c>
      <c r="V83" s="530">
        <f t="shared" si="27"/>
        <v>0</v>
      </c>
      <c r="W83" s="530">
        <f t="shared" si="27"/>
        <v>0</v>
      </c>
      <c r="X83" s="530">
        <f t="shared" si="27"/>
        <v>0</v>
      </c>
      <c r="Y83" s="530">
        <f t="shared" si="27"/>
        <v>0</v>
      </c>
      <c r="Z83" s="530">
        <f t="shared" si="27"/>
        <v>75372</v>
      </c>
      <c r="AA83" s="530">
        <f t="shared" si="27"/>
        <v>0</v>
      </c>
      <c r="AB83" s="530">
        <f t="shared" si="27"/>
        <v>1168</v>
      </c>
      <c r="AC83" s="533"/>
      <c r="AD83" s="534"/>
    </row>
    <row r="84" spans="1:37" s="489" customFormat="1" ht="20.25" customHeight="1">
      <c r="A84" s="527" t="s">
        <v>524</v>
      </c>
      <c r="B84" s="528" t="s">
        <v>178</v>
      </c>
      <c r="C84" s="529">
        <f t="shared" si="21"/>
        <v>76540</v>
      </c>
      <c r="D84" s="484">
        <f t="shared" si="22"/>
        <v>75372</v>
      </c>
      <c r="E84" s="530"/>
      <c r="F84" s="530"/>
      <c r="G84" s="530"/>
      <c r="H84" s="530"/>
      <c r="I84" s="530"/>
      <c r="J84" s="530"/>
      <c r="K84" s="530"/>
      <c r="L84" s="530"/>
      <c r="M84" s="530"/>
      <c r="N84" s="530"/>
      <c r="O84" s="530"/>
      <c r="P84" s="530"/>
      <c r="Q84" s="530"/>
      <c r="R84" s="530"/>
      <c r="S84" s="530"/>
      <c r="T84" s="530"/>
      <c r="U84" s="530"/>
      <c r="V84" s="530"/>
      <c r="W84" s="530"/>
      <c r="X84" s="530"/>
      <c r="Y84" s="530"/>
      <c r="Z84" s="559">
        <f>24190+52351-1-AB84</f>
        <v>75372</v>
      </c>
      <c r="AA84" s="530"/>
      <c r="AB84" s="530">
        <f>+'Chi xã,TT 2025'!C42</f>
        <v>1168</v>
      </c>
      <c r="AC84" s="533"/>
      <c r="AD84" s="534"/>
    </row>
    <row r="85" spans="1:37" s="535" customFormat="1" ht="20.25" customHeight="1">
      <c r="A85" s="527" t="s">
        <v>525</v>
      </c>
      <c r="B85" s="528" t="s">
        <v>179</v>
      </c>
      <c r="C85" s="529">
        <f t="shared" si="21"/>
        <v>0</v>
      </c>
      <c r="D85" s="484">
        <f t="shared" si="22"/>
        <v>0</v>
      </c>
      <c r="E85" s="530">
        <f t="shared" ref="E85:AA85" si="28">+E86+E89+E91+E93+E96+E97+E98+E100</f>
        <v>0</v>
      </c>
      <c r="F85" s="530">
        <f t="shared" si="28"/>
        <v>0</v>
      </c>
      <c r="G85" s="530">
        <f t="shared" si="28"/>
        <v>0</v>
      </c>
      <c r="H85" s="530">
        <f t="shared" si="28"/>
        <v>0</v>
      </c>
      <c r="I85" s="530">
        <f t="shared" si="28"/>
        <v>0</v>
      </c>
      <c r="J85" s="530">
        <f t="shared" si="28"/>
        <v>0</v>
      </c>
      <c r="K85" s="530">
        <f t="shared" si="28"/>
        <v>0</v>
      </c>
      <c r="L85" s="530">
        <f t="shared" si="28"/>
        <v>0</v>
      </c>
      <c r="M85" s="530">
        <f t="shared" si="28"/>
        <v>0</v>
      </c>
      <c r="N85" s="530">
        <f t="shared" si="28"/>
        <v>0</v>
      </c>
      <c r="O85" s="530">
        <f t="shared" si="28"/>
        <v>0</v>
      </c>
      <c r="P85" s="530">
        <f t="shared" si="28"/>
        <v>0</v>
      </c>
      <c r="Q85" s="530">
        <f t="shared" si="28"/>
        <v>0</v>
      </c>
      <c r="R85" s="530">
        <f t="shared" si="28"/>
        <v>0</v>
      </c>
      <c r="S85" s="530">
        <f t="shared" si="28"/>
        <v>0</v>
      </c>
      <c r="T85" s="530">
        <f t="shared" si="28"/>
        <v>0</v>
      </c>
      <c r="U85" s="530">
        <f t="shared" si="28"/>
        <v>0</v>
      </c>
      <c r="V85" s="530">
        <f t="shared" si="28"/>
        <v>0</v>
      </c>
      <c r="W85" s="530">
        <f t="shared" si="28"/>
        <v>0</v>
      </c>
      <c r="X85" s="530">
        <f t="shared" si="28"/>
        <v>0</v>
      </c>
      <c r="Y85" s="530">
        <f t="shared" si="28"/>
        <v>0</v>
      </c>
      <c r="Z85" s="530">
        <f t="shared" si="28"/>
        <v>0</v>
      </c>
      <c r="AA85" s="530">
        <f t="shared" si="28"/>
        <v>0</v>
      </c>
      <c r="AB85" s="530">
        <f>+AB86+AB89+AB91+AB93+AB96+AB97+AB98+AB100</f>
        <v>0</v>
      </c>
      <c r="AC85" s="533"/>
      <c r="AD85" s="534"/>
    </row>
    <row r="86" spans="1:37" s="536" customFormat="1" ht="33" hidden="1" customHeight="1">
      <c r="A86" s="527"/>
      <c r="B86" s="528" t="s">
        <v>420</v>
      </c>
      <c r="C86" s="529">
        <f t="shared" si="21"/>
        <v>0</v>
      </c>
      <c r="D86" s="484">
        <f t="shared" si="22"/>
        <v>0</v>
      </c>
      <c r="E86" s="530">
        <f t="shared" ref="E86:AA86" si="29">+E87+E88</f>
        <v>0</v>
      </c>
      <c r="F86" s="530">
        <f t="shared" si="29"/>
        <v>0</v>
      </c>
      <c r="G86" s="530">
        <f t="shared" si="29"/>
        <v>0</v>
      </c>
      <c r="H86" s="530">
        <f t="shared" si="29"/>
        <v>0</v>
      </c>
      <c r="I86" s="530">
        <f t="shared" si="29"/>
        <v>0</v>
      </c>
      <c r="J86" s="530">
        <f t="shared" si="29"/>
        <v>0</v>
      </c>
      <c r="K86" s="530">
        <f t="shared" si="29"/>
        <v>0</v>
      </c>
      <c r="L86" s="530">
        <f t="shared" si="29"/>
        <v>0</v>
      </c>
      <c r="M86" s="530">
        <f t="shared" si="29"/>
        <v>0</v>
      </c>
      <c r="N86" s="530">
        <f t="shared" si="29"/>
        <v>0</v>
      </c>
      <c r="O86" s="530">
        <f t="shared" si="29"/>
        <v>0</v>
      </c>
      <c r="P86" s="530">
        <f t="shared" si="29"/>
        <v>0</v>
      </c>
      <c r="Q86" s="530">
        <f t="shared" si="29"/>
        <v>0</v>
      </c>
      <c r="R86" s="530">
        <f t="shared" si="29"/>
        <v>0</v>
      </c>
      <c r="S86" s="530">
        <f t="shared" si="29"/>
        <v>0</v>
      </c>
      <c r="T86" s="530">
        <f t="shared" si="29"/>
        <v>0</v>
      </c>
      <c r="U86" s="530">
        <f t="shared" si="29"/>
        <v>0</v>
      </c>
      <c r="V86" s="530">
        <f t="shared" si="29"/>
        <v>0</v>
      </c>
      <c r="W86" s="530">
        <f t="shared" si="29"/>
        <v>0</v>
      </c>
      <c r="X86" s="530">
        <f t="shared" si="29"/>
        <v>0</v>
      </c>
      <c r="Y86" s="530">
        <f t="shared" si="29"/>
        <v>0</v>
      </c>
      <c r="Z86" s="530">
        <f t="shared" si="29"/>
        <v>0</v>
      </c>
      <c r="AA86" s="530">
        <f t="shared" si="29"/>
        <v>0</v>
      </c>
      <c r="AB86" s="530">
        <f>+AB87+AB88</f>
        <v>0</v>
      </c>
      <c r="AC86" s="562"/>
      <c r="AD86" s="560"/>
    </row>
    <row r="87" spans="1:37" s="536" customFormat="1" ht="22.9" hidden="1" customHeight="1">
      <c r="A87" s="527"/>
      <c r="B87" s="522" t="s">
        <v>421</v>
      </c>
      <c r="C87" s="529">
        <f t="shared" si="21"/>
        <v>0</v>
      </c>
      <c r="D87" s="484">
        <f t="shared" si="22"/>
        <v>0</v>
      </c>
      <c r="E87" s="530"/>
      <c r="F87" s="530"/>
      <c r="G87" s="530"/>
      <c r="H87" s="530"/>
      <c r="I87" s="530"/>
      <c r="J87" s="530"/>
      <c r="K87" s="530"/>
      <c r="L87" s="530"/>
      <c r="M87" s="530"/>
      <c r="N87" s="530"/>
      <c r="O87" s="530"/>
      <c r="P87" s="530"/>
      <c r="Q87" s="530"/>
      <c r="R87" s="530"/>
      <c r="S87" s="530"/>
      <c r="T87" s="530"/>
      <c r="U87" s="530"/>
      <c r="V87" s="530"/>
      <c r="W87" s="530"/>
      <c r="X87" s="530"/>
      <c r="Y87" s="530"/>
      <c r="Z87" s="530"/>
      <c r="AA87" s="530"/>
      <c r="AB87" s="530"/>
      <c r="AC87" s="562"/>
      <c r="AD87" s="560"/>
    </row>
    <row r="88" spans="1:37" s="536" customFormat="1" ht="22.9" hidden="1" customHeight="1">
      <c r="A88" s="527"/>
      <c r="B88" s="522" t="s">
        <v>422</v>
      </c>
      <c r="C88" s="529">
        <f t="shared" si="21"/>
        <v>0</v>
      </c>
      <c r="D88" s="484">
        <f t="shared" si="22"/>
        <v>0</v>
      </c>
      <c r="E88" s="530"/>
      <c r="F88" s="530"/>
      <c r="G88" s="530"/>
      <c r="H88" s="530"/>
      <c r="I88" s="530"/>
      <c r="J88" s="530"/>
      <c r="K88" s="530"/>
      <c r="L88" s="530"/>
      <c r="M88" s="530"/>
      <c r="N88" s="530"/>
      <c r="O88" s="530"/>
      <c r="P88" s="530"/>
      <c r="Q88" s="530"/>
      <c r="R88" s="530"/>
      <c r="S88" s="530"/>
      <c r="T88" s="530"/>
      <c r="U88" s="530"/>
      <c r="V88" s="530"/>
      <c r="W88" s="530"/>
      <c r="X88" s="530"/>
      <c r="Y88" s="530"/>
      <c r="Z88" s="530"/>
      <c r="AA88" s="530"/>
      <c r="AB88" s="530"/>
      <c r="AC88" s="562"/>
      <c r="AD88" s="560"/>
    </row>
    <row r="89" spans="1:37" ht="54" hidden="1" customHeight="1">
      <c r="A89" s="527"/>
      <c r="B89" s="528" t="s">
        <v>423</v>
      </c>
      <c r="C89" s="529">
        <f t="shared" si="21"/>
        <v>0</v>
      </c>
      <c r="D89" s="484">
        <f t="shared" si="22"/>
        <v>0</v>
      </c>
      <c r="E89" s="530">
        <f t="shared" ref="E89:AB89" si="30">E90</f>
        <v>0</v>
      </c>
      <c r="F89" s="530">
        <f t="shared" si="30"/>
        <v>0</v>
      </c>
      <c r="G89" s="530">
        <f t="shared" si="30"/>
        <v>0</v>
      </c>
      <c r="H89" s="530">
        <f t="shared" si="30"/>
        <v>0</v>
      </c>
      <c r="I89" s="530">
        <f t="shared" si="30"/>
        <v>0</v>
      </c>
      <c r="J89" s="530">
        <f t="shared" si="30"/>
        <v>0</v>
      </c>
      <c r="K89" s="530">
        <f t="shared" si="30"/>
        <v>0</v>
      </c>
      <c r="L89" s="530">
        <f t="shared" si="30"/>
        <v>0</v>
      </c>
      <c r="M89" s="530">
        <f t="shared" si="30"/>
        <v>0</v>
      </c>
      <c r="N89" s="530">
        <f t="shared" si="30"/>
        <v>0</v>
      </c>
      <c r="O89" s="530">
        <f t="shared" si="30"/>
        <v>0</v>
      </c>
      <c r="P89" s="530">
        <f t="shared" si="30"/>
        <v>0</v>
      </c>
      <c r="Q89" s="530">
        <f t="shared" si="30"/>
        <v>0</v>
      </c>
      <c r="R89" s="530">
        <f t="shared" si="30"/>
        <v>0</v>
      </c>
      <c r="S89" s="530">
        <f t="shared" si="30"/>
        <v>0</v>
      </c>
      <c r="T89" s="530">
        <f t="shared" si="30"/>
        <v>0</v>
      </c>
      <c r="U89" s="530">
        <f t="shared" si="30"/>
        <v>0</v>
      </c>
      <c r="V89" s="530">
        <f>V90</f>
        <v>0</v>
      </c>
      <c r="W89" s="530">
        <f t="shared" si="30"/>
        <v>0</v>
      </c>
      <c r="X89" s="530">
        <f t="shared" si="30"/>
        <v>0</v>
      </c>
      <c r="Y89" s="530">
        <f t="shared" si="30"/>
        <v>0</v>
      </c>
      <c r="Z89" s="530">
        <f t="shared" si="30"/>
        <v>0</v>
      </c>
      <c r="AA89" s="530">
        <f t="shared" si="30"/>
        <v>0</v>
      </c>
      <c r="AB89" s="530">
        <f t="shared" si="30"/>
        <v>0</v>
      </c>
    </row>
    <row r="90" spans="1:37" ht="57" hidden="1" customHeight="1">
      <c r="A90" s="521"/>
      <c r="B90" s="522" t="s">
        <v>424</v>
      </c>
      <c r="C90" s="529">
        <f t="shared" si="21"/>
        <v>0</v>
      </c>
      <c r="D90" s="484">
        <f t="shared" si="22"/>
        <v>0</v>
      </c>
      <c r="E90" s="523"/>
      <c r="F90" s="523"/>
      <c r="G90" s="523"/>
      <c r="H90" s="523"/>
      <c r="I90" s="523"/>
      <c r="J90" s="523"/>
      <c r="K90" s="523"/>
      <c r="L90" s="523"/>
      <c r="M90" s="523"/>
      <c r="N90" s="523"/>
      <c r="O90" s="523"/>
      <c r="P90" s="523"/>
      <c r="Q90" s="523"/>
      <c r="R90" s="523"/>
      <c r="S90" s="523"/>
      <c r="T90" s="523"/>
      <c r="U90" s="523"/>
      <c r="V90" s="523"/>
      <c r="W90" s="523"/>
      <c r="X90" s="523"/>
      <c r="Y90" s="523"/>
      <c r="Z90" s="523"/>
      <c r="AA90" s="523"/>
      <c r="AB90" s="530"/>
    </row>
    <row r="91" spans="1:37" ht="57.75" hidden="1" customHeight="1">
      <c r="A91" s="527"/>
      <c r="B91" s="528" t="s">
        <v>425</v>
      </c>
      <c r="C91" s="529">
        <f t="shared" si="21"/>
        <v>0</v>
      </c>
      <c r="D91" s="484">
        <f t="shared" si="22"/>
        <v>0</v>
      </c>
      <c r="E91" s="530">
        <f t="shared" ref="E91:AB91" si="31">E92</f>
        <v>0</v>
      </c>
      <c r="F91" s="530">
        <f t="shared" si="31"/>
        <v>0</v>
      </c>
      <c r="G91" s="530">
        <f t="shared" si="31"/>
        <v>0</v>
      </c>
      <c r="H91" s="530">
        <f t="shared" si="31"/>
        <v>0</v>
      </c>
      <c r="I91" s="530">
        <f t="shared" si="31"/>
        <v>0</v>
      </c>
      <c r="J91" s="530">
        <f t="shared" si="31"/>
        <v>0</v>
      </c>
      <c r="K91" s="530">
        <f t="shared" si="31"/>
        <v>0</v>
      </c>
      <c r="L91" s="530">
        <f t="shared" si="31"/>
        <v>0</v>
      </c>
      <c r="M91" s="530">
        <f t="shared" si="31"/>
        <v>0</v>
      </c>
      <c r="N91" s="530">
        <f t="shared" si="31"/>
        <v>0</v>
      </c>
      <c r="O91" s="530">
        <f t="shared" si="31"/>
        <v>0</v>
      </c>
      <c r="P91" s="530">
        <f t="shared" si="31"/>
        <v>0</v>
      </c>
      <c r="Q91" s="530">
        <f t="shared" si="31"/>
        <v>0</v>
      </c>
      <c r="R91" s="530">
        <f t="shared" si="31"/>
        <v>0</v>
      </c>
      <c r="S91" s="530">
        <f t="shared" si="31"/>
        <v>0</v>
      </c>
      <c r="T91" s="530">
        <f t="shared" si="31"/>
        <v>0</v>
      </c>
      <c r="U91" s="530">
        <f t="shared" si="31"/>
        <v>0</v>
      </c>
      <c r="V91" s="530">
        <f t="shared" si="31"/>
        <v>0</v>
      </c>
      <c r="W91" s="530">
        <f t="shared" si="31"/>
        <v>0</v>
      </c>
      <c r="X91" s="530">
        <f t="shared" si="31"/>
        <v>0</v>
      </c>
      <c r="Y91" s="530">
        <f t="shared" si="31"/>
        <v>0</v>
      </c>
      <c r="Z91" s="530">
        <f t="shared" si="31"/>
        <v>0</v>
      </c>
      <c r="AA91" s="530">
        <f t="shared" si="31"/>
        <v>0</v>
      </c>
      <c r="AB91" s="530">
        <f t="shared" si="31"/>
        <v>0</v>
      </c>
    </row>
    <row r="92" spans="1:37" ht="51" hidden="1" customHeight="1">
      <c r="A92" s="521"/>
      <c r="B92" s="522" t="s">
        <v>426</v>
      </c>
      <c r="C92" s="529">
        <f t="shared" si="21"/>
        <v>0</v>
      </c>
      <c r="D92" s="484">
        <f t="shared" si="22"/>
        <v>0</v>
      </c>
      <c r="E92" s="523"/>
      <c r="F92" s="523"/>
      <c r="G92" s="523"/>
      <c r="H92" s="523"/>
      <c r="I92" s="523"/>
      <c r="J92" s="523"/>
      <c r="K92" s="523"/>
      <c r="L92" s="523"/>
      <c r="M92" s="523"/>
      <c r="N92" s="523"/>
      <c r="O92" s="523"/>
      <c r="P92" s="523"/>
      <c r="Q92" s="523"/>
      <c r="R92" s="523"/>
      <c r="S92" s="523"/>
      <c r="T92" s="523"/>
      <c r="U92" s="523"/>
      <c r="V92" s="523"/>
      <c r="W92" s="523"/>
      <c r="X92" s="523"/>
      <c r="Y92" s="523"/>
      <c r="Z92" s="523"/>
      <c r="AA92" s="523"/>
      <c r="AB92" s="530"/>
    </row>
    <row r="93" spans="1:37" ht="33" hidden="1" customHeight="1">
      <c r="A93" s="527"/>
      <c r="B93" s="528" t="s">
        <v>427</v>
      </c>
      <c r="C93" s="529">
        <f t="shared" si="21"/>
        <v>0</v>
      </c>
      <c r="D93" s="484">
        <f t="shared" si="22"/>
        <v>0</v>
      </c>
      <c r="E93" s="530">
        <f t="shared" ref="E93:T93" si="32">+E94+E95</f>
        <v>0</v>
      </c>
      <c r="F93" s="530">
        <f t="shared" si="32"/>
        <v>0</v>
      </c>
      <c r="G93" s="530">
        <f t="shared" si="32"/>
        <v>0</v>
      </c>
      <c r="H93" s="530">
        <f t="shared" si="32"/>
        <v>0</v>
      </c>
      <c r="I93" s="530">
        <f t="shared" si="32"/>
        <v>0</v>
      </c>
      <c r="J93" s="530">
        <f t="shared" si="32"/>
        <v>0</v>
      </c>
      <c r="K93" s="530">
        <f t="shared" si="32"/>
        <v>0</v>
      </c>
      <c r="L93" s="530">
        <f t="shared" si="32"/>
        <v>0</v>
      </c>
      <c r="M93" s="530">
        <f t="shared" si="32"/>
        <v>0</v>
      </c>
      <c r="N93" s="530">
        <f t="shared" si="32"/>
        <v>0</v>
      </c>
      <c r="O93" s="530">
        <f t="shared" si="32"/>
        <v>0</v>
      </c>
      <c r="P93" s="530">
        <f t="shared" si="32"/>
        <v>0</v>
      </c>
      <c r="Q93" s="530">
        <f t="shared" si="32"/>
        <v>0</v>
      </c>
      <c r="R93" s="530">
        <f t="shared" si="32"/>
        <v>0</v>
      </c>
      <c r="S93" s="530">
        <f t="shared" si="32"/>
        <v>0</v>
      </c>
      <c r="T93" s="530">
        <f t="shared" si="32"/>
        <v>0</v>
      </c>
      <c r="U93" s="530">
        <f>+U94+U95</f>
        <v>0</v>
      </c>
      <c r="V93" s="530">
        <f t="shared" ref="V93:AB93" si="33">+V94+V95</f>
        <v>0</v>
      </c>
      <c r="W93" s="530">
        <f t="shared" si="33"/>
        <v>0</v>
      </c>
      <c r="X93" s="530">
        <f t="shared" si="33"/>
        <v>0</v>
      </c>
      <c r="Y93" s="530">
        <f t="shared" si="33"/>
        <v>0</v>
      </c>
      <c r="Z93" s="530">
        <f t="shared" si="33"/>
        <v>0</v>
      </c>
      <c r="AA93" s="530">
        <f t="shared" si="33"/>
        <v>0</v>
      </c>
      <c r="AB93" s="530">
        <f t="shared" si="33"/>
        <v>0</v>
      </c>
    </row>
    <row r="94" spans="1:37" ht="56.25" hidden="1" customHeight="1">
      <c r="A94" s="521"/>
      <c r="B94" s="522" t="s">
        <v>526</v>
      </c>
      <c r="C94" s="529">
        <f t="shared" si="21"/>
        <v>0</v>
      </c>
      <c r="D94" s="484">
        <f t="shared" si="22"/>
        <v>0</v>
      </c>
      <c r="E94" s="523"/>
      <c r="F94" s="523"/>
      <c r="G94" s="523"/>
      <c r="H94" s="523"/>
      <c r="I94" s="523"/>
      <c r="J94" s="523"/>
      <c r="K94" s="523"/>
      <c r="L94" s="523"/>
      <c r="M94" s="523"/>
      <c r="N94" s="523"/>
      <c r="O94" s="523"/>
      <c r="P94" s="523"/>
      <c r="Q94" s="523"/>
      <c r="R94" s="523"/>
      <c r="S94" s="523"/>
      <c r="T94" s="523"/>
      <c r="U94" s="523"/>
      <c r="V94" s="523"/>
      <c r="W94" s="523"/>
      <c r="X94" s="523"/>
      <c r="Y94" s="523"/>
      <c r="Z94" s="523"/>
      <c r="AA94" s="523"/>
      <c r="AB94" s="530"/>
    </row>
    <row r="95" spans="1:37" ht="40.5" hidden="1" customHeight="1">
      <c r="A95" s="521"/>
      <c r="B95" s="522" t="s">
        <v>527</v>
      </c>
      <c r="C95" s="529">
        <f t="shared" si="21"/>
        <v>0</v>
      </c>
      <c r="D95" s="484">
        <f t="shared" si="22"/>
        <v>0</v>
      </c>
      <c r="E95" s="523"/>
      <c r="F95" s="523"/>
      <c r="G95" s="523"/>
      <c r="H95" s="523"/>
      <c r="I95" s="523"/>
      <c r="J95" s="523"/>
      <c r="K95" s="523"/>
      <c r="L95" s="523"/>
      <c r="M95" s="523"/>
      <c r="N95" s="523"/>
      <c r="O95" s="523"/>
      <c r="P95" s="523"/>
      <c r="Q95" s="523"/>
      <c r="R95" s="523"/>
      <c r="S95" s="523"/>
      <c r="T95" s="523"/>
      <c r="U95" s="523"/>
      <c r="V95" s="523"/>
      <c r="W95" s="523"/>
      <c r="X95" s="523"/>
      <c r="Y95" s="523"/>
      <c r="Z95" s="523"/>
      <c r="AA95" s="523"/>
      <c r="AB95" s="530"/>
    </row>
    <row r="96" spans="1:37" ht="52.5" hidden="1" customHeight="1">
      <c r="A96" s="527"/>
      <c r="B96" s="528" t="s">
        <v>428</v>
      </c>
      <c r="C96" s="529">
        <f t="shared" si="21"/>
        <v>0</v>
      </c>
      <c r="D96" s="484">
        <f t="shared" si="22"/>
        <v>0</v>
      </c>
      <c r="E96" s="530"/>
      <c r="F96" s="537"/>
      <c r="G96" s="530"/>
      <c r="H96" s="530"/>
      <c r="I96" s="530"/>
      <c r="J96" s="530"/>
      <c r="K96" s="530"/>
      <c r="L96" s="530"/>
      <c r="M96" s="530"/>
      <c r="N96" s="530"/>
      <c r="O96" s="530"/>
      <c r="P96" s="530"/>
      <c r="Q96" s="530"/>
      <c r="R96" s="530"/>
      <c r="S96" s="530"/>
      <c r="T96" s="530"/>
      <c r="U96" s="530"/>
      <c r="V96" s="530"/>
      <c r="W96" s="530"/>
      <c r="X96" s="530"/>
      <c r="Y96" s="530"/>
      <c r="Z96" s="530"/>
      <c r="AA96" s="530"/>
      <c r="AB96" s="530"/>
    </row>
    <row r="97" spans="1:30" ht="42.75" hidden="1" customHeight="1">
      <c r="A97" s="527"/>
      <c r="B97" s="528" t="s">
        <v>429</v>
      </c>
      <c r="C97" s="529">
        <f t="shared" si="21"/>
        <v>0</v>
      </c>
      <c r="D97" s="484">
        <f t="shared" si="22"/>
        <v>0</v>
      </c>
      <c r="E97" s="530"/>
      <c r="F97" s="530"/>
      <c r="G97" s="530"/>
      <c r="H97" s="530"/>
      <c r="I97" s="530"/>
      <c r="J97" s="530"/>
      <c r="K97" s="530"/>
      <c r="L97" s="530"/>
      <c r="M97" s="530"/>
      <c r="N97" s="530"/>
      <c r="O97" s="530"/>
      <c r="P97" s="530"/>
      <c r="Q97" s="530"/>
      <c r="R97" s="530"/>
      <c r="S97" s="530"/>
      <c r="T97" s="530"/>
      <c r="U97" s="530"/>
      <c r="V97" s="530"/>
      <c r="W97" s="530"/>
      <c r="X97" s="530"/>
      <c r="Y97" s="530"/>
      <c r="Z97" s="530"/>
      <c r="AA97" s="530"/>
      <c r="AB97" s="530"/>
    </row>
    <row r="98" spans="1:30" ht="42.75" hidden="1" customHeight="1">
      <c r="A98" s="527"/>
      <c r="B98" s="528" t="s">
        <v>430</v>
      </c>
      <c r="C98" s="529">
        <f t="shared" si="21"/>
        <v>0</v>
      </c>
      <c r="D98" s="484">
        <f t="shared" si="22"/>
        <v>0</v>
      </c>
      <c r="E98" s="530">
        <f t="shared" ref="E98:P98" si="34">E99</f>
        <v>0</v>
      </c>
      <c r="F98" s="530">
        <f>F99</f>
        <v>0</v>
      </c>
      <c r="G98" s="530">
        <f t="shared" si="34"/>
        <v>0</v>
      </c>
      <c r="H98" s="530">
        <f t="shared" si="34"/>
        <v>0</v>
      </c>
      <c r="I98" s="530">
        <f t="shared" si="34"/>
        <v>0</v>
      </c>
      <c r="J98" s="530">
        <f t="shared" si="34"/>
        <v>0</v>
      </c>
      <c r="K98" s="530">
        <f t="shared" si="34"/>
        <v>0</v>
      </c>
      <c r="L98" s="530">
        <f>L99</f>
        <v>0</v>
      </c>
      <c r="M98" s="530">
        <f t="shared" si="34"/>
        <v>0</v>
      </c>
      <c r="N98" s="530">
        <f t="shared" si="34"/>
        <v>0</v>
      </c>
      <c r="O98" s="530">
        <f t="shared" si="34"/>
        <v>0</v>
      </c>
      <c r="P98" s="530">
        <f t="shared" si="34"/>
        <v>0</v>
      </c>
      <c r="Q98" s="530">
        <f>Q99</f>
        <v>0</v>
      </c>
      <c r="R98" s="530">
        <f t="shared" ref="R98:AA98" si="35">R99</f>
        <v>0</v>
      </c>
      <c r="S98" s="530">
        <f t="shared" si="35"/>
        <v>0</v>
      </c>
      <c r="T98" s="530">
        <f t="shared" si="35"/>
        <v>0</v>
      </c>
      <c r="U98" s="530">
        <f t="shared" si="35"/>
        <v>0</v>
      </c>
      <c r="V98" s="530">
        <f t="shared" si="35"/>
        <v>0</v>
      </c>
      <c r="W98" s="530">
        <f t="shared" si="35"/>
        <v>0</v>
      </c>
      <c r="X98" s="530">
        <f t="shared" si="35"/>
        <v>0</v>
      </c>
      <c r="Y98" s="530">
        <f t="shared" si="35"/>
        <v>0</v>
      </c>
      <c r="Z98" s="530">
        <f t="shared" si="35"/>
        <v>0</v>
      </c>
      <c r="AA98" s="530">
        <f t="shared" si="35"/>
        <v>0</v>
      </c>
      <c r="AB98" s="530">
        <f>AB99</f>
        <v>0</v>
      </c>
    </row>
    <row r="99" spans="1:30" ht="42.75" hidden="1" customHeight="1">
      <c r="A99" s="521"/>
      <c r="B99" s="522" t="s">
        <v>432</v>
      </c>
      <c r="C99" s="529">
        <f t="shared" si="21"/>
        <v>0</v>
      </c>
      <c r="D99" s="484">
        <f t="shared" si="22"/>
        <v>0</v>
      </c>
      <c r="E99" s="523"/>
      <c r="F99" s="523"/>
      <c r="G99" s="523"/>
      <c r="H99" s="523"/>
      <c r="I99" s="523"/>
      <c r="J99" s="523"/>
      <c r="K99" s="523"/>
      <c r="L99" s="523"/>
      <c r="M99" s="523"/>
      <c r="N99" s="523"/>
      <c r="O99" s="523"/>
      <c r="P99" s="523"/>
      <c r="Q99" s="523"/>
      <c r="R99" s="523"/>
      <c r="S99" s="523"/>
      <c r="T99" s="523"/>
      <c r="U99" s="523"/>
      <c r="V99" s="523"/>
      <c r="W99" s="523"/>
      <c r="X99" s="523"/>
      <c r="Y99" s="523"/>
      <c r="Z99" s="523"/>
      <c r="AA99" s="523"/>
      <c r="AB99" s="530"/>
    </row>
    <row r="100" spans="1:30" ht="53.25" hidden="1" customHeight="1">
      <c r="A100" s="527"/>
      <c r="B100" s="528" t="s">
        <v>433</v>
      </c>
      <c r="C100" s="529">
        <f t="shared" si="21"/>
        <v>0</v>
      </c>
      <c r="D100" s="484">
        <f t="shared" si="22"/>
        <v>0</v>
      </c>
      <c r="E100" s="530">
        <f t="shared" ref="E100:Q100" si="36">SUM(E101:E103)</f>
        <v>0</v>
      </c>
      <c r="F100" s="530">
        <f t="shared" si="36"/>
        <v>0</v>
      </c>
      <c r="G100" s="530">
        <f t="shared" si="36"/>
        <v>0</v>
      </c>
      <c r="H100" s="530">
        <f t="shared" si="36"/>
        <v>0</v>
      </c>
      <c r="I100" s="530">
        <f t="shared" si="36"/>
        <v>0</v>
      </c>
      <c r="J100" s="530">
        <f t="shared" si="36"/>
        <v>0</v>
      </c>
      <c r="K100" s="530">
        <f t="shared" si="36"/>
        <v>0</v>
      </c>
      <c r="L100" s="530">
        <f>SUM(L101:L103)</f>
        <v>0</v>
      </c>
      <c r="M100" s="530">
        <f t="shared" si="36"/>
        <v>0</v>
      </c>
      <c r="N100" s="530">
        <f t="shared" si="36"/>
        <v>0</v>
      </c>
      <c r="O100" s="530">
        <f t="shared" si="36"/>
        <v>0</v>
      </c>
      <c r="P100" s="530">
        <f t="shared" si="36"/>
        <v>0</v>
      </c>
      <c r="Q100" s="530">
        <f t="shared" si="36"/>
        <v>0</v>
      </c>
      <c r="R100" s="530">
        <f>SUM(R101:R103)</f>
        <v>0</v>
      </c>
      <c r="S100" s="530">
        <f t="shared" ref="S100:AA100" si="37">SUM(S101:S103)</f>
        <v>0</v>
      </c>
      <c r="T100" s="530">
        <f t="shared" si="37"/>
        <v>0</v>
      </c>
      <c r="U100" s="530">
        <f t="shared" si="37"/>
        <v>0</v>
      </c>
      <c r="V100" s="530">
        <f t="shared" si="37"/>
        <v>0</v>
      </c>
      <c r="W100" s="530">
        <f t="shared" si="37"/>
        <v>0</v>
      </c>
      <c r="X100" s="530">
        <f t="shared" si="37"/>
        <v>0</v>
      </c>
      <c r="Y100" s="530">
        <f t="shared" si="37"/>
        <v>0</v>
      </c>
      <c r="Z100" s="530">
        <f t="shared" si="37"/>
        <v>0</v>
      </c>
      <c r="AA100" s="530">
        <f t="shared" si="37"/>
        <v>0</v>
      </c>
      <c r="AB100" s="530">
        <f>SUM(AB101:AB103)</f>
        <v>0</v>
      </c>
    </row>
    <row r="101" spans="1:30" ht="90" hidden="1" customHeight="1">
      <c r="A101" s="521"/>
      <c r="B101" s="522" t="s">
        <v>434</v>
      </c>
      <c r="C101" s="529">
        <f t="shared" si="21"/>
        <v>0</v>
      </c>
      <c r="D101" s="484">
        <f t="shared" si="22"/>
        <v>0</v>
      </c>
      <c r="E101" s="523"/>
      <c r="F101" s="523"/>
      <c r="G101" s="523"/>
      <c r="H101" s="523"/>
      <c r="I101" s="523"/>
      <c r="J101" s="523"/>
      <c r="K101" s="523"/>
      <c r="L101" s="523"/>
      <c r="M101" s="523"/>
      <c r="N101" s="523"/>
      <c r="O101" s="523"/>
      <c r="P101" s="523"/>
      <c r="Q101" s="523"/>
      <c r="R101" s="523"/>
      <c r="S101" s="523"/>
      <c r="T101" s="523"/>
      <c r="U101" s="523"/>
      <c r="V101" s="523"/>
      <c r="W101" s="523"/>
      <c r="X101" s="523"/>
      <c r="Y101" s="523"/>
      <c r="Z101" s="523"/>
      <c r="AA101" s="523"/>
      <c r="AB101" s="530"/>
    </row>
    <row r="102" spans="1:30" ht="56.25" hidden="1" customHeight="1">
      <c r="A102" s="521"/>
      <c r="B102" s="522" t="s">
        <v>435</v>
      </c>
      <c r="C102" s="529">
        <f t="shared" si="21"/>
        <v>0</v>
      </c>
      <c r="D102" s="484">
        <f t="shared" si="22"/>
        <v>0</v>
      </c>
      <c r="E102" s="523"/>
      <c r="F102" s="523"/>
      <c r="G102" s="523"/>
      <c r="H102" s="523"/>
      <c r="I102" s="523"/>
      <c r="J102" s="523"/>
      <c r="K102" s="523"/>
      <c r="L102" s="523"/>
      <c r="M102" s="523"/>
      <c r="N102" s="523"/>
      <c r="O102" s="523"/>
      <c r="P102" s="523"/>
      <c r="Q102" s="523"/>
      <c r="R102" s="523"/>
      <c r="S102" s="523"/>
      <c r="T102" s="523"/>
      <c r="U102" s="523"/>
      <c r="V102" s="523"/>
      <c r="W102" s="523"/>
      <c r="X102" s="523"/>
      <c r="Y102" s="523"/>
      <c r="Z102" s="523"/>
      <c r="AA102" s="523"/>
      <c r="AB102" s="530"/>
    </row>
    <row r="103" spans="1:30" ht="37.5" hidden="1" customHeight="1">
      <c r="A103" s="521"/>
      <c r="B103" s="522" t="s">
        <v>436</v>
      </c>
      <c r="C103" s="529">
        <f t="shared" si="21"/>
        <v>0</v>
      </c>
      <c r="D103" s="484">
        <f t="shared" si="22"/>
        <v>0</v>
      </c>
      <c r="E103" s="523"/>
      <c r="F103" s="523"/>
      <c r="G103" s="523"/>
      <c r="H103" s="523"/>
      <c r="I103" s="523"/>
      <c r="J103" s="523"/>
      <c r="K103" s="523"/>
      <c r="L103" s="523"/>
      <c r="M103" s="523"/>
      <c r="N103" s="523"/>
      <c r="O103" s="523"/>
      <c r="P103" s="523"/>
      <c r="Q103" s="523"/>
      <c r="R103" s="523"/>
      <c r="S103" s="523"/>
      <c r="T103" s="523"/>
      <c r="U103" s="523"/>
      <c r="V103" s="523"/>
      <c r="W103" s="523"/>
      <c r="X103" s="523"/>
      <c r="Y103" s="523"/>
      <c r="Z103" s="523"/>
      <c r="AA103" s="523"/>
      <c r="AB103" s="530"/>
    </row>
    <row r="104" spans="1:30" s="489" customFormat="1" ht="25.5" customHeight="1">
      <c r="A104" s="527">
        <v>2</v>
      </c>
      <c r="B104" s="528" t="s">
        <v>810</v>
      </c>
      <c r="C104" s="529">
        <f t="shared" si="21"/>
        <v>11000</v>
      </c>
      <c r="D104" s="484">
        <f t="shared" si="22"/>
        <v>11000</v>
      </c>
      <c r="E104" s="530">
        <f t="shared" ref="E104:Z104" si="38">+E105+E106</f>
        <v>0</v>
      </c>
      <c r="F104" s="530">
        <f t="shared" si="38"/>
        <v>0</v>
      </c>
      <c r="G104" s="530">
        <f t="shared" si="38"/>
        <v>0</v>
      </c>
      <c r="H104" s="530">
        <f t="shared" si="38"/>
        <v>0</v>
      </c>
      <c r="I104" s="530">
        <f t="shared" si="38"/>
        <v>0</v>
      </c>
      <c r="J104" s="530">
        <f t="shared" si="38"/>
        <v>0</v>
      </c>
      <c r="K104" s="530">
        <f t="shared" si="38"/>
        <v>0</v>
      </c>
      <c r="L104" s="530">
        <f t="shared" si="38"/>
        <v>0</v>
      </c>
      <c r="M104" s="530">
        <f t="shared" si="38"/>
        <v>0</v>
      </c>
      <c r="N104" s="530">
        <f t="shared" si="38"/>
        <v>0</v>
      </c>
      <c r="O104" s="530">
        <f t="shared" si="38"/>
        <v>0</v>
      </c>
      <c r="P104" s="530">
        <f t="shared" si="38"/>
        <v>0</v>
      </c>
      <c r="Q104" s="530">
        <f t="shared" si="38"/>
        <v>0</v>
      </c>
      <c r="R104" s="530">
        <f t="shared" si="38"/>
        <v>0</v>
      </c>
      <c r="S104" s="530">
        <f t="shared" si="38"/>
        <v>0</v>
      </c>
      <c r="T104" s="530">
        <f t="shared" si="38"/>
        <v>0</v>
      </c>
      <c r="U104" s="530">
        <f t="shared" si="38"/>
        <v>0</v>
      </c>
      <c r="V104" s="530">
        <f t="shared" si="38"/>
        <v>0</v>
      </c>
      <c r="W104" s="530">
        <f t="shared" si="38"/>
        <v>0</v>
      </c>
      <c r="X104" s="530">
        <f t="shared" si="38"/>
        <v>0</v>
      </c>
      <c r="Y104" s="530">
        <f t="shared" si="38"/>
        <v>0</v>
      </c>
      <c r="Z104" s="530">
        <f t="shared" si="38"/>
        <v>11000</v>
      </c>
      <c r="AA104" s="530">
        <f>+AA105+AA106</f>
        <v>0</v>
      </c>
      <c r="AB104" s="530">
        <f>+AB105+AB106</f>
        <v>0</v>
      </c>
      <c r="AC104" s="538"/>
      <c r="AD104" s="534"/>
    </row>
    <row r="105" spans="1:30" s="489" customFormat="1" ht="19.5" customHeight="1">
      <c r="A105" s="527" t="s">
        <v>528</v>
      </c>
      <c r="B105" s="528" t="s">
        <v>178</v>
      </c>
      <c r="C105" s="529">
        <f t="shared" si="21"/>
        <v>11000</v>
      </c>
      <c r="D105" s="484">
        <f t="shared" si="22"/>
        <v>11000</v>
      </c>
      <c r="E105" s="530"/>
      <c r="F105" s="530"/>
      <c r="G105" s="530"/>
      <c r="H105" s="530"/>
      <c r="I105" s="530"/>
      <c r="J105" s="530"/>
      <c r="K105" s="530"/>
      <c r="L105" s="530"/>
      <c r="M105" s="530"/>
      <c r="N105" s="530"/>
      <c r="O105" s="530"/>
      <c r="P105" s="530"/>
      <c r="Q105" s="530"/>
      <c r="R105" s="530"/>
      <c r="S105" s="530"/>
      <c r="T105" s="530"/>
      <c r="U105" s="530"/>
      <c r="V105" s="530"/>
      <c r="W105" s="530"/>
      <c r="X105" s="530"/>
      <c r="Y105" s="530"/>
      <c r="Z105" s="530">
        <v>11000</v>
      </c>
      <c r="AA105" s="530"/>
      <c r="AB105" s="529"/>
      <c r="AC105" s="534"/>
      <c r="AD105" s="534"/>
    </row>
    <row r="106" spans="1:30" s="489" customFormat="1" ht="19.5" customHeight="1">
      <c r="A106" s="527" t="s">
        <v>529</v>
      </c>
      <c r="B106" s="528" t="s">
        <v>179</v>
      </c>
      <c r="C106" s="529">
        <f t="shared" si="21"/>
        <v>0</v>
      </c>
      <c r="D106" s="484">
        <f t="shared" si="22"/>
        <v>0</v>
      </c>
      <c r="E106" s="530">
        <f>+E107+E110+E111+E114+E120+E121+E124</f>
        <v>0</v>
      </c>
      <c r="F106" s="530">
        <f t="shared" ref="F106:Z106" si="39">+F107+F110+F111+F114+F120+F121+F124</f>
        <v>0</v>
      </c>
      <c r="G106" s="530">
        <f t="shared" si="39"/>
        <v>0</v>
      </c>
      <c r="H106" s="530">
        <f t="shared" si="39"/>
        <v>0</v>
      </c>
      <c r="I106" s="530">
        <f t="shared" si="39"/>
        <v>0</v>
      </c>
      <c r="J106" s="530">
        <f t="shared" si="39"/>
        <v>0</v>
      </c>
      <c r="K106" s="530">
        <f t="shared" si="39"/>
        <v>0</v>
      </c>
      <c r="L106" s="530">
        <f t="shared" si="39"/>
        <v>0</v>
      </c>
      <c r="M106" s="530">
        <f t="shared" si="39"/>
        <v>0</v>
      </c>
      <c r="N106" s="530">
        <f t="shared" si="39"/>
        <v>0</v>
      </c>
      <c r="O106" s="530">
        <f t="shared" si="39"/>
        <v>0</v>
      </c>
      <c r="P106" s="530">
        <f t="shared" si="39"/>
        <v>0</v>
      </c>
      <c r="Q106" s="530">
        <f t="shared" si="39"/>
        <v>0</v>
      </c>
      <c r="R106" s="530">
        <f t="shared" si="39"/>
        <v>0</v>
      </c>
      <c r="S106" s="530">
        <f t="shared" si="39"/>
        <v>0</v>
      </c>
      <c r="T106" s="530">
        <f t="shared" si="39"/>
        <v>0</v>
      </c>
      <c r="U106" s="530">
        <f t="shared" si="39"/>
        <v>0</v>
      </c>
      <c r="V106" s="530">
        <f t="shared" si="39"/>
        <v>0</v>
      </c>
      <c r="W106" s="530">
        <f t="shared" si="39"/>
        <v>0</v>
      </c>
      <c r="X106" s="530">
        <f t="shared" si="39"/>
        <v>0</v>
      </c>
      <c r="Y106" s="530">
        <f t="shared" si="39"/>
        <v>0</v>
      </c>
      <c r="Z106" s="530">
        <f t="shared" si="39"/>
        <v>0</v>
      </c>
      <c r="AA106" s="530">
        <f>+AA107+AA110+AA111+AA114+AA120+AA121+AA124</f>
        <v>0</v>
      </c>
      <c r="AB106" s="530">
        <f>+AB107+AB110+AB111+AB114+AB120+AB121+AB124</f>
        <v>0</v>
      </c>
      <c r="AC106" s="534"/>
      <c r="AD106" s="534"/>
    </row>
    <row r="107" spans="1:30" ht="31.5" hidden="1" customHeight="1">
      <c r="A107" s="527"/>
      <c r="B107" s="528" t="s">
        <v>437</v>
      </c>
      <c r="C107" s="529">
        <f t="shared" si="21"/>
        <v>0</v>
      </c>
      <c r="D107" s="484">
        <f t="shared" si="22"/>
        <v>0</v>
      </c>
      <c r="E107" s="530">
        <f>SUM(E108:E109)</f>
        <v>0</v>
      </c>
      <c r="F107" s="530">
        <f t="shared" ref="F107:AA107" si="40">SUM(F108:F109)</f>
        <v>0</v>
      </c>
      <c r="G107" s="530">
        <f t="shared" si="40"/>
        <v>0</v>
      </c>
      <c r="H107" s="530">
        <f t="shared" si="40"/>
        <v>0</v>
      </c>
      <c r="I107" s="530">
        <f t="shared" si="40"/>
        <v>0</v>
      </c>
      <c r="J107" s="530">
        <f t="shared" si="40"/>
        <v>0</v>
      </c>
      <c r="K107" s="530">
        <f t="shared" si="40"/>
        <v>0</v>
      </c>
      <c r="L107" s="530">
        <f t="shared" si="40"/>
        <v>0</v>
      </c>
      <c r="M107" s="530">
        <f t="shared" si="40"/>
        <v>0</v>
      </c>
      <c r="N107" s="530">
        <f t="shared" si="40"/>
        <v>0</v>
      </c>
      <c r="O107" s="530">
        <f t="shared" si="40"/>
        <v>0</v>
      </c>
      <c r="P107" s="530">
        <f t="shared" si="40"/>
        <v>0</v>
      </c>
      <c r="Q107" s="530">
        <f t="shared" si="40"/>
        <v>0</v>
      </c>
      <c r="R107" s="530">
        <f t="shared" si="40"/>
        <v>0</v>
      </c>
      <c r="S107" s="530">
        <f t="shared" si="40"/>
        <v>0</v>
      </c>
      <c r="T107" s="530">
        <f t="shared" si="40"/>
        <v>0</v>
      </c>
      <c r="U107" s="530">
        <f t="shared" si="40"/>
        <v>0</v>
      </c>
      <c r="V107" s="530">
        <f t="shared" si="40"/>
        <v>0</v>
      </c>
      <c r="W107" s="530">
        <f t="shared" si="40"/>
        <v>0</v>
      </c>
      <c r="X107" s="530">
        <f t="shared" si="40"/>
        <v>0</v>
      </c>
      <c r="Y107" s="530">
        <f t="shared" si="40"/>
        <v>0</v>
      </c>
      <c r="Z107" s="530">
        <f t="shared" si="40"/>
        <v>0</v>
      </c>
      <c r="AA107" s="530">
        <f t="shared" si="40"/>
        <v>0</v>
      </c>
      <c r="AB107" s="530">
        <f>SUM(AB108:AB109)</f>
        <v>0</v>
      </c>
    </row>
    <row r="108" spans="1:30" ht="31.5" hidden="1" customHeight="1">
      <c r="A108" s="521"/>
      <c r="B108" s="522" t="s">
        <v>530</v>
      </c>
      <c r="C108" s="529">
        <f t="shared" si="21"/>
        <v>0</v>
      </c>
      <c r="D108" s="484">
        <f t="shared" si="22"/>
        <v>0</v>
      </c>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30"/>
    </row>
    <row r="109" spans="1:30" ht="41.25" hidden="1" customHeight="1">
      <c r="A109" s="521"/>
      <c r="B109" s="522" t="s">
        <v>531</v>
      </c>
      <c r="C109" s="529">
        <f t="shared" si="21"/>
        <v>0</v>
      </c>
      <c r="D109" s="484">
        <f t="shared" si="22"/>
        <v>0</v>
      </c>
      <c r="E109" s="523"/>
      <c r="F109" s="523"/>
      <c r="G109" s="523"/>
      <c r="H109" s="523"/>
      <c r="I109" s="523"/>
      <c r="J109" s="523"/>
      <c r="K109" s="523"/>
      <c r="L109" s="523"/>
      <c r="M109" s="523"/>
      <c r="N109" s="523"/>
      <c r="O109" s="523"/>
      <c r="P109" s="523"/>
      <c r="Q109" s="523"/>
      <c r="R109" s="523"/>
      <c r="S109" s="523"/>
      <c r="T109" s="523"/>
      <c r="U109" s="523"/>
      <c r="V109" s="523"/>
      <c r="W109" s="523"/>
      <c r="X109" s="523"/>
      <c r="Y109" s="523"/>
      <c r="Z109" s="523"/>
      <c r="AA109" s="523"/>
      <c r="AB109" s="530"/>
    </row>
    <row r="110" spans="1:30" ht="31.5" hidden="1" customHeight="1">
      <c r="A110" s="527"/>
      <c r="B110" s="528" t="s">
        <v>438</v>
      </c>
      <c r="C110" s="529">
        <f t="shared" si="21"/>
        <v>0</v>
      </c>
      <c r="D110" s="484">
        <f t="shared" si="22"/>
        <v>0</v>
      </c>
      <c r="E110" s="530"/>
      <c r="F110" s="530"/>
      <c r="G110" s="530"/>
      <c r="H110" s="530"/>
      <c r="I110" s="530"/>
      <c r="J110" s="530"/>
      <c r="K110" s="530"/>
      <c r="L110" s="530"/>
      <c r="M110" s="530"/>
      <c r="N110" s="530"/>
      <c r="O110" s="530"/>
      <c r="P110" s="530"/>
      <c r="Q110" s="530"/>
      <c r="R110" s="530"/>
      <c r="S110" s="530"/>
      <c r="T110" s="530"/>
      <c r="U110" s="530"/>
      <c r="V110" s="530"/>
      <c r="W110" s="530"/>
      <c r="X110" s="530"/>
      <c r="Y110" s="530"/>
      <c r="Z110" s="530"/>
      <c r="AA110" s="530"/>
      <c r="AB110" s="529"/>
    </row>
    <row r="111" spans="1:30" ht="31.5" hidden="1" customHeight="1">
      <c r="A111" s="527"/>
      <c r="B111" s="528" t="s">
        <v>439</v>
      </c>
      <c r="C111" s="529">
        <f t="shared" si="21"/>
        <v>0</v>
      </c>
      <c r="D111" s="484">
        <f t="shared" si="22"/>
        <v>0</v>
      </c>
      <c r="E111" s="530">
        <f>+E112+E113</f>
        <v>0</v>
      </c>
      <c r="F111" s="530">
        <f t="shared" ref="F111:AA111" si="41">+F112+F113</f>
        <v>0</v>
      </c>
      <c r="G111" s="530">
        <f t="shared" si="41"/>
        <v>0</v>
      </c>
      <c r="H111" s="530">
        <f t="shared" si="41"/>
        <v>0</v>
      </c>
      <c r="I111" s="530">
        <f t="shared" si="41"/>
        <v>0</v>
      </c>
      <c r="J111" s="530">
        <f t="shared" si="41"/>
        <v>0</v>
      </c>
      <c r="K111" s="530">
        <f t="shared" si="41"/>
        <v>0</v>
      </c>
      <c r="L111" s="530">
        <f t="shared" si="41"/>
        <v>0</v>
      </c>
      <c r="M111" s="530">
        <f t="shared" si="41"/>
        <v>0</v>
      </c>
      <c r="N111" s="530">
        <f>+N112+N113</f>
        <v>0</v>
      </c>
      <c r="O111" s="530">
        <f t="shared" si="41"/>
        <v>0</v>
      </c>
      <c r="P111" s="530">
        <f t="shared" si="41"/>
        <v>0</v>
      </c>
      <c r="Q111" s="530">
        <f t="shared" si="41"/>
        <v>0</v>
      </c>
      <c r="R111" s="530">
        <f t="shared" si="41"/>
        <v>0</v>
      </c>
      <c r="S111" s="530">
        <f t="shared" si="41"/>
        <v>0</v>
      </c>
      <c r="T111" s="530">
        <f t="shared" si="41"/>
        <v>0</v>
      </c>
      <c r="U111" s="530">
        <f t="shared" si="41"/>
        <v>0</v>
      </c>
      <c r="V111" s="530">
        <f t="shared" si="41"/>
        <v>0</v>
      </c>
      <c r="W111" s="530">
        <f t="shared" si="41"/>
        <v>0</v>
      </c>
      <c r="X111" s="530">
        <f t="shared" si="41"/>
        <v>0</v>
      </c>
      <c r="Y111" s="530">
        <f t="shared" si="41"/>
        <v>0</v>
      </c>
      <c r="Z111" s="530">
        <f t="shared" si="41"/>
        <v>0</v>
      </c>
      <c r="AA111" s="530">
        <f t="shared" si="41"/>
        <v>0</v>
      </c>
      <c r="AB111" s="530">
        <f>+AB112+AB113</f>
        <v>0</v>
      </c>
    </row>
    <row r="112" spans="1:30" ht="31.5" hidden="1" customHeight="1">
      <c r="A112" s="521"/>
      <c r="B112" s="522" t="s">
        <v>440</v>
      </c>
      <c r="C112" s="529">
        <f t="shared" ref="C112:C142" si="42">+D112+AB112</f>
        <v>0</v>
      </c>
      <c r="D112" s="484">
        <f t="shared" si="22"/>
        <v>0</v>
      </c>
      <c r="E112" s="523"/>
      <c r="F112" s="523"/>
      <c r="G112" s="523"/>
      <c r="H112" s="523"/>
      <c r="I112" s="523"/>
      <c r="J112" s="523"/>
      <c r="K112" s="523"/>
      <c r="L112" s="523"/>
      <c r="M112" s="523"/>
      <c r="N112" s="523"/>
      <c r="O112" s="523"/>
      <c r="P112" s="523"/>
      <c r="Q112" s="523"/>
      <c r="R112" s="523"/>
      <c r="S112" s="523"/>
      <c r="T112" s="523"/>
      <c r="U112" s="523"/>
      <c r="V112" s="523"/>
      <c r="W112" s="523"/>
      <c r="X112" s="523"/>
      <c r="Y112" s="523"/>
      <c r="Z112" s="523"/>
      <c r="AA112" s="523"/>
      <c r="AB112" s="530"/>
    </row>
    <row r="113" spans="1:30" ht="31.5" hidden="1" customHeight="1">
      <c r="A113" s="521"/>
      <c r="B113" s="522" t="s">
        <v>441</v>
      </c>
      <c r="C113" s="529">
        <f t="shared" si="42"/>
        <v>0</v>
      </c>
      <c r="D113" s="484">
        <f t="shared" si="22"/>
        <v>0</v>
      </c>
      <c r="E113" s="523"/>
      <c r="F113" s="523"/>
      <c r="G113" s="523"/>
      <c r="H113" s="523"/>
      <c r="I113" s="523"/>
      <c r="J113" s="523"/>
      <c r="K113" s="523"/>
      <c r="L113" s="523"/>
      <c r="M113" s="523"/>
      <c r="N113" s="523"/>
      <c r="O113" s="523"/>
      <c r="P113" s="523"/>
      <c r="Q113" s="523"/>
      <c r="R113" s="523"/>
      <c r="S113" s="523"/>
      <c r="T113" s="523"/>
      <c r="U113" s="523"/>
      <c r="V113" s="523"/>
      <c r="W113" s="523"/>
      <c r="X113" s="523"/>
      <c r="Y113" s="523"/>
      <c r="Z113" s="523"/>
      <c r="AA113" s="523"/>
      <c r="AB113" s="530"/>
    </row>
    <row r="114" spans="1:30" ht="31.5" hidden="1" customHeight="1">
      <c r="A114" s="527"/>
      <c r="B114" s="528" t="s">
        <v>442</v>
      </c>
      <c r="C114" s="529">
        <f t="shared" si="42"/>
        <v>0</v>
      </c>
      <c r="D114" s="484">
        <f t="shared" si="22"/>
        <v>0</v>
      </c>
      <c r="E114" s="530">
        <f>+E115+E118+E119</f>
        <v>0</v>
      </c>
      <c r="F114" s="530">
        <f t="shared" ref="F114:AA114" si="43">+F115+F118+F119</f>
        <v>0</v>
      </c>
      <c r="G114" s="530">
        <f t="shared" si="43"/>
        <v>0</v>
      </c>
      <c r="H114" s="530">
        <f t="shared" si="43"/>
        <v>0</v>
      </c>
      <c r="I114" s="530">
        <f t="shared" si="43"/>
        <v>0</v>
      </c>
      <c r="J114" s="530">
        <f t="shared" si="43"/>
        <v>0</v>
      </c>
      <c r="K114" s="530">
        <f t="shared" si="43"/>
        <v>0</v>
      </c>
      <c r="L114" s="530">
        <f t="shared" si="43"/>
        <v>0</v>
      </c>
      <c r="M114" s="530">
        <f t="shared" si="43"/>
        <v>0</v>
      </c>
      <c r="N114" s="530">
        <f t="shared" si="43"/>
        <v>0</v>
      </c>
      <c r="O114" s="530">
        <f t="shared" si="43"/>
        <v>0</v>
      </c>
      <c r="P114" s="530">
        <f t="shared" si="43"/>
        <v>0</v>
      </c>
      <c r="Q114" s="530">
        <f t="shared" si="43"/>
        <v>0</v>
      </c>
      <c r="R114" s="530">
        <f t="shared" si="43"/>
        <v>0</v>
      </c>
      <c r="S114" s="530">
        <f t="shared" si="43"/>
        <v>0</v>
      </c>
      <c r="T114" s="530">
        <f t="shared" si="43"/>
        <v>0</v>
      </c>
      <c r="U114" s="530">
        <f t="shared" si="43"/>
        <v>0</v>
      </c>
      <c r="V114" s="530">
        <f t="shared" si="43"/>
        <v>0</v>
      </c>
      <c r="W114" s="530">
        <f t="shared" si="43"/>
        <v>0</v>
      </c>
      <c r="X114" s="530">
        <f t="shared" si="43"/>
        <v>0</v>
      </c>
      <c r="Y114" s="530">
        <f t="shared" si="43"/>
        <v>0</v>
      </c>
      <c r="Z114" s="530">
        <f t="shared" si="43"/>
        <v>0</v>
      </c>
      <c r="AA114" s="530">
        <f t="shared" si="43"/>
        <v>0</v>
      </c>
      <c r="AB114" s="530">
        <f>+AB115+AB118+AB119</f>
        <v>0</v>
      </c>
    </row>
    <row r="115" spans="1:30" ht="44.25" hidden="1" customHeight="1">
      <c r="A115" s="521"/>
      <c r="B115" s="522" t="s">
        <v>532</v>
      </c>
      <c r="C115" s="529">
        <f t="shared" si="42"/>
        <v>0</v>
      </c>
      <c r="D115" s="484">
        <f t="shared" si="22"/>
        <v>0</v>
      </c>
      <c r="E115" s="523">
        <f>+E116+E117</f>
        <v>0</v>
      </c>
      <c r="F115" s="523">
        <f t="shared" ref="F115:AA115" si="44">+F116+F117</f>
        <v>0</v>
      </c>
      <c r="G115" s="523">
        <f t="shared" si="44"/>
        <v>0</v>
      </c>
      <c r="H115" s="523">
        <f t="shared" si="44"/>
        <v>0</v>
      </c>
      <c r="I115" s="523">
        <f t="shared" si="44"/>
        <v>0</v>
      </c>
      <c r="J115" s="523">
        <f t="shared" si="44"/>
        <v>0</v>
      </c>
      <c r="K115" s="523">
        <f t="shared" si="44"/>
        <v>0</v>
      </c>
      <c r="L115" s="523">
        <f t="shared" si="44"/>
        <v>0</v>
      </c>
      <c r="M115" s="523">
        <f t="shared" si="44"/>
        <v>0</v>
      </c>
      <c r="N115" s="523">
        <f t="shared" si="44"/>
        <v>0</v>
      </c>
      <c r="O115" s="523">
        <f t="shared" si="44"/>
        <v>0</v>
      </c>
      <c r="P115" s="523">
        <f t="shared" si="44"/>
        <v>0</v>
      </c>
      <c r="Q115" s="523">
        <f t="shared" si="44"/>
        <v>0</v>
      </c>
      <c r="R115" s="523">
        <f t="shared" si="44"/>
        <v>0</v>
      </c>
      <c r="S115" s="523">
        <f t="shared" si="44"/>
        <v>0</v>
      </c>
      <c r="T115" s="523">
        <f t="shared" si="44"/>
        <v>0</v>
      </c>
      <c r="U115" s="523"/>
      <c r="V115" s="523">
        <f t="shared" si="44"/>
        <v>0</v>
      </c>
      <c r="W115" s="523">
        <f t="shared" si="44"/>
        <v>0</v>
      </c>
      <c r="X115" s="523">
        <f t="shared" si="44"/>
        <v>0</v>
      </c>
      <c r="Y115" s="523">
        <f t="shared" si="44"/>
        <v>0</v>
      </c>
      <c r="Z115" s="523">
        <f t="shared" si="44"/>
        <v>0</v>
      </c>
      <c r="AA115" s="523">
        <f t="shared" si="44"/>
        <v>0</v>
      </c>
      <c r="AB115" s="530">
        <f>+AB116+AB117</f>
        <v>0</v>
      </c>
    </row>
    <row r="116" spans="1:30" ht="32.25" hidden="1" customHeight="1">
      <c r="A116" s="521"/>
      <c r="B116" s="522" t="s">
        <v>444</v>
      </c>
      <c r="C116" s="529">
        <f t="shared" si="42"/>
        <v>0</v>
      </c>
      <c r="D116" s="484">
        <f t="shared" si="22"/>
        <v>0</v>
      </c>
      <c r="E116" s="523"/>
      <c r="F116" s="523"/>
      <c r="G116" s="523"/>
      <c r="H116" s="523"/>
      <c r="I116" s="523"/>
      <c r="J116" s="523"/>
      <c r="K116" s="523"/>
      <c r="L116" s="523"/>
      <c r="M116" s="523"/>
      <c r="N116" s="523"/>
      <c r="O116" s="523"/>
      <c r="P116" s="523"/>
      <c r="Q116" s="523"/>
      <c r="R116" s="523"/>
      <c r="S116" s="523"/>
      <c r="T116" s="523"/>
      <c r="U116" s="523"/>
      <c r="V116" s="523"/>
      <c r="W116" s="523"/>
      <c r="X116" s="523"/>
      <c r="Y116" s="523"/>
      <c r="Z116" s="523"/>
      <c r="AA116" s="523"/>
      <c r="AB116" s="530"/>
    </row>
    <row r="117" spans="1:30" ht="27.75" hidden="1" customHeight="1">
      <c r="A117" s="521"/>
      <c r="B117" s="522" t="s">
        <v>445</v>
      </c>
      <c r="C117" s="529">
        <f t="shared" si="42"/>
        <v>0</v>
      </c>
      <c r="D117" s="484">
        <f t="shared" si="22"/>
        <v>0</v>
      </c>
      <c r="E117" s="523"/>
      <c r="F117" s="523"/>
      <c r="G117" s="523"/>
      <c r="H117" s="523"/>
      <c r="I117" s="523"/>
      <c r="J117" s="523"/>
      <c r="K117" s="523"/>
      <c r="L117" s="523"/>
      <c r="M117" s="523"/>
      <c r="N117" s="523"/>
      <c r="O117" s="523"/>
      <c r="P117" s="523"/>
      <c r="Q117" s="523"/>
      <c r="R117" s="523"/>
      <c r="S117" s="523"/>
      <c r="T117" s="523"/>
      <c r="U117" s="523"/>
      <c r="V117" s="523"/>
      <c r="W117" s="523"/>
      <c r="X117" s="523"/>
      <c r="Y117" s="523"/>
      <c r="Z117" s="523"/>
      <c r="AA117" s="523"/>
      <c r="AB117" s="530"/>
    </row>
    <row r="118" spans="1:30" ht="30" hidden="1" customHeight="1">
      <c r="A118" s="521"/>
      <c r="B118" s="522" t="s">
        <v>446</v>
      </c>
      <c r="C118" s="529">
        <f t="shared" si="42"/>
        <v>0</v>
      </c>
      <c r="D118" s="484">
        <f t="shared" si="22"/>
        <v>0</v>
      </c>
      <c r="E118" s="523"/>
      <c r="F118" s="523"/>
      <c r="G118" s="523"/>
      <c r="H118" s="523"/>
      <c r="I118" s="523"/>
      <c r="J118" s="523"/>
      <c r="K118" s="523"/>
      <c r="L118" s="523"/>
      <c r="M118" s="523"/>
      <c r="N118" s="523"/>
      <c r="O118" s="523"/>
      <c r="P118" s="523"/>
      <c r="Q118" s="523"/>
      <c r="R118" s="523"/>
      <c r="S118" s="523"/>
      <c r="T118" s="523"/>
      <c r="U118" s="523"/>
      <c r="V118" s="523"/>
      <c r="W118" s="523"/>
      <c r="X118" s="523"/>
      <c r="Y118" s="523"/>
      <c r="Z118" s="523"/>
      <c r="AA118" s="523"/>
      <c r="AB118" s="530"/>
    </row>
    <row r="119" spans="1:30" ht="30" hidden="1" customHeight="1">
      <c r="A119" s="521"/>
      <c r="B119" s="522" t="s">
        <v>447</v>
      </c>
      <c r="C119" s="529">
        <f t="shared" si="42"/>
        <v>0</v>
      </c>
      <c r="D119" s="484">
        <f t="shared" si="22"/>
        <v>0</v>
      </c>
      <c r="E119" s="523"/>
      <c r="F119" s="523"/>
      <c r="G119" s="523"/>
      <c r="H119" s="523"/>
      <c r="I119" s="523"/>
      <c r="J119" s="523"/>
      <c r="K119" s="523"/>
      <c r="L119" s="523"/>
      <c r="M119" s="523"/>
      <c r="N119" s="523"/>
      <c r="O119" s="523"/>
      <c r="P119" s="523"/>
      <c r="Q119" s="523"/>
      <c r="R119" s="523"/>
      <c r="S119" s="523"/>
      <c r="T119" s="523"/>
      <c r="U119" s="523"/>
      <c r="V119" s="523"/>
      <c r="W119" s="523"/>
      <c r="X119" s="523"/>
      <c r="Y119" s="523"/>
      <c r="Z119" s="523"/>
      <c r="AA119" s="523"/>
      <c r="AB119" s="530"/>
    </row>
    <row r="120" spans="1:30" ht="42.75" hidden="1" customHeight="1">
      <c r="A120" s="527"/>
      <c r="B120" s="528" t="s">
        <v>448</v>
      </c>
      <c r="C120" s="529">
        <f t="shared" si="42"/>
        <v>0</v>
      </c>
      <c r="D120" s="484">
        <f t="shared" si="22"/>
        <v>0</v>
      </c>
      <c r="E120" s="530"/>
      <c r="F120" s="530"/>
      <c r="G120" s="530"/>
      <c r="H120" s="530"/>
      <c r="I120" s="530"/>
      <c r="J120" s="530"/>
      <c r="K120" s="530"/>
      <c r="L120" s="530"/>
      <c r="M120" s="530"/>
      <c r="N120" s="530"/>
      <c r="O120" s="530"/>
      <c r="P120" s="530"/>
      <c r="Q120" s="530"/>
      <c r="R120" s="530"/>
      <c r="S120" s="530"/>
      <c r="T120" s="530"/>
      <c r="U120" s="530"/>
      <c r="V120" s="530"/>
      <c r="W120" s="530"/>
      <c r="X120" s="530"/>
      <c r="Y120" s="530"/>
      <c r="Z120" s="530"/>
      <c r="AA120" s="530"/>
      <c r="AB120" s="530"/>
    </row>
    <row r="121" spans="1:30" ht="30" hidden="1" customHeight="1">
      <c r="A121" s="527"/>
      <c r="B121" s="528" t="s">
        <v>449</v>
      </c>
      <c r="C121" s="529">
        <f t="shared" si="42"/>
        <v>0</v>
      </c>
      <c r="D121" s="484">
        <f t="shared" si="22"/>
        <v>0</v>
      </c>
      <c r="E121" s="530">
        <f>+E122+E123</f>
        <v>0</v>
      </c>
      <c r="F121" s="530">
        <f t="shared" ref="F121:AA121" si="45">+F122+F123</f>
        <v>0</v>
      </c>
      <c r="G121" s="530">
        <f t="shared" si="45"/>
        <v>0</v>
      </c>
      <c r="H121" s="530">
        <f t="shared" si="45"/>
        <v>0</v>
      </c>
      <c r="I121" s="530">
        <f t="shared" si="45"/>
        <v>0</v>
      </c>
      <c r="J121" s="530">
        <f t="shared" si="45"/>
        <v>0</v>
      </c>
      <c r="K121" s="530">
        <f t="shared" si="45"/>
        <v>0</v>
      </c>
      <c r="L121" s="530">
        <f t="shared" si="45"/>
        <v>0</v>
      </c>
      <c r="M121" s="530">
        <f t="shared" si="45"/>
        <v>0</v>
      </c>
      <c r="N121" s="530">
        <f t="shared" si="45"/>
        <v>0</v>
      </c>
      <c r="O121" s="530">
        <f t="shared" si="45"/>
        <v>0</v>
      </c>
      <c r="P121" s="530">
        <f>+P122+P123</f>
        <v>0</v>
      </c>
      <c r="Q121" s="530">
        <f t="shared" si="45"/>
        <v>0</v>
      </c>
      <c r="R121" s="530">
        <f t="shared" si="45"/>
        <v>0</v>
      </c>
      <c r="S121" s="530">
        <f t="shared" si="45"/>
        <v>0</v>
      </c>
      <c r="T121" s="530">
        <f t="shared" si="45"/>
        <v>0</v>
      </c>
      <c r="U121" s="530">
        <f t="shared" si="45"/>
        <v>0</v>
      </c>
      <c r="V121" s="530">
        <f t="shared" si="45"/>
        <v>0</v>
      </c>
      <c r="W121" s="530">
        <f t="shared" si="45"/>
        <v>0</v>
      </c>
      <c r="X121" s="530">
        <f t="shared" si="45"/>
        <v>0</v>
      </c>
      <c r="Y121" s="530">
        <f t="shared" si="45"/>
        <v>0</v>
      </c>
      <c r="Z121" s="530">
        <f t="shared" si="45"/>
        <v>0</v>
      </c>
      <c r="AA121" s="530">
        <f t="shared" si="45"/>
        <v>0</v>
      </c>
      <c r="AB121" s="530">
        <f>+AB122+AB123</f>
        <v>0</v>
      </c>
    </row>
    <row r="122" spans="1:30" ht="31.5" hidden="1" customHeight="1">
      <c r="A122" s="521"/>
      <c r="B122" s="522" t="s">
        <v>533</v>
      </c>
      <c r="C122" s="529">
        <f t="shared" si="42"/>
        <v>0</v>
      </c>
      <c r="D122" s="484">
        <f t="shared" si="22"/>
        <v>0</v>
      </c>
      <c r="E122" s="539"/>
      <c r="F122" s="539"/>
      <c r="G122" s="539"/>
      <c r="H122" s="539"/>
      <c r="I122" s="539"/>
      <c r="J122" s="539"/>
      <c r="K122" s="539"/>
      <c r="L122" s="539"/>
      <c r="M122" s="539"/>
      <c r="N122" s="539"/>
      <c r="O122" s="539"/>
      <c r="P122" s="539"/>
      <c r="Q122" s="539"/>
      <c r="R122" s="523"/>
      <c r="S122" s="539"/>
      <c r="T122" s="539"/>
      <c r="U122" s="539"/>
      <c r="V122" s="539"/>
      <c r="W122" s="539"/>
      <c r="X122" s="539"/>
      <c r="Y122" s="539"/>
      <c r="Z122" s="539"/>
      <c r="AA122" s="539"/>
      <c r="AB122" s="540"/>
    </row>
    <row r="123" spans="1:30" ht="31.5" hidden="1" customHeight="1">
      <c r="A123" s="521"/>
      <c r="B123" s="522" t="s">
        <v>534</v>
      </c>
      <c r="C123" s="529">
        <f t="shared" si="42"/>
        <v>0</v>
      </c>
      <c r="D123" s="484">
        <f t="shared" si="22"/>
        <v>0</v>
      </c>
      <c r="E123" s="523"/>
      <c r="F123" s="523"/>
      <c r="G123" s="523"/>
      <c r="H123" s="523"/>
      <c r="I123" s="523"/>
      <c r="J123" s="523"/>
      <c r="K123" s="523"/>
      <c r="L123" s="523"/>
      <c r="M123" s="523"/>
      <c r="N123" s="523"/>
      <c r="O123" s="523"/>
      <c r="P123" s="523"/>
      <c r="Q123" s="523"/>
      <c r="R123" s="523"/>
      <c r="S123" s="523"/>
      <c r="T123" s="523"/>
      <c r="U123" s="523"/>
      <c r="V123" s="523"/>
      <c r="W123" s="523"/>
      <c r="X123" s="523"/>
      <c r="Y123" s="523"/>
      <c r="Z123" s="523"/>
      <c r="AA123" s="523"/>
      <c r="AB123" s="530"/>
    </row>
    <row r="124" spans="1:30" ht="34.5" hidden="1" customHeight="1">
      <c r="A124" s="527"/>
      <c r="B124" s="528" t="s">
        <v>450</v>
      </c>
      <c r="C124" s="529">
        <f t="shared" si="42"/>
        <v>0</v>
      </c>
      <c r="D124" s="484">
        <f t="shared" si="22"/>
        <v>0</v>
      </c>
      <c r="E124" s="530">
        <f>+E125+E126</f>
        <v>0</v>
      </c>
      <c r="F124" s="530">
        <f t="shared" ref="F124:AA124" si="46">+F125+F126</f>
        <v>0</v>
      </c>
      <c r="G124" s="530">
        <f t="shared" si="46"/>
        <v>0</v>
      </c>
      <c r="H124" s="530">
        <f t="shared" si="46"/>
        <v>0</v>
      </c>
      <c r="I124" s="530">
        <f t="shared" si="46"/>
        <v>0</v>
      </c>
      <c r="J124" s="530">
        <f t="shared" si="46"/>
        <v>0</v>
      </c>
      <c r="K124" s="530">
        <f t="shared" si="46"/>
        <v>0</v>
      </c>
      <c r="L124" s="530">
        <f t="shared" si="46"/>
        <v>0</v>
      </c>
      <c r="M124" s="530">
        <f t="shared" si="46"/>
        <v>0</v>
      </c>
      <c r="N124" s="530">
        <f t="shared" si="46"/>
        <v>0</v>
      </c>
      <c r="O124" s="530">
        <f t="shared" si="46"/>
        <v>0</v>
      </c>
      <c r="P124" s="530">
        <f t="shared" si="46"/>
        <v>0</v>
      </c>
      <c r="Q124" s="530">
        <f t="shared" si="46"/>
        <v>0</v>
      </c>
      <c r="R124" s="530">
        <f t="shared" si="46"/>
        <v>0</v>
      </c>
      <c r="S124" s="530">
        <f t="shared" si="46"/>
        <v>0</v>
      </c>
      <c r="T124" s="530">
        <f t="shared" si="46"/>
        <v>0</v>
      </c>
      <c r="U124" s="530">
        <f t="shared" si="46"/>
        <v>0</v>
      </c>
      <c r="V124" s="530">
        <f t="shared" si="46"/>
        <v>0</v>
      </c>
      <c r="W124" s="530">
        <f t="shared" si="46"/>
        <v>0</v>
      </c>
      <c r="X124" s="530">
        <f t="shared" si="46"/>
        <v>0</v>
      </c>
      <c r="Y124" s="530">
        <f t="shared" si="46"/>
        <v>0</v>
      </c>
      <c r="Z124" s="530">
        <f t="shared" si="46"/>
        <v>0</v>
      </c>
      <c r="AA124" s="530">
        <f t="shared" si="46"/>
        <v>0</v>
      </c>
      <c r="AB124" s="530">
        <f>+AB125+AB126</f>
        <v>0</v>
      </c>
    </row>
    <row r="125" spans="1:30" ht="36" hidden="1" customHeight="1">
      <c r="A125" s="521"/>
      <c r="B125" s="522" t="s">
        <v>535</v>
      </c>
      <c r="C125" s="529">
        <f t="shared" si="42"/>
        <v>0</v>
      </c>
      <c r="D125" s="484">
        <f t="shared" si="22"/>
        <v>0</v>
      </c>
      <c r="E125" s="523"/>
      <c r="F125" s="523"/>
      <c r="G125" s="523"/>
      <c r="H125" s="523"/>
      <c r="I125" s="523"/>
      <c r="J125" s="523"/>
      <c r="K125" s="523"/>
      <c r="L125" s="523"/>
      <c r="M125" s="523"/>
      <c r="N125" s="523"/>
      <c r="O125" s="523"/>
      <c r="P125" s="523"/>
      <c r="Q125" s="523"/>
      <c r="R125" s="523"/>
      <c r="S125" s="523"/>
      <c r="T125" s="523"/>
      <c r="U125" s="523"/>
      <c r="V125" s="523"/>
      <c r="W125" s="523"/>
      <c r="X125" s="523"/>
      <c r="Y125" s="523"/>
      <c r="Z125" s="523"/>
      <c r="AA125" s="523"/>
      <c r="AB125" s="530"/>
    </row>
    <row r="126" spans="1:30" ht="36" hidden="1" customHeight="1">
      <c r="A126" s="521"/>
      <c r="B126" s="522" t="s">
        <v>536</v>
      </c>
      <c r="C126" s="529">
        <f t="shared" si="42"/>
        <v>0</v>
      </c>
      <c r="D126" s="484">
        <f t="shared" si="22"/>
        <v>0</v>
      </c>
      <c r="E126" s="523"/>
      <c r="F126" s="523"/>
      <c r="G126" s="523"/>
      <c r="H126" s="523"/>
      <c r="I126" s="523"/>
      <c r="J126" s="523"/>
      <c r="K126" s="523"/>
      <c r="L126" s="523"/>
      <c r="M126" s="523"/>
      <c r="N126" s="523"/>
      <c r="O126" s="523"/>
      <c r="P126" s="523"/>
      <c r="Q126" s="523"/>
      <c r="R126" s="523"/>
      <c r="S126" s="523"/>
      <c r="T126" s="523"/>
      <c r="U126" s="523"/>
      <c r="V126" s="523"/>
      <c r="W126" s="523"/>
      <c r="X126" s="523"/>
      <c r="Y126" s="523"/>
      <c r="Z126" s="523"/>
      <c r="AA126" s="523"/>
      <c r="AB126" s="530"/>
    </row>
    <row r="127" spans="1:30" s="489" customFormat="1" ht="21.75" customHeight="1">
      <c r="A127" s="527">
        <v>3</v>
      </c>
      <c r="B127" s="528" t="s">
        <v>282</v>
      </c>
      <c r="C127" s="529">
        <f t="shared" si="42"/>
        <v>13774</v>
      </c>
      <c r="D127" s="484">
        <f t="shared" si="22"/>
        <v>11694</v>
      </c>
      <c r="E127" s="530">
        <f>+E128+E129</f>
        <v>0</v>
      </c>
      <c r="F127" s="530">
        <f t="shared" ref="F127:AB127" si="47">+F128+F129</f>
        <v>0</v>
      </c>
      <c r="G127" s="530">
        <f t="shared" si="47"/>
        <v>0</v>
      </c>
      <c r="H127" s="530">
        <f t="shared" si="47"/>
        <v>490</v>
      </c>
      <c r="I127" s="530">
        <f t="shared" si="47"/>
        <v>0</v>
      </c>
      <c r="J127" s="530">
        <f t="shared" si="47"/>
        <v>0</v>
      </c>
      <c r="K127" s="530">
        <f t="shared" si="47"/>
        <v>0</v>
      </c>
      <c r="L127" s="530">
        <f t="shared" si="47"/>
        <v>0</v>
      </c>
      <c r="M127" s="530">
        <f t="shared" si="47"/>
        <v>0</v>
      </c>
      <c r="N127" s="530">
        <f t="shared" si="47"/>
        <v>0</v>
      </c>
      <c r="O127" s="530">
        <f t="shared" si="47"/>
        <v>0</v>
      </c>
      <c r="P127" s="530">
        <f t="shared" si="47"/>
        <v>0</v>
      </c>
      <c r="Q127" s="530">
        <f t="shared" si="47"/>
        <v>0</v>
      </c>
      <c r="R127" s="530">
        <f t="shared" si="47"/>
        <v>0</v>
      </c>
      <c r="S127" s="530">
        <f t="shared" si="47"/>
        <v>0</v>
      </c>
      <c r="T127" s="530">
        <f t="shared" si="47"/>
        <v>0</v>
      </c>
      <c r="U127" s="530">
        <f t="shared" si="47"/>
        <v>0</v>
      </c>
      <c r="V127" s="530">
        <f t="shared" si="47"/>
        <v>0</v>
      </c>
      <c r="W127" s="530">
        <f t="shared" si="47"/>
        <v>0</v>
      </c>
      <c r="X127" s="530">
        <f t="shared" si="47"/>
        <v>0</v>
      </c>
      <c r="Y127" s="530">
        <f t="shared" si="47"/>
        <v>0</v>
      </c>
      <c r="Z127" s="530">
        <f t="shared" si="47"/>
        <v>11204</v>
      </c>
      <c r="AA127" s="530">
        <f t="shared" si="47"/>
        <v>0</v>
      </c>
      <c r="AB127" s="530">
        <f t="shared" si="47"/>
        <v>2080</v>
      </c>
      <c r="AC127" s="534"/>
      <c r="AD127" s="534"/>
    </row>
    <row r="128" spans="1:30" s="489" customFormat="1" ht="21.75" customHeight="1">
      <c r="A128" s="527" t="s">
        <v>362</v>
      </c>
      <c r="B128" s="528" t="s">
        <v>178</v>
      </c>
      <c r="C128" s="529">
        <f t="shared" si="42"/>
        <v>11204</v>
      </c>
      <c r="D128" s="484">
        <f t="shared" si="22"/>
        <v>11204</v>
      </c>
      <c r="E128" s="530"/>
      <c r="F128" s="530"/>
      <c r="G128" s="530"/>
      <c r="H128" s="530"/>
      <c r="I128" s="530"/>
      <c r="J128" s="530"/>
      <c r="K128" s="530"/>
      <c r="L128" s="530"/>
      <c r="M128" s="530"/>
      <c r="N128" s="530"/>
      <c r="O128" s="530"/>
      <c r="P128" s="530"/>
      <c r="Q128" s="530"/>
      <c r="R128" s="530"/>
      <c r="S128" s="530"/>
      <c r="T128" s="530"/>
      <c r="U128" s="530"/>
      <c r="V128" s="530"/>
      <c r="W128" s="530"/>
      <c r="X128" s="530"/>
      <c r="Y128" s="530"/>
      <c r="Z128" s="530">
        <v>11204</v>
      </c>
      <c r="AA128" s="530"/>
      <c r="AB128" s="530"/>
      <c r="AC128" s="534"/>
      <c r="AD128" s="534"/>
    </row>
    <row r="129" spans="1:30" s="259" customFormat="1" ht="21.75" customHeight="1">
      <c r="A129" s="527" t="s">
        <v>370</v>
      </c>
      <c r="B129" s="528" t="s">
        <v>179</v>
      </c>
      <c r="C129" s="529">
        <f t="shared" si="42"/>
        <v>2570</v>
      </c>
      <c r="D129" s="484">
        <f t="shared" si="22"/>
        <v>490</v>
      </c>
      <c r="E129" s="530">
        <f>+E130+E132+E135+E137</f>
        <v>0</v>
      </c>
      <c r="F129" s="530">
        <f t="shared" ref="F129:AA129" si="48">+F130+F132+F135+F137</f>
        <v>0</v>
      </c>
      <c r="G129" s="530">
        <f t="shared" si="48"/>
        <v>0</v>
      </c>
      <c r="H129" s="530">
        <f t="shared" si="48"/>
        <v>490</v>
      </c>
      <c r="I129" s="530">
        <f t="shared" si="48"/>
        <v>0</v>
      </c>
      <c r="J129" s="530">
        <f t="shared" si="48"/>
        <v>0</v>
      </c>
      <c r="K129" s="530">
        <f t="shared" si="48"/>
        <v>0</v>
      </c>
      <c r="L129" s="530">
        <f t="shared" si="48"/>
        <v>0</v>
      </c>
      <c r="M129" s="530">
        <f t="shared" si="48"/>
        <v>0</v>
      </c>
      <c r="N129" s="530">
        <f t="shared" si="48"/>
        <v>0</v>
      </c>
      <c r="O129" s="530">
        <f t="shared" si="48"/>
        <v>0</v>
      </c>
      <c r="P129" s="530">
        <f t="shared" si="48"/>
        <v>0</v>
      </c>
      <c r="Q129" s="530">
        <f t="shared" si="48"/>
        <v>0</v>
      </c>
      <c r="R129" s="530">
        <f t="shared" si="48"/>
        <v>0</v>
      </c>
      <c r="S129" s="530">
        <f t="shared" si="48"/>
        <v>0</v>
      </c>
      <c r="T129" s="530">
        <f t="shared" si="48"/>
        <v>0</v>
      </c>
      <c r="U129" s="530">
        <f t="shared" si="48"/>
        <v>0</v>
      </c>
      <c r="V129" s="530">
        <f t="shared" si="48"/>
        <v>0</v>
      </c>
      <c r="W129" s="530">
        <f t="shared" si="48"/>
        <v>0</v>
      </c>
      <c r="X129" s="530">
        <f t="shared" si="48"/>
        <v>0</v>
      </c>
      <c r="Y129" s="530">
        <f t="shared" si="48"/>
        <v>0</v>
      </c>
      <c r="Z129" s="530">
        <f t="shared" si="48"/>
        <v>0</v>
      </c>
      <c r="AA129" s="530">
        <f t="shared" si="48"/>
        <v>0</v>
      </c>
      <c r="AB129" s="530">
        <f>+AB130+AB132+AB135+AB137</f>
        <v>2080</v>
      </c>
      <c r="AC129" s="538"/>
      <c r="AD129" s="665"/>
    </row>
    <row r="130" spans="1:30" s="541" customFormat="1" ht="23.45" customHeight="1">
      <c r="A130" s="511"/>
      <c r="B130" s="666" t="s">
        <v>537</v>
      </c>
      <c r="C130" s="529">
        <f t="shared" si="42"/>
        <v>1500</v>
      </c>
      <c r="D130" s="484">
        <f t="shared" si="22"/>
        <v>0</v>
      </c>
      <c r="E130" s="517">
        <f>E131</f>
        <v>0</v>
      </c>
      <c r="F130" s="517">
        <f t="shared" ref="F130:AB130" si="49">F131</f>
        <v>0</v>
      </c>
      <c r="G130" s="517">
        <f t="shared" si="49"/>
        <v>0</v>
      </c>
      <c r="H130" s="517">
        <f t="shared" si="49"/>
        <v>0</v>
      </c>
      <c r="I130" s="517">
        <f t="shared" si="49"/>
        <v>0</v>
      </c>
      <c r="J130" s="517">
        <f t="shared" si="49"/>
        <v>0</v>
      </c>
      <c r="K130" s="517">
        <f t="shared" si="49"/>
        <v>0</v>
      </c>
      <c r="L130" s="517">
        <f t="shared" si="49"/>
        <v>0</v>
      </c>
      <c r="M130" s="517">
        <f t="shared" si="49"/>
        <v>0</v>
      </c>
      <c r="N130" s="517">
        <f t="shared" si="49"/>
        <v>0</v>
      </c>
      <c r="O130" s="517">
        <f t="shared" si="49"/>
        <v>0</v>
      </c>
      <c r="P130" s="517">
        <f t="shared" si="49"/>
        <v>0</v>
      </c>
      <c r="Q130" s="517">
        <f t="shared" si="49"/>
        <v>0</v>
      </c>
      <c r="R130" s="517">
        <f t="shared" si="49"/>
        <v>0</v>
      </c>
      <c r="S130" s="517">
        <f t="shared" si="49"/>
        <v>0</v>
      </c>
      <c r="T130" s="517">
        <f t="shared" si="49"/>
        <v>0</v>
      </c>
      <c r="U130" s="517">
        <f t="shared" si="49"/>
        <v>0</v>
      </c>
      <c r="V130" s="517">
        <f t="shared" si="49"/>
        <v>0</v>
      </c>
      <c r="W130" s="517">
        <f t="shared" si="49"/>
        <v>0</v>
      </c>
      <c r="X130" s="517">
        <f t="shared" si="49"/>
        <v>0</v>
      </c>
      <c r="Y130" s="517">
        <f t="shared" si="49"/>
        <v>0</v>
      </c>
      <c r="Z130" s="517">
        <f t="shared" si="49"/>
        <v>0</v>
      </c>
      <c r="AA130" s="517">
        <f t="shared" si="49"/>
        <v>0</v>
      </c>
      <c r="AB130" s="530">
        <f t="shared" si="49"/>
        <v>1500</v>
      </c>
    </row>
    <row r="131" spans="1:30" s="541" customFormat="1" ht="92.45" customHeight="1">
      <c r="A131" s="511"/>
      <c r="B131" s="518" t="s">
        <v>538</v>
      </c>
      <c r="C131" s="529">
        <f t="shared" si="42"/>
        <v>1500</v>
      </c>
      <c r="D131" s="484">
        <f t="shared" si="22"/>
        <v>0</v>
      </c>
      <c r="E131" s="516"/>
      <c r="F131" s="516"/>
      <c r="G131" s="516"/>
      <c r="H131" s="516"/>
      <c r="I131" s="516"/>
      <c r="J131" s="516"/>
      <c r="K131" s="516"/>
      <c r="L131" s="516"/>
      <c r="M131" s="516"/>
      <c r="N131" s="516"/>
      <c r="O131" s="516"/>
      <c r="P131" s="516"/>
      <c r="Q131" s="516"/>
      <c r="R131" s="516"/>
      <c r="S131" s="516"/>
      <c r="T131" s="516"/>
      <c r="U131" s="516"/>
      <c r="V131" s="516"/>
      <c r="W131" s="516"/>
      <c r="X131" s="516"/>
      <c r="Y131" s="516"/>
      <c r="Z131" s="516"/>
      <c r="AA131" s="516"/>
      <c r="AB131" s="530">
        <f>+'Chi xã,TT 2025'!C58</f>
        <v>1500</v>
      </c>
    </row>
    <row r="132" spans="1:30" s="665" customFormat="1" ht="23.45" customHeight="1">
      <c r="A132" s="496"/>
      <c r="B132" s="666" t="s">
        <v>539</v>
      </c>
      <c r="C132" s="529">
        <f t="shared" si="42"/>
        <v>460</v>
      </c>
      <c r="D132" s="484">
        <f t="shared" si="22"/>
        <v>460</v>
      </c>
      <c r="E132" s="517">
        <f t="shared" ref="E132:K132" si="50">SUM(E133:E134)</f>
        <v>0</v>
      </c>
      <c r="F132" s="517">
        <f t="shared" si="50"/>
        <v>0</v>
      </c>
      <c r="G132" s="517">
        <f t="shared" si="50"/>
        <v>0</v>
      </c>
      <c r="H132" s="517">
        <f t="shared" si="50"/>
        <v>460</v>
      </c>
      <c r="I132" s="517">
        <f t="shared" si="50"/>
        <v>0</v>
      </c>
      <c r="J132" s="517">
        <f t="shared" si="50"/>
        <v>0</v>
      </c>
      <c r="K132" s="517">
        <f t="shared" si="50"/>
        <v>0</v>
      </c>
      <c r="L132" s="517">
        <f>SUM(L133:L134)</f>
        <v>0</v>
      </c>
      <c r="M132" s="517">
        <f t="shared" ref="M132:AB132" si="51">SUM(M133:M134)</f>
        <v>0</v>
      </c>
      <c r="N132" s="517">
        <f t="shared" si="51"/>
        <v>0</v>
      </c>
      <c r="O132" s="517">
        <f t="shared" si="51"/>
        <v>0</v>
      </c>
      <c r="P132" s="517">
        <f t="shared" si="51"/>
        <v>0</v>
      </c>
      <c r="Q132" s="517">
        <f t="shared" si="51"/>
        <v>0</v>
      </c>
      <c r="R132" s="517">
        <f t="shared" si="51"/>
        <v>0</v>
      </c>
      <c r="S132" s="517">
        <f t="shared" si="51"/>
        <v>0</v>
      </c>
      <c r="T132" s="517">
        <f t="shared" si="51"/>
        <v>0</v>
      </c>
      <c r="U132" s="517">
        <f t="shared" si="51"/>
        <v>0</v>
      </c>
      <c r="V132" s="517">
        <f t="shared" si="51"/>
        <v>0</v>
      </c>
      <c r="W132" s="517">
        <f t="shared" si="51"/>
        <v>0</v>
      </c>
      <c r="X132" s="517">
        <f t="shared" si="51"/>
        <v>0</v>
      </c>
      <c r="Y132" s="517">
        <f t="shared" si="51"/>
        <v>0</v>
      </c>
      <c r="Z132" s="517">
        <f t="shared" si="51"/>
        <v>0</v>
      </c>
      <c r="AA132" s="517">
        <f t="shared" si="51"/>
        <v>0</v>
      </c>
      <c r="AB132" s="530">
        <f t="shared" si="51"/>
        <v>0</v>
      </c>
    </row>
    <row r="133" spans="1:30" s="541" customFormat="1" ht="31.15" customHeight="1">
      <c r="A133" s="511"/>
      <c r="B133" s="518" t="s">
        <v>540</v>
      </c>
      <c r="C133" s="529">
        <f t="shared" si="42"/>
        <v>460</v>
      </c>
      <c r="D133" s="484">
        <f t="shared" si="22"/>
        <v>460</v>
      </c>
      <c r="E133" s="516"/>
      <c r="F133" s="516"/>
      <c r="G133" s="516"/>
      <c r="H133" s="516">
        <f>300+160</f>
        <v>460</v>
      </c>
      <c r="I133" s="516"/>
      <c r="J133" s="516"/>
      <c r="K133" s="516"/>
      <c r="L133" s="516"/>
      <c r="M133" s="516"/>
      <c r="N133" s="516"/>
      <c r="O133" s="516"/>
      <c r="P133" s="516"/>
      <c r="Q133" s="516"/>
      <c r="R133" s="516"/>
      <c r="S133" s="516"/>
      <c r="T133" s="516"/>
      <c r="U133" s="516"/>
      <c r="V133" s="516"/>
      <c r="W133" s="516"/>
      <c r="X133" s="516"/>
      <c r="Y133" s="516"/>
      <c r="Z133" s="516"/>
      <c r="AA133" s="516"/>
      <c r="AB133" s="530"/>
    </row>
    <row r="134" spans="1:30" s="541" customFormat="1" ht="31.15" hidden="1" customHeight="1">
      <c r="A134" s="511"/>
      <c r="B134" s="518" t="s">
        <v>541</v>
      </c>
      <c r="C134" s="529">
        <f t="shared" si="42"/>
        <v>0</v>
      </c>
      <c r="D134" s="484">
        <f t="shared" si="22"/>
        <v>0</v>
      </c>
      <c r="E134" s="516"/>
      <c r="F134" s="516"/>
      <c r="G134" s="516"/>
      <c r="H134" s="516"/>
      <c r="I134" s="516"/>
      <c r="J134" s="516"/>
      <c r="K134" s="516"/>
      <c r="L134" s="516"/>
      <c r="M134" s="516"/>
      <c r="N134" s="516"/>
      <c r="O134" s="516"/>
      <c r="P134" s="516"/>
      <c r="Q134" s="516"/>
      <c r="R134" s="516"/>
      <c r="S134" s="516"/>
      <c r="T134" s="516"/>
      <c r="U134" s="516"/>
      <c r="V134" s="516"/>
      <c r="W134" s="516"/>
      <c r="X134" s="516"/>
      <c r="Y134" s="516"/>
      <c r="Z134" s="516"/>
      <c r="AA134" s="516"/>
      <c r="AB134" s="530"/>
    </row>
    <row r="135" spans="1:30" s="541" customFormat="1" ht="23.45" customHeight="1">
      <c r="A135" s="511"/>
      <c r="B135" s="666" t="s">
        <v>542</v>
      </c>
      <c r="C135" s="529">
        <f t="shared" si="42"/>
        <v>400</v>
      </c>
      <c r="D135" s="484">
        <f t="shared" si="22"/>
        <v>0</v>
      </c>
      <c r="E135" s="517">
        <f>E136</f>
        <v>0</v>
      </c>
      <c r="F135" s="517">
        <f t="shared" ref="F135:AA135" si="52">F136</f>
        <v>0</v>
      </c>
      <c r="G135" s="517">
        <f t="shared" si="52"/>
        <v>0</v>
      </c>
      <c r="H135" s="517">
        <f t="shared" si="52"/>
        <v>0</v>
      </c>
      <c r="I135" s="517">
        <f t="shared" si="52"/>
        <v>0</v>
      </c>
      <c r="J135" s="517">
        <f t="shared" si="52"/>
        <v>0</v>
      </c>
      <c r="K135" s="517">
        <f t="shared" si="52"/>
        <v>0</v>
      </c>
      <c r="L135" s="517">
        <f t="shared" si="52"/>
        <v>0</v>
      </c>
      <c r="M135" s="517">
        <f t="shared" si="52"/>
        <v>0</v>
      </c>
      <c r="N135" s="517">
        <f t="shared" si="52"/>
        <v>0</v>
      </c>
      <c r="O135" s="517">
        <f t="shared" si="52"/>
        <v>0</v>
      </c>
      <c r="P135" s="517">
        <f t="shared" si="52"/>
        <v>0</v>
      </c>
      <c r="Q135" s="517">
        <f t="shared" si="52"/>
        <v>0</v>
      </c>
      <c r="R135" s="517">
        <f t="shared" si="52"/>
        <v>0</v>
      </c>
      <c r="S135" s="517">
        <f t="shared" si="52"/>
        <v>0</v>
      </c>
      <c r="T135" s="517">
        <f t="shared" si="52"/>
        <v>0</v>
      </c>
      <c r="U135" s="517">
        <f t="shared" si="52"/>
        <v>0</v>
      </c>
      <c r="V135" s="517">
        <f t="shared" si="52"/>
        <v>0</v>
      </c>
      <c r="W135" s="517">
        <f t="shared" si="52"/>
        <v>0</v>
      </c>
      <c r="X135" s="517">
        <f t="shared" si="52"/>
        <v>0</v>
      </c>
      <c r="Y135" s="517">
        <f t="shared" si="52"/>
        <v>0</v>
      </c>
      <c r="Z135" s="517">
        <f t="shared" si="52"/>
        <v>0</v>
      </c>
      <c r="AA135" s="517">
        <f t="shared" si="52"/>
        <v>0</v>
      </c>
      <c r="AB135" s="530">
        <f>AB136</f>
        <v>400</v>
      </c>
    </row>
    <row r="136" spans="1:30" s="541" customFormat="1" ht="58.5" customHeight="1">
      <c r="A136" s="511"/>
      <c r="B136" s="518" t="s">
        <v>543</v>
      </c>
      <c r="C136" s="529">
        <f t="shared" si="42"/>
        <v>400</v>
      </c>
      <c r="D136" s="484">
        <f t="shared" si="22"/>
        <v>0</v>
      </c>
      <c r="E136" s="516"/>
      <c r="F136" s="516"/>
      <c r="G136" s="516"/>
      <c r="H136" s="516"/>
      <c r="I136" s="516"/>
      <c r="J136" s="516"/>
      <c r="K136" s="516"/>
      <c r="L136" s="516"/>
      <c r="M136" s="516"/>
      <c r="N136" s="516"/>
      <c r="O136" s="516"/>
      <c r="P136" s="516"/>
      <c r="Q136" s="516"/>
      <c r="R136" s="516"/>
      <c r="S136" s="516"/>
      <c r="T136" s="516"/>
      <c r="U136" s="516"/>
      <c r="V136" s="516"/>
      <c r="W136" s="516"/>
      <c r="X136" s="516"/>
      <c r="Y136" s="516"/>
      <c r="Z136" s="516"/>
      <c r="AA136" s="516"/>
      <c r="AB136" s="530">
        <f>+'Chi xã,TT 2025'!C60</f>
        <v>400</v>
      </c>
    </row>
    <row r="137" spans="1:30" s="665" customFormat="1" ht="23.45" customHeight="1">
      <c r="A137" s="496"/>
      <c r="B137" s="666" t="s">
        <v>544</v>
      </c>
      <c r="C137" s="529">
        <f t="shared" si="42"/>
        <v>210</v>
      </c>
      <c r="D137" s="484">
        <f t="shared" si="22"/>
        <v>30</v>
      </c>
      <c r="E137" s="517">
        <f>E138</f>
        <v>0</v>
      </c>
      <c r="F137" s="517">
        <f t="shared" ref="F137:AA137" si="53">F138</f>
        <v>0</v>
      </c>
      <c r="G137" s="517">
        <f t="shared" si="53"/>
        <v>0</v>
      </c>
      <c r="H137" s="517">
        <f t="shared" si="53"/>
        <v>30</v>
      </c>
      <c r="I137" s="517">
        <f t="shared" si="53"/>
        <v>0</v>
      </c>
      <c r="J137" s="517">
        <f t="shared" si="53"/>
        <v>0</v>
      </c>
      <c r="K137" s="517">
        <f t="shared" si="53"/>
        <v>0</v>
      </c>
      <c r="L137" s="517">
        <f t="shared" si="53"/>
        <v>0</v>
      </c>
      <c r="M137" s="517">
        <f t="shared" si="53"/>
        <v>0</v>
      </c>
      <c r="N137" s="517">
        <f t="shared" si="53"/>
        <v>0</v>
      </c>
      <c r="O137" s="517">
        <f t="shared" si="53"/>
        <v>0</v>
      </c>
      <c r="P137" s="517">
        <f t="shared" si="53"/>
        <v>0</v>
      </c>
      <c r="Q137" s="517">
        <f t="shared" si="53"/>
        <v>0</v>
      </c>
      <c r="R137" s="517">
        <f t="shared" si="53"/>
        <v>0</v>
      </c>
      <c r="S137" s="517">
        <f t="shared" si="53"/>
        <v>0</v>
      </c>
      <c r="T137" s="517">
        <f t="shared" si="53"/>
        <v>0</v>
      </c>
      <c r="U137" s="517">
        <f t="shared" si="53"/>
        <v>0</v>
      </c>
      <c r="V137" s="517">
        <f t="shared" si="53"/>
        <v>0</v>
      </c>
      <c r="W137" s="517">
        <f t="shared" si="53"/>
        <v>0</v>
      </c>
      <c r="X137" s="517">
        <f t="shared" si="53"/>
        <v>0</v>
      </c>
      <c r="Y137" s="517">
        <f t="shared" si="53"/>
        <v>0</v>
      </c>
      <c r="Z137" s="517">
        <f t="shared" si="53"/>
        <v>0</v>
      </c>
      <c r="AA137" s="517">
        <f t="shared" si="53"/>
        <v>0</v>
      </c>
      <c r="AB137" s="530">
        <f>AB138</f>
        <v>180</v>
      </c>
    </row>
    <row r="138" spans="1:30" s="541" customFormat="1" ht="93.75" customHeight="1">
      <c r="A138" s="511"/>
      <c r="B138" s="518" t="s">
        <v>545</v>
      </c>
      <c r="C138" s="529">
        <f t="shared" si="42"/>
        <v>210</v>
      </c>
      <c r="D138" s="484">
        <f t="shared" si="22"/>
        <v>30</v>
      </c>
      <c r="E138" s="516"/>
      <c r="F138" s="516"/>
      <c r="G138" s="516"/>
      <c r="H138" s="516">
        <v>30</v>
      </c>
      <c r="I138" s="516"/>
      <c r="J138" s="516"/>
      <c r="K138" s="516"/>
      <c r="L138" s="516"/>
      <c r="M138" s="516"/>
      <c r="N138" s="516"/>
      <c r="O138" s="516"/>
      <c r="P138" s="516"/>
      <c r="Q138" s="516"/>
      <c r="R138" s="516"/>
      <c r="S138" s="516"/>
      <c r="T138" s="516"/>
      <c r="U138" s="516"/>
      <c r="V138" s="516"/>
      <c r="W138" s="516"/>
      <c r="X138" s="516"/>
      <c r="Y138" s="516"/>
      <c r="Z138" s="516"/>
      <c r="AA138" s="516"/>
      <c r="AB138" s="530">
        <f>+'Chi xã,TT 2025'!C62</f>
        <v>180</v>
      </c>
    </row>
    <row r="139" spans="1:30" s="489" customFormat="1" ht="30.75" customHeight="1">
      <c r="A139" s="527" t="s">
        <v>19</v>
      </c>
      <c r="B139" s="528" t="s">
        <v>811</v>
      </c>
      <c r="C139" s="529">
        <f t="shared" si="42"/>
        <v>666</v>
      </c>
      <c r="D139" s="484">
        <f t="shared" si="22"/>
        <v>666</v>
      </c>
      <c r="E139" s="530">
        <f>+E140+E142</f>
        <v>0</v>
      </c>
      <c r="F139" s="530">
        <f t="shared" ref="F139:Z139" si="54">+F140+F142</f>
        <v>0</v>
      </c>
      <c r="G139" s="530">
        <f t="shared" si="54"/>
        <v>0</v>
      </c>
      <c r="H139" s="530">
        <f t="shared" si="54"/>
        <v>0</v>
      </c>
      <c r="I139" s="530">
        <f t="shared" si="54"/>
        <v>0</v>
      </c>
      <c r="J139" s="530">
        <f t="shared" si="54"/>
        <v>0</v>
      </c>
      <c r="K139" s="530">
        <f t="shared" si="54"/>
        <v>0</v>
      </c>
      <c r="L139" s="530">
        <f t="shared" si="54"/>
        <v>0</v>
      </c>
      <c r="M139" s="530">
        <f t="shared" si="54"/>
        <v>191</v>
      </c>
      <c r="N139" s="530">
        <f t="shared" si="54"/>
        <v>0</v>
      </c>
      <c r="O139" s="530">
        <f t="shared" si="54"/>
        <v>0</v>
      </c>
      <c r="P139" s="530">
        <f t="shared" si="54"/>
        <v>0</v>
      </c>
      <c r="Q139" s="530">
        <f t="shared" si="54"/>
        <v>0</v>
      </c>
      <c r="R139" s="530">
        <f t="shared" si="54"/>
        <v>0</v>
      </c>
      <c r="S139" s="530">
        <f t="shared" si="54"/>
        <v>0</v>
      </c>
      <c r="T139" s="530">
        <f t="shared" si="54"/>
        <v>0</v>
      </c>
      <c r="U139" s="530">
        <f t="shared" si="54"/>
        <v>0</v>
      </c>
      <c r="V139" s="530">
        <f t="shared" si="54"/>
        <v>0</v>
      </c>
      <c r="W139" s="530">
        <f t="shared" si="54"/>
        <v>0</v>
      </c>
      <c r="X139" s="530">
        <f t="shared" si="54"/>
        <v>0</v>
      </c>
      <c r="Y139" s="530">
        <f t="shared" si="54"/>
        <v>0</v>
      </c>
      <c r="Z139" s="530">
        <f t="shared" si="54"/>
        <v>0</v>
      </c>
      <c r="AA139" s="530">
        <f>+AA140+AA142</f>
        <v>475</v>
      </c>
      <c r="AB139" s="530">
        <f>+AB140+AB142</f>
        <v>0</v>
      </c>
      <c r="AC139" s="533">
        <v>666</v>
      </c>
      <c r="AD139" s="560">
        <f>C139-AC139</f>
        <v>0</v>
      </c>
    </row>
    <row r="140" spans="1:30" s="489" customFormat="1" ht="22.5" customHeight="1">
      <c r="A140" s="521">
        <v>1</v>
      </c>
      <c r="B140" s="522" t="s">
        <v>283</v>
      </c>
      <c r="C140" s="529">
        <f t="shared" si="42"/>
        <v>475</v>
      </c>
      <c r="D140" s="484">
        <f t="shared" si="22"/>
        <v>475</v>
      </c>
      <c r="E140" s="530">
        <f>+E141</f>
        <v>0</v>
      </c>
      <c r="F140" s="530">
        <f t="shared" ref="F140:Z140" si="55">+F141</f>
        <v>0</v>
      </c>
      <c r="G140" s="530">
        <f t="shared" si="55"/>
        <v>0</v>
      </c>
      <c r="H140" s="530">
        <f t="shared" si="55"/>
        <v>0</v>
      </c>
      <c r="I140" s="530">
        <f t="shared" si="55"/>
        <v>0</v>
      </c>
      <c r="J140" s="530">
        <f t="shared" si="55"/>
        <v>0</v>
      </c>
      <c r="K140" s="530">
        <f t="shared" si="55"/>
        <v>0</v>
      </c>
      <c r="L140" s="530">
        <f t="shared" si="55"/>
        <v>0</v>
      </c>
      <c r="M140" s="530">
        <f t="shared" si="55"/>
        <v>0</v>
      </c>
      <c r="N140" s="530">
        <f t="shared" si="55"/>
        <v>0</v>
      </c>
      <c r="O140" s="530">
        <f t="shared" si="55"/>
        <v>0</v>
      </c>
      <c r="P140" s="530">
        <f t="shared" si="55"/>
        <v>0</v>
      </c>
      <c r="Q140" s="530">
        <f t="shared" si="55"/>
        <v>0</v>
      </c>
      <c r="R140" s="530">
        <f t="shared" si="55"/>
        <v>0</v>
      </c>
      <c r="S140" s="530">
        <f t="shared" si="55"/>
        <v>0</v>
      </c>
      <c r="T140" s="530">
        <f t="shared" si="55"/>
        <v>0</v>
      </c>
      <c r="U140" s="530">
        <f t="shared" si="55"/>
        <v>0</v>
      </c>
      <c r="V140" s="530">
        <f t="shared" si="55"/>
        <v>0</v>
      </c>
      <c r="W140" s="530">
        <f t="shared" si="55"/>
        <v>0</v>
      </c>
      <c r="X140" s="530">
        <f t="shared" si="55"/>
        <v>0</v>
      </c>
      <c r="Y140" s="530">
        <f t="shared" si="55"/>
        <v>0</v>
      </c>
      <c r="Z140" s="530">
        <f t="shared" si="55"/>
        <v>0</v>
      </c>
      <c r="AA140" s="530">
        <f>+AA141</f>
        <v>475</v>
      </c>
      <c r="AB140" s="530">
        <f>+AB141</f>
        <v>0</v>
      </c>
      <c r="AC140" s="534"/>
      <c r="AD140" s="534"/>
    </row>
    <row r="141" spans="1:30" ht="22.5" customHeight="1">
      <c r="A141" s="521"/>
      <c r="B141" s="522" t="s">
        <v>547</v>
      </c>
      <c r="C141" s="529">
        <f t="shared" si="42"/>
        <v>475</v>
      </c>
      <c r="D141" s="484">
        <f t="shared" si="22"/>
        <v>475</v>
      </c>
      <c r="E141" s="523"/>
      <c r="F141" s="523"/>
      <c r="G141" s="523"/>
      <c r="H141" s="523"/>
      <c r="I141" s="523"/>
      <c r="J141" s="523"/>
      <c r="K141" s="523"/>
      <c r="L141" s="523"/>
      <c r="M141" s="523"/>
      <c r="N141" s="523"/>
      <c r="O141" s="523"/>
      <c r="P141" s="523"/>
      <c r="Q141" s="523"/>
      <c r="R141" s="523"/>
      <c r="S141" s="523"/>
      <c r="T141" s="523"/>
      <c r="U141" s="523"/>
      <c r="V141" s="523"/>
      <c r="W141" s="523"/>
      <c r="X141" s="523"/>
      <c r="Y141" s="523"/>
      <c r="Z141" s="523"/>
      <c r="AA141" s="523">
        <v>475</v>
      </c>
      <c r="AB141" s="530"/>
    </row>
    <row r="142" spans="1:30" s="489" customFormat="1" ht="36" customHeight="1">
      <c r="A142" s="521">
        <v>2</v>
      </c>
      <c r="B142" s="522" t="s">
        <v>697</v>
      </c>
      <c r="C142" s="529">
        <f t="shared" si="42"/>
        <v>191</v>
      </c>
      <c r="D142" s="484">
        <f t="shared" si="22"/>
        <v>191</v>
      </c>
      <c r="E142" s="530"/>
      <c r="F142" s="530"/>
      <c r="G142" s="530"/>
      <c r="H142" s="530"/>
      <c r="I142" s="530"/>
      <c r="J142" s="530"/>
      <c r="K142" s="530"/>
      <c r="L142" s="530"/>
      <c r="M142" s="530">
        <v>191</v>
      </c>
      <c r="N142" s="530"/>
      <c r="O142" s="530"/>
      <c r="P142" s="530"/>
      <c r="Q142" s="530"/>
      <c r="R142" s="530"/>
      <c r="S142" s="530"/>
      <c r="T142" s="530"/>
      <c r="U142" s="530"/>
      <c r="V142" s="530"/>
      <c r="W142" s="530"/>
      <c r="X142" s="530"/>
      <c r="Y142" s="530"/>
      <c r="Z142" s="530"/>
      <c r="AA142" s="530"/>
      <c r="AB142" s="530"/>
      <c r="AC142" s="534"/>
      <c r="AD142" s="534"/>
    </row>
    <row r="157" spans="2:2">
      <c r="B157" s="198" t="s">
        <v>728</v>
      </c>
    </row>
  </sheetData>
  <mergeCells count="4">
    <mergeCell ref="Z1:AB1"/>
    <mergeCell ref="A2:AB2"/>
    <mergeCell ref="A3:AB3"/>
    <mergeCell ref="Z4:AB4"/>
  </mergeCells>
  <pageMargins left="0.27559055118110237" right="0.19685039370078741" top="0.47244094488188981" bottom="0.55118110236220474" header="0.31496062992125984" footer="0.31496062992125984"/>
  <pageSetup paperSize="9" scale="6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8"/>
  <sheetViews>
    <sheetView view="pageBreakPreview" zoomScale="90" zoomScaleNormal="90" zoomScaleSheetLayoutView="90" workbookViewId="0">
      <pane xSplit="3" ySplit="6" topLeftCell="D27" activePane="bottomRight" state="frozen"/>
      <selection pane="topRight" activeCell="D1" sqref="D1"/>
      <selection pane="bottomLeft" activeCell="A7" sqref="A7"/>
      <selection pane="bottomRight" activeCell="K57" sqref="K57"/>
    </sheetView>
  </sheetViews>
  <sheetFormatPr defaultColWidth="6.44140625" defaultRowHeight="15.75"/>
  <cols>
    <col min="1" max="1" width="6.21875" style="667" customWidth="1"/>
    <col min="2" max="2" width="40.77734375" style="668" customWidth="1"/>
    <col min="3" max="3" width="11.6640625" style="669" customWidth="1"/>
    <col min="4" max="15" width="9.88671875" style="669" customWidth="1"/>
    <col min="16" max="16" width="8.77734375" style="669" customWidth="1"/>
    <col min="17" max="17" width="9.109375" style="669" customWidth="1"/>
    <col min="18" max="18" width="9" style="669" customWidth="1"/>
    <col min="19" max="19" width="9.88671875" style="669" customWidth="1"/>
    <col min="20" max="20" width="9.33203125" style="669" customWidth="1"/>
    <col min="21" max="21" width="9.88671875" style="669" customWidth="1"/>
    <col min="22" max="22" width="9.33203125" style="669" customWidth="1"/>
    <col min="23" max="23" width="6.6640625" style="668" hidden="1" customWidth="1"/>
    <col min="24" max="24" width="11" style="668" hidden="1" customWidth="1"/>
    <col min="25" max="25" width="9.88671875" style="668" hidden="1" customWidth="1"/>
    <col min="26" max="247" width="6.44140625" style="668"/>
    <col min="248" max="248" width="6.21875" style="668" customWidth="1"/>
    <col min="249" max="249" width="45.6640625" style="668" customWidth="1"/>
    <col min="250" max="250" width="11.6640625" style="668" customWidth="1"/>
    <col min="251" max="269" width="9.88671875" style="668" customWidth="1"/>
    <col min="270" max="270" width="6.44140625" style="668"/>
    <col min="271" max="275" width="11.44140625" style="668" customWidth="1"/>
    <col min="276" max="276" width="49.88671875" style="668" bestFit="1" customWidth="1"/>
    <col min="277" max="503" width="6.44140625" style="668"/>
    <col min="504" max="504" width="6.21875" style="668" customWidth="1"/>
    <col min="505" max="505" width="45.6640625" style="668" customWidth="1"/>
    <col min="506" max="506" width="11.6640625" style="668" customWidth="1"/>
    <col min="507" max="525" width="9.88671875" style="668" customWidth="1"/>
    <col min="526" max="526" width="6.44140625" style="668"/>
    <col min="527" max="531" width="11.44140625" style="668" customWidth="1"/>
    <col min="532" max="532" width="49.88671875" style="668" bestFit="1" customWidth="1"/>
    <col min="533" max="759" width="6.44140625" style="668"/>
    <col min="760" max="760" width="6.21875" style="668" customWidth="1"/>
    <col min="761" max="761" width="45.6640625" style="668" customWidth="1"/>
    <col min="762" max="762" width="11.6640625" style="668" customWidth="1"/>
    <col min="763" max="781" width="9.88671875" style="668" customWidth="1"/>
    <col min="782" max="782" width="6.44140625" style="668"/>
    <col min="783" max="787" width="11.44140625" style="668" customWidth="1"/>
    <col min="788" max="788" width="49.88671875" style="668" bestFit="1" customWidth="1"/>
    <col min="789" max="1015" width="6.44140625" style="668"/>
    <col min="1016" max="1016" width="6.21875" style="668" customWidth="1"/>
    <col min="1017" max="1017" width="45.6640625" style="668" customWidth="1"/>
    <col min="1018" max="1018" width="11.6640625" style="668" customWidth="1"/>
    <col min="1019" max="1037" width="9.88671875" style="668" customWidth="1"/>
    <col min="1038" max="1038" width="6.44140625" style="668"/>
    <col min="1039" max="1043" width="11.44140625" style="668" customWidth="1"/>
    <col min="1044" max="1044" width="49.88671875" style="668" bestFit="1" customWidth="1"/>
    <col min="1045" max="1271" width="6.44140625" style="668"/>
    <col min="1272" max="1272" width="6.21875" style="668" customWidth="1"/>
    <col min="1273" max="1273" width="45.6640625" style="668" customWidth="1"/>
    <col min="1274" max="1274" width="11.6640625" style="668" customWidth="1"/>
    <col min="1275" max="1293" width="9.88671875" style="668" customWidth="1"/>
    <col min="1294" max="1294" width="6.44140625" style="668"/>
    <col min="1295" max="1299" width="11.44140625" style="668" customWidth="1"/>
    <col min="1300" max="1300" width="49.88671875" style="668" bestFit="1" customWidth="1"/>
    <col min="1301" max="1527" width="6.44140625" style="668"/>
    <col min="1528" max="1528" width="6.21875" style="668" customWidth="1"/>
    <col min="1529" max="1529" width="45.6640625" style="668" customWidth="1"/>
    <col min="1530" max="1530" width="11.6640625" style="668" customWidth="1"/>
    <col min="1531" max="1549" width="9.88671875" style="668" customWidth="1"/>
    <col min="1550" max="1550" width="6.44140625" style="668"/>
    <col min="1551" max="1555" width="11.44140625" style="668" customWidth="1"/>
    <col min="1556" max="1556" width="49.88671875" style="668" bestFit="1" customWidth="1"/>
    <col min="1557" max="1783" width="6.44140625" style="668"/>
    <col min="1784" max="1784" width="6.21875" style="668" customWidth="1"/>
    <col min="1785" max="1785" width="45.6640625" style="668" customWidth="1"/>
    <col min="1786" max="1786" width="11.6640625" style="668" customWidth="1"/>
    <col min="1787" max="1805" width="9.88671875" style="668" customWidth="1"/>
    <col min="1806" max="1806" width="6.44140625" style="668"/>
    <col min="1807" max="1811" width="11.44140625" style="668" customWidth="1"/>
    <col min="1812" max="1812" width="49.88671875" style="668" bestFit="1" customWidth="1"/>
    <col min="1813" max="2039" width="6.44140625" style="668"/>
    <col min="2040" max="2040" width="6.21875" style="668" customWidth="1"/>
    <col min="2041" max="2041" width="45.6640625" style="668" customWidth="1"/>
    <col min="2042" max="2042" width="11.6640625" style="668" customWidth="1"/>
    <col min="2043" max="2061" width="9.88671875" style="668" customWidth="1"/>
    <col min="2062" max="2062" width="6.44140625" style="668"/>
    <col min="2063" max="2067" width="11.44140625" style="668" customWidth="1"/>
    <col min="2068" max="2068" width="49.88671875" style="668" bestFit="1" customWidth="1"/>
    <col min="2069" max="2295" width="6.44140625" style="668"/>
    <col min="2296" max="2296" width="6.21875" style="668" customWidth="1"/>
    <col min="2297" max="2297" width="45.6640625" style="668" customWidth="1"/>
    <col min="2298" max="2298" width="11.6640625" style="668" customWidth="1"/>
    <col min="2299" max="2317" width="9.88671875" style="668" customWidth="1"/>
    <col min="2318" max="2318" width="6.44140625" style="668"/>
    <col min="2319" max="2323" width="11.44140625" style="668" customWidth="1"/>
    <col min="2324" max="2324" width="49.88671875" style="668" bestFit="1" customWidth="1"/>
    <col min="2325" max="2551" width="6.44140625" style="668"/>
    <col min="2552" max="2552" width="6.21875" style="668" customWidth="1"/>
    <col min="2553" max="2553" width="45.6640625" style="668" customWidth="1"/>
    <col min="2554" max="2554" width="11.6640625" style="668" customWidth="1"/>
    <col min="2555" max="2573" width="9.88671875" style="668" customWidth="1"/>
    <col min="2574" max="2574" width="6.44140625" style="668"/>
    <col min="2575" max="2579" width="11.44140625" style="668" customWidth="1"/>
    <col min="2580" max="2580" width="49.88671875" style="668" bestFit="1" customWidth="1"/>
    <col min="2581" max="2807" width="6.44140625" style="668"/>
    <col min="2808" max="2808" width="6.21875" style="668" customWidth="1"/>
    <col min="2809" max="2809" width="45.6640625" style="668" customWidth="1"/>
    <col min="2810" max="2810" width="11.6640625" style="668" customWidth="1"/>
    <col min="2811" max="2829" width="9.88671875" style="668" customWidth="1"/>
    <col min="2830" max="2830" width="6.44140625" style="668"/>
    <col min="2831" max="2835" width="11.44140625" style="668" customWidth="1"/>
    <col min="2836" max="2836" width="49.88671875" style="668" bestFit="1" customWidth="1"/>
    <col min="2837" max="3063" width="6.44140625" style="668"/>
    <col min="3064" max="3064" width="6.21875" style="668" customWidth="1"/>
    <col min="3065" max="3065" width="45.6640625" style="668" customWidth="1"/>
    <col min="3066" max="3066" width="11.6640625" style="668" customWidth="1"/>
    <col min="3067" max="3085" width="9.88671875" style="668" customWidth="1"/>
    <col min="3086" max="3086" width="6.44140625" style="668"/>
    <col min="3087" max="3091" width="11.44140625" style="668" customWidth="1"/>
    <col min="3092" max="3092" width="49.88671875" style="668" bestFit="1" customWidth="1"/>
    <col min="3093" max="3319" width="6.44140625" style="668"/>
    <col min="3320" max="3320" width="6.21875" style="668" customWidth="1"/>
    <col min="3321" max="3321" width="45.6640625" style="668" customWidth="1"/>
    <col min="3322" max="3322" width="11.6640625" style="668" customWidth="1"/>
    <col min="3323" max="3341" width="9.88671875" style="668" customWidth="1"/>
    <col min="3342" max="3342" width="6.44140625" style="668"/>
    <col min="3343" max="3347" width="11.44140625" style="668" customWidth="1"/>
    <col min="3348" max="3348" width="49.88671875" style="668" bestFit="1" customWidth="1"/>
    <col min="3349" max="3575" width="6.44140625" style="668"/>
    <col min="3576" max="3576" width="6.21875" style="668" customWidth="1"/>
    <col min="3577" max="3577" width="45.6640625" style="668" customWidth="1"/>
    <col min="3578" max="3578" width="11.6640625" style="668" customWidth="1"/>
    <col min="3579" max="3597" width="9.88671875" style="668" customWidth="1"/>
    <col min="3598" max="3598" width="6.44140625" style="668"/>
    <col min="3599" max="3603" width="11.44140625" style="668" customWidth="1"/>
    <col min="3604" max="3604" width="49.88671875" style="668" bestFit="1" customWidth="1"/>
    <col min="3605" max="3831" width="6.44140625" style="668"/>
    <col min="3832" max="3832" width="6.21875" style="668" customWidth="1"/>
    <col min="3833" max="3833" width="45.6640625" style="668" customWidth="1"/>
    <col min="3834" max="3834" width="11.6640625" style="668" customWidth="1"/>
    <col min="3835" max="3853" width="9.88671875" style="668" customWidth="1"/>
    <col min="3854" max="3854" width="6.44140625" style="668"/>
    <col min="3855" max="3859" width="11.44140625" style="668" customWidth="1"/>
    <col min="3860" max="3860" width="49.88671875" style="668" bestFit="1" customWidth="1"/>
    <col min="3861" max="4087" width="6.44140625" style="668"/>
    <col min="4088" max="4088" width="6.21875" style="668" customWidth="1"/>
    <col min="4089" max="4089" width="45.6640625" style="668" customWidth="1"/>
    <col min="4090" max="4090" width="11.6640625" style="668" customWidth="1"/>
    <col min="4091" max="4109" width="9.88671875" style="668" customWidth="1"/>
    <col min="4110" max="4110" width="6.44140625" style="668"/>
    <col min="4111" max="4115" width="11.44140625" style="668" customWidth="1"/>
    <col min="4116" max="4116" width="49.88671875" style="668" bestFit="1" customWidth="1"/>
    <col min="4117" max="4343" width="6.44140625" style="668"/>
    <col min="4344" max="4344" width="6.21875" style="668" customWidth="1"/>
    <col min="4345" max="4345" width="45.6640625" style="668" customWidth="1"/>
    <col min="4346" max="4346" width="11.6640625" style="668" customWidth="1"/>
    <col min="4347" max="4365" width="9.88671875" style="668" customWidth="1"/>
    <col min="4366" max="4366" width="6.44140625" style="668"/>
    <col min="4367" max="4371" width="11.44140625" style="668" customWidth="1"/>
    <col min="4372" max="4372" width="49.88671875" style="668" bestFit="1" customWidth="1"/>
    <col min="4373" max="4599" width="6.44140625" style="668"/>
    <col min="4600" max="4600" width="6.21875" style="668" customWidth="1"/>
    <col min="4601" max="4601" width="45.6640625" style="668" customWidth="1"/>
    <col min="4602" max="4602" width="11.6640625" style="668" customWidth="1"/>
    <col min="4603" max="4621" width="9.88671875" style="668" customWidth="1"/>
    <col min="4622" max="4622" width="6.44140625" style="668"/>
    <col min="4623" max="4627" width="11.44140625" style="668" customWidth="1"/>
    <col min="4628" max="4628" width="49.88671875" style="668" bestFit="1" customWidth="1"/>
    <col min="4629" max="4855" width="6.44140625" style="668"/>
    <col min="4856" max="4856" width="6.21875" style="668" customWidth="1"/>
    <col min="4857" max="4857" width="45.6640625" style="668" customWidth="1"/>
    <col min="4858" max="4858" width="11.6640625" style="668" customWidth="1"/>
    <col min="4859" max="4877" width="9.88671875" style="668" customWidth="1"/>
    <col min="4878" max="4878" width="6.44140625" style="668"/>
    <col min="4879" max="4883" width="11.44140625" style="668" customWidth="1"/>
    <col min="4884" max="4884" width="49.88671875" style="668" bestFit="1" customWidth="1"/>
    <col min="4885" max="5111" width="6.44140625" style="668"/>
    <col min="5112" max="5112" width="6.21875" style="668" customWidth="1"/>
    <col min="5113" max="5113" width="45.6640625" style="668" customWidth="1"/>
    <col min="5114" max="5114" width="11.6640625" style="668" customWidth="1"/>
    <col min="5115" max="5133" width="9.88671875" style="668" customWidth="1"/>
    <col min="5134" max="5134" width="6.44140625" style="668"/>
    <col min="5135" max="5139" width="11.44140625" style="668" customWidth="1"/>
    <col min="5140" max="5140" width="49.88671875" style="668" bestFit="1" customWidth="1"/>
    <col min="5141" max="5367" width="6.44140625" style="668"/>
    <col min="5368" max="5368" width="6.21875" style="668" customWidth="1"/>
    <col min="5369" max="5369" width="45.6640625" style="668" customWidth="1"/>
    <col min="5370" max="5370" width="11.6640625" style="668" customWidth="1"/>
    <col min="5371" max="5389" width="9.88671875" style="668" customWidth="1"/>
    <col min="5390" max="5390" width="6.44140625" style="668"/>
    <col min="5391" max="5395" width="11.44140625" style="668" customWidth="1"/>
    <col min="5396" max="5396" width="49.88671875" style="668" bestFit="1" customWidth="1"/>
    <col min="5397" max="5623" width="6.44140625" style="668"/>
    <col min="5624" max="5624" width="6.21875" style="668" customWidth="1"/>
    <col min="5625" max="5625" width="45.6640625" style="668" customWidth="1"/>
    <col min="5626" max="5626" width="11.6640625" style="668" customWidth="1"/>
    <col min="5627" max="5645" width="9.88671875" style="668" customWidth="1"/>
    <col min="5646" max="5646" width="6.44140625" style="668"/>
    <col min="5647" max="5651" width="11.44140625" style="668" customWidth="1"/>
    <col min="5652" max="5652" width="49.88671875" style="668" bestFit="1" customWidth="1"/>
    <col min="5653" max="5879" width="6.44140625" style="668"/>
    <col min="5880" max="5880" width="6.21875" style="668" customWidth="1"/>
    <col min="5881" max="5881" width="45.6640625" style="668" customWidth="1"/>
    <col min="5882" max="5882" width="11.6640625" style="668" customWidth="1"/>
    <col min="5883" max="5901" width="9.88671875" style="668" customWidth="1"/>
    <col min="5902" max="5902" width="6.44140625" style="668"/>
    <col min="5903" max="5907" width="11.44140625" style="668" customWidth="1"/>
    <col min="5908" max="5908" width="49.88671875" style="668" bestFit="1" customWidth="1"/>
    <col min="5909" max="6135" width="6.44140625" style="668"/>
    <col min="6136" max="6136" width="6.21875" style="668" customWidth="1"/>
    <col min="6137" max="6137" width="45.6640625" style="668" customWidth="1"/>
    <col min="6138" max="6138" width="11.6640625" style="668" customWidth="1"/>
    <col min="6139" max="6157" width="9.88671875" style="668" customWidth="1"/>
    <col min="6158" max="6158" width="6.44140625" style="668"/>
    <col min="6159" max="6163" width="11.44140625" style="668" customWidth="1"/>
    <col min="6164" max="6164" width="49.88671875" style="668" bestFit="1" customWidth="1"/>
    <col min="6165" max="6391" width="6.44140625" style="668"/>
    <col min="6392" max="6392" width="6.21875" style="668" customWidth="1"/>
    <col min="6393" max="6393" width="45.6640625" style="668" customWidth="1"/>
    <col min="6394" max="6394" width="11.6640625" style="668" customWidth="1"/>
    <col min="6395" max="6413" width="9.88671875" style="668" customWidth="1"/>
    <col min="6414" max="6414" width="6.44140625" style="668"/>
    <col min="6415" max="6419" width="11.44140625" style="668" customWidth="1"/>
    <col min="6420" max="6420" width="49.88671875" style="668" bestFit="1" customWidth="1"/>
    <col min="6421" max="6647" width="6.44140625" style="668"/>
    <col min="6648" max="6648" width="6.21875" style="668" customWidth="1"/>
    <col min="6649" max="6649" width="45.6640625" style="668" customWidth="1"/>
    <col min="6650" max="6650" width="11.6640625" style="668" customWidth="1"/>
    <col min="6651" max="6669" width="9.88671875" style="668" customWidth="1"/>
    <col min="6670" max="6670" width="6.44140625" style="668"/>
    <col min="6671" max="6675" width="11.44140625" style="668" customWidth="1"/>
    <col min="6676" max="6676" width="49.88671875" style="668" bestFit="1" customWidth="1"/>
    <col min="6677" max="6903" width="6.44140625" style="668"/>
    <col min="6904" max="6904" width="6.21875" style="668" customWidth="1"/>
    <col min="6905" max="6905" width="45.6640625" style="668" customWidth="1"/>
    <col min="6906" max="6906" width="11.6640625" style="668" customWidth="1"/>
    <col min="6907" max="6925" width="9.88671875" style="668" customWidth="1"/>
    <col min="6926" max="6926" width="6.44140625" style="668"/>
    <col min="6927" max="6931" width="11.44140625" style="668" customWidth="1"/>
    <col min="6932" max="6932" width="49.88671875" style="668" bestFit="1" customWidth="1"/>
    <col min="6933" max="7159" width="6.44140625" style="668"/>
    <col min="7160" max="7160" width="6.21875" style="668" customWidth="1"/>
    <col min="7161" max="7161" width="45.6640625" style="668" customWidth="1"/>
    <col min="7162" max="7162" width="11.6640625" style="668" customWidth="1"/>
    <col min="7163" max="7181" width="9.88671875" style="668" customWidth="1"/>
    <col min="7182" max="7182" width="6.44140625" style="668"/>
    <col min="7183" max="7187" width="11.44140625" style="668" customWidth="1"/>
    <col min="7188" max="7188" width="49.88671875" style="668" bestFit="1" customWidth="1"/>
    <col min="7189" max="7415" width="6.44140625" style="668"/>
    <col min="7416" max="7416" width="6.21875" style="668" customWidth="1"/>
    <col min="7417" max="7417" width="45.6640625" style="668" customWidth="1"/>
    <col min="7418" max="7418" width="11.6640625" style="668" customWidth="1"/>
    <col min="7419" max="7437" width="9.88671875" style="668" customWidth="1"/>
    <col min="7438" max="7438" width="6.44140625" style="668"/>
    <col min="7439" max="7443" width="11.44140625" style="668" customWidth="1"/>
    <col min="7444" max="7444" width="49.88671875" style="668" bestFit="1" customWidth="1"/>
    <col min="7445" max="7671" width="6.44140625" style="668"/>
    <col min="7672" max="7672" width="6.21875" style="668" customWidth="1"/>
    <col min="7673" max="7673" width="45.6640625" style="668" customWidth="1"/>
    <col min="7674" max="7674" width="11.6640625" style="668" customWidth="1"/>
    <col min="7675" max="7693" width="9.88671875" style="668" customWidth="1"/>
    <col min="7694" max="7694" width="6.44140625" style="668"/>
    <col min="7695" max="7699" width="11.44140625" style="668" customWidth="1"/>
    <col min="7700" max="7700" width="49.88671875" style="668" bestFit="1" customWidth="1"/>
    <col min="7701" max="7927" width="6.44140625" style="668"/>
    <col min="7928" max="7928" width="6.21875" style="668" customWidth="1"/>
    <col min="7929" max="7929" width="45.6640625" style="668" customWidth="1"/>
    <col min="7930" max="7930" width="11.6640625" style="668" customWidth="1"/>
    <col min="7931" max="7949" width="9.88671875" style="668" customWidth="1"/>
    <col min="7950" max="7950" width="6.44140625" style="668"/>
    <col min="7951" max="7955" width="11.44140625" style="668" customWidth="1"/>
    <col min="7956" max="7956" width="49.88671875" style="668" bestFit="1" customWidth="1"/>
    <col min="7957" max="8183" width="6.44140625" style="668"/>
    <col min="8184" max="8184" width="6.21875" style="668" customWidth="1"/>
    <col min="8185" max="8185" width="45.6640625" style="668" customWidth="1"/>
    <col min="8186" max="8186" width="11.6640625" style="668" customWidth="1"/>
    <col min="8187" max="8205" width="9.88671875" style="668" customWidth="1"/>
    <col min="8206" max="8206" width="6.44140625" style="668"/>
    <col min="8207" max="8211" width="11.44140625" style="668" customWidth="1"/>
    <col min="8212" max="8212" width="49.88671875" style="668" bestFit="1" customWidth="1"/>
    <col min="8213" max="8439" width="6.44140625" style="668"/>
    <col min="8440" max="8440" width="6.21875" style="668" customWidth="1"/>
    <col min="8441" max="8441" width="45.6640625" style="668" customWidth="1"/>
    <col min="8442" max="8442" width="11.6640625" style="668" customWidth="1"/>
    <col min="8443" max="8461" width="9.88671875" style="668" customWidth="1"/>
    <col min="8462" max="8462" width="6.44140625" style="668"/>
    <col min="8463" max="8467" width="11.44140625" style="668" customWidth="1"/>
    <col min="8468" max="8468" width="49.88671875" style="668" bestFit="1" customWidth="1"/>
    <col min="8469" max="8695" width="6.44140625" style="668"/>
    <col min="8696" max="8696" width="6.21875" style="668" customWidth="1"/>
    <col min="8697" max="8697" width="45.6640625" style="668" customWidth="1"/>
    <col min="8698" max="8698" width="11.6640625" style="668" customWidth="1"/>
    <col min="8699" max="8717" width="9.88671875" style="668" customWidth="1"/>
    <col min="8718" max="8718" width="6.44140625" style="668"/>
    <col min="8719" max="8723" width="11.44140625" style="668" customWidth="1"/>
    <col min="8724" max="8724" width="49.88671875" style="668" bestFit="1" customWidth="1"/>
    <col min="8725" max="8951" width="6.44140625" style="668"/>
    <col min="8952" max="8952" width="6.21875" style="668" customWidth="1"/>
    <col min="8953" max="8953" width="45.6640625" style="668" customWidth="1"/>
    <col min="8954" max="8954" width="11.6640625" style="668" customWidth="1"/>
    <col min="8955" max="8973" width="9.88671875" style="668" customWidth="1"/>
    <col min="8974" max="8974" width="6.44140625" style="668"/>
    <col min="8975" max="8979" width="11.44140625" style="668" customWidth="1"/>
    <col min="8980" max="8980" width="49.88671875" style="668" bestFit="1" customWidth="1"/>
    <col min="8981" max="9207" width="6.44140625" style="668"/>
    <col min="9208" max="9208" width="6.21875" style="668" customWidth="1"/>
    <col min="9209" max="9209" width="45.6640625" style="668" customWidth="1"/>
    <col min="9210" max="9210" width="11.6640625" style="668" customWidth="1"/>
    <col min="9211" max="9229" width="9.88671875" style="668" customWidth="1"/>
    <col min="9230" max="9230" width="6.44140625" style="668"/>
    <col min="9231" max="9235" width="11.44140625" style="668" customWidth="1"/>
    <col min="9236" max="9236" width="49.88671875" style="668" bestFit="1" customWidth="1"/>
    <col min="9237" max="9463" width="6.44140625" style="668"/>
    <col min="9464" max="9464" width="6.21875" style="668" customWidth="1"/>
    <col min="9465" max="9465" width="45.6640625" style="668" customWidth="1"/>
    <col min="9466" max="9466" width="11.6640625" style="668" customWidth="1"/>
    <col min="9467" max="9485" width="9.88671875" style="668" customWidth="1"/>
    <col min="9486" max="9486" width="6.44140625" style="668"/>
    <col min="9487" max="9491" width="11.44140625" style="668" customWidth="1"/>
    <col min="9492" max="9492" width="49.88671875" style="668" bestFit="1" customWidth="1"/>
    <col min="9493" max="9719" width="6.44140625" style="668"/>
    <col min="9720" max="9720" width="6.21875" style="668" customWidth="1"/>
    <col min="9721" max="9721" width="45.6640625" style="668" customWidth="1"/>
    <col min="9722" max="9722" width="11.6640625" style="668" customWidth="1"/>
    <col min="9723" max="9741" width="9.88671875" style="668" customWidth="1"/>
    <col min="9742" max="9742" width="6.44140625" style="668"/>
    <col min="9743" max="9747" width="11.44140625" style="668" customWidth="1"/>
    <col min="9748" max="9748" width="49.88671875" style="668" bestFit="1" customWidth="1"/>
    <col min="9749" max="9975" width="6.44140625" style="668"/>
    <col min="9976" max="9976" width="6.21875" style="668" customWidth="1"/>
    <col min="9977" max="9977" width="45.6640625" style="668" customWidth="1"/>
    <col min="9978" max="9978" width="11.6640625" style="668" customWidth="1"/>
    <col min="9979" max="9997" width="9.88671875" style="668" customWidth="1"/>
    <col min="9998" max="9998" width="6.44140625" style="668"/>
    <col min="9999" max="10003" width="11.44140625" style="668" customWidth="1"/>
    <col min="10004" max="10004" width="49.88671875" style="668" bestFit="1" customWidth="1"/>
    <col min="10005" max="10231" width="6.44140625" style="668"/>
    <col min="10232" max="10232" width="6.21875" style="668" customWidth="1"/>
    <col min="10233" max="10233" width="45.6640625" style="668" customWidth="1"/>
    <col min="10234" max="10234" width="11.6640625" style="668" customWidth="1"/>
    <col min="10235" max="10253" width="9.88671875" style="668" customWidth="1"/>
    <col min="10254" max="10254" width="6.44140625" style="668"/>
    <col min="10255" max="10259" width="11.44140625" style="668" customWidth="1"/>
    <col min="10260" max="10260" width="49.88671875" style="668" bestFit="1" customWidth="1"/>
    <col min="10261" max="10487" width="6.44140625" style="668"/>
    <col min="10488" max="10488" width="6.21875" style="668" customWidth="1"/>
    <col min="10489" max="10489" width="45.6640625" style="668" customWidth="1"/>
    <col min="10490" max="10490" width="11.6640625" style="668" customWidth="1"/>
    <col min="10491" max="10509" width="9.88671875" style="668" customWidth="1"/>
    <col min="10510" max="10510" width="6.44140625" style="668"/>
    <col min="10511" max="10515" width="11.44140625" style="668" customWidth="1"/>
    <col min="10516" max="10516" width="49.88671875" style="668" bestFit="1" customWidth="1"/>
    <col min="10517" max="10743" width="6.44140625" style="668"/>
    <col min="10744" max="10744" width="6.21875" style="668" customWidth="1"/>
    <col min="10745" max="10745" width="45.6640625" style="668" customWidth="1"/>
    <col min="10746" max="10746" width="11.6640625" style="668" customWidth="1"/>
    <col min="10747" max="10765" width="9.88671875" style="668" customWidth="1"/>
    <col min="10766" max="10766" width="6.44140625" style="668"/>
    <col min="10767" max="10771" width="11.44140625" style="668" customWidth="1"/>
    <col min="10772" max="10772" width="49.88671875" style="668" bestFit="1" customWidth="1"/>
    <col min="10773" max="10999" width="6.44140625" style="668"/>
    <col min="11000" max="11000" width="6.21875" style="668" customWidth="1"/>
    <col min="11001" max="11001" width="45.6640625" style="668" customWidth="1"/>
    <col min="11002" max="11002" width="11.6640625" style="668" customWidth="1"/>
    <col min="11003" max="11021" width="9.88671875" style="668" customWidth="1"/>
    <col min="11022" max="11022" width="6.44140625" style="668"/>
    <col min="11023" max="11027" width="11.44140625" style="668" customWidth="1"/>
    <col min="11028" max="11028" width="49.88671875" style="668" bestFit="1" customWidth="1"/>
    <col min="11029" max="11255" width="6.44140625" style="668"/>
    <col min="11256" max="11256" width="6.21875" style="668" customWidth="1"/>
    <col min="11257" max="11257" width="45.6640625" style="668" customWidth="1"/>
    <col min="11258" max="11258" width="11.6640625" style="668" customWidth="1"/>
    <col min="11259" max="11277" width="9.88671875" style="668" customWidth="1"/>
    <col min="11278" max="11278" width="6.44140625" style="668"/>
    <col min="11279" max="11283" width="11.44140625" style="668" customWidth="1"/>
    <col min="11284" max="11284" width="49.88671875" style="668" bestFit="1" customWidth="1"/>
    <col min="11285" max="11511" width="6.44140625" style="668"/>
    <col min="11512" max="11512" width="6.21875" style="668" customWidth="1"/>
    <col min="11513" max="11513" width="45.6640625" style="668" customWidth="1"/>
    <col min="11514" max="11514" width="11.6640625" style="668" customWidth="1"/>
    <col min="11515" max="11533" width="9.88671875" style="668" customWidth="1"/>
    <col min="11534" max="11534" width="6.44140625" style="668"/>
    <col min="11535" max="11539" width="11.44140625" style="668" customWidth="1"/>
    <col min="11540" max="11540" width="49.88671875" style="668" bestFit="1" customWidth="1"/>
    <col min="11541" max="11767" width="6.44140625" style="668"/>
    <col min="11768" max="11768" width="6.21875" style="668" customWidth="1"/>
    <col min="11769" max="11769" width="45.6640625" style="668" customWidth="1"/>
    <col min="11770" max="11770" width="11.6640625" style="668" customWidth="1"/>
    <col min="11771" max="11789" width="9.88671875" style="668" customWidth="1"/>
    <col min="11790" max="11790" width="6.44140625" style="668"/>
    <col min="11791" max="11795" width="11.44140625" style="668" customWidth="1"/>
    <col min="11796" max="11796" width="49.88671875" style="668" bestFit="1" customWidth="1"/>
    <col min="11797" max="12023" width="6.44140625" style="668"/>
    <col min="12024" max="12024" width="6.21875" style="668" customWidth="1"/>
    <col min="12025" max="12025" width="45.6640625" style="668" customWidth="1"/>
    <col min="12026" max="12026" width="11.6640625" style="668" customWidth="1"/>
    <col min="12027" max="12045" width="9.88671875" style="668" customWidth="1"/>
    <col min="12046" max="12046" width="6.44140625" style="668"/>
    <col min="12047" max="12051" width="11.44140625" style="668" customWidth="1"/>
    <col min="12052" max="12052" width="49.88671875" style="668" bestFit="1" customWidth="1"/>
    <col min="12053" max="12279" width="6.44140625" style="668"/>
    <col min="12280" max="12280" width="6.21875" style="668" customWidth="1"/>
    <col min="12281" max="12281" width="45.6640625" style="668" customWidth="1"/>
    <col min="12282" max="12282" width="11.6640625" style="668" customWidth="1"/>
    <col min="12283" max="12301" width="9.88671875" style="668" customWidth="1"/>
    <col min="12302" max="12302" width="6.44140625" style="668"/>
    <col min="12303" max="12307" width="11.44140625" style="668" customWidth="1"/>
    <col min="12308" max="12308" width="49.88671875" style="668" bestFit="1" customWidth="1"/>
    <col min="12309" max="12535" width="6.44140625" style="668"/>
    <col min="12536" max="12536" width="6.21875" style="668" customWidth="1"/>
    <col min="12537" max="12537" width="45.6640625" style="668" customWidth="1"/>
    <col min="12538" max="12538" width="11.6640625" style="668" customWidth="1"/>
    <col min="12539" max="12557" width="9.88671875" style="668" customWidth="1"/>
    <col min="12558" max="12558" width="6.44140625" style="668"/>
    <col min="12559" max="12563" width="11.44140625" style="668" customWidth="1"/>
    <col min="12564" max="12564" width="49.88671875" style="668" bestFit="1" customWidth="1"/>
    <col min="12565" max="12791" width="6.44140625" style="668"/>
    <col min="12792" max="12792" width="6.21875" style="668" customWidth="1"/>
    <col min="12793" max="12793" width="45.6640625" style="668" customWidth="1"/>
    <col min="12794" max="12794" width="11.6640625" style="668" customWidth="1"/>
    <col min="12795" max="12813" width="9.88671875" style="668" customWidth="1"/>
    <col min="12814" max="12814" width="6.44140625" style="668"/>
    <col min="12815" max="12819" width="11.44140625" style="668" customWidth="1"/>
    <col min="12820" max="12820" width="49.88671875" style="668" bestFit="1" customWidth="1"/>
    <col min="12821" max="13047" width="6.44140625" style="668"/>
    <col min="13048" max="13048" width="6.21875" style="668" customWidth="1"/>
    <col min="13049" max="13049" width="45.6640625" style="668" customWidth="1"/>
    <col min="13050" max="13050" width="11.6640625" style="668" customWidth="1"/>
    <col min="13051" max="13069" width="9.88671875" style="668" customWidth="1"/>
    <col min="13070" max="13070" width="6.44140625" style="668"/>
    <col min="13071" max="13075" width="11.44140625" style="668" customWidth="1"/>
    <col min="13076" max="13076" width="49.88671875" style="668" bestFit="1" customWidth="1"/>
    <col min="13077" max="13303" width="6.44140625" style="668"/>
    <col min="13304" max="13304" width="6.21875" style="668" customWidth="1"/>
    <col min="13305" max="13305" width="45.6640625" style="668" customWidth="1"/>
    <col min="13306" max="13306" width="11.6640625" style="668" customWidth="1"/>
    <col min="13307" max="13325" width="9.88671875" style="668" customWidth="1"/>
    <col min="13326" max="13326" width="6.44140625" style="668"/>
    <col min="13327" max="13331" width="11.44140625" style="668" customWidth="1"/>
    <col min="13332" max="13332" width="49.88671875" style="668" bestFit="1" customWidth="1"/>
    <col min="13333" max="13559" width="6.44140625" style="668"/>
    <col min="13560" max="13560" width="6.21875" style="668" customWidth="1"/>
    <col min="13561" max="13561" width="45.6640625" style="668" customWidth="1"/>
    <col min="13562" max="13562" width="11.6640625" style="668" customWidth="1"/>
    <col min="13563" max="13581" width="9.88671875" style="668" customWidth="1"/>
    <col min="13582" max="13582" width="6.44140625" style="668"/>
    <col min="13583" max="13587" width="11.44140625" style="668" customWidth="1"/>
    <col min="13588" max="13588" width="49.88671875" style="668" bestFit="1" customWidth="1"/>
    <col min="13589" max="13815" width="6.44140625" style="668"/>
    <col min="13816" max="13816" width="6.21875" style="668" customWidth="1"/>
    <col min="13817" max="13817" width="45.6640625" style="668" customWidth="1"/>
    <col min="13818" max="13818" width="11.6640625" style="668" customWidth="1"/>
    <col min="13819" max="13837" width="9.88671875" style="668" customWidth="1"/>
    <col min="13838" max="13838" width="6.44140625" style="668"/>
    <col min="13839" max="13843" width="11.44140625" style="668" customWidth="1"/>
    <col min="13844" max="13844" width="49.88671875" style="668" bestFit="1" customWidth="1"/>
    <col min="13845" max="14071" width="6.44140625" style="668"/>
    <col min="14072" max="14072" width="6.21875" style="668" customWidth="1"/>
    <col min="14073" max="14073" width="45.6640625" style="668" customWidth="1"/>
    <col min="14074" max="14074" width="11.6640625" style="668" customWidth="1"/>
    <col min="14075" max="14093" width="9.88671875" style="668" customWidth="1"/>
    <col min="14094" max="14094" width="6.44140625" style="668"/>
    <col min="14095" max="14099" width="11.44140625" style="668" customWidth="1"/>
    <col min="14100" max="14100" width="49.88671875" style="668" bestFit="1" customWidth="1"/>
    <col min="14101" max="14327" width="6.44140625" style="668"/>
    <col min="14328" max="14328" width="6.21875" style="668" customWidth="1"/>
    <col min="14329" max="14329" width="45.6640625" style="668" customWidth="1"/>
    <col min="14330" max="14330" width="11.6640625" style="668" customWidth="1"/>
    <col min="14331" max="14349" width="9.88671875" style="668" customWidth="1"/>
    <col min="14350" max="14350" width="6.44140625" style="668"/>
    <col min="14351" max="14355" width="11.44140625" style="668" customWidth="1"/>
    <col min="14356" max="14356" width="49.88671875" style="668" bestFit="1" customWidth="1"/>
    <col min="14357" max="14583" width="6.44140625" style="668"/>
    <col min="14584" max="14584" width="6.21875" style="668" customWidth="1"/>
    <col min="14585" max="14585" width="45.6640625" style="668" customWidth="1"/>
    <col min="14586" max="14586" width="11.6640625" style="668" customWidth="1"/>
    <col min="14587" max="14605" width="9.88671875" style="668" customWidth="1"/>
    <col min="14606" max="14606" width="6.44140625" style="668"/>
    <col min="14607" max="14611" width="11.44140625" style="668" customWidth="1"/>
    <col min="14612" max="14612" width="49.88671875" style="668" bestFit="1" customWidth="1"/>
    <col min="14613" max="14839" width="6.44140625" style="668"/>
    <col min="14840" max="14840" width="6.21875" style="668" customWidth="1"/>
    <col min="14841" max="14841" width="45.6640625" style="668" customWidth="1"/>
    <col min="14842" max="14842" width="11.6640625" style="668" customWidth="1"/>
    <col min="14843" max="14861" width="9.88671875" style="668" customWidth="1"/>
    <col min="14862" max="14862" width="6.44140625" style="668"/>
    <col min="14863" max="14867" width="11.44140625" style="668" customWidth="1"/>
    <col min="14868" max="14868" width="49.88671875" style="668" bestFit="1" customWidth="1"/>
    <col min="14869" max="15095" width="6.44140625" style="668"/>
    <col min="15096" max="15096" width="6.21875" style="668" customWidth="1"/>
    <col min="15097" max="15097" width="45.6640625" style="668" customWidth="1"/>
    <col min="15098" max="15098" width="11.6640625" style="668" customWidth="1"/>
    <col min="15099" max="15117" width="9.88671875" style="668" customWidth="1"/>
    <col min="15118" max="15118" width="6.44140625" style="668"/>
    <col min="15119" max="15123" width="11.44140625" style="668" customWidth="1"/>
    <col min="15124" max="15124" width="49.88671875" style="668" bestFit="1" customWidth="1"/>
    <col min="15125" max="15351" width="6.44140625" style="668"/>
    <col min="15352" max="15352" width="6.21875" style="668" customWidth="1"/>
    <col min="15353" max="15353" width="45.6640625" style="668" customWidth="1"/>
    <col min="15354" max="15354" width="11.6640625" style="668" customWidth="1"/>
    <col min="15355" max="15373" width="9.88671875" style="668" customWidth="1"/>
    <col min="15374" max="15374" width="6.44140625" style="668"/>
    <col min="15375" max="15379" width="11.44140625" style="668" customWidth="1"/>
    <col min="15380" max="15380" width="49.88671875" style="668" bestFit="1" customWidth="1"/>
    <col min="15381" max="15607" width="6.44140625" style="668"/>
    <col min="15608" max="15608" width="6.21875" style="668" customWidth="1"/>
    <col min="15609" max="15609" width="45.6640625" style="668" customWidth="1"/>
    <col min="15610" max="15610" width="11.6640625" style="668" customWidth="1"/>
    <col min="15611" max="15629" width="9.88671875" style="668" customWidth="1"/>
    <col min="15630" max="15630" width="6.44140625" style="668"/>
    <col min="15631" max="15635" width="11.44140625" style="668" customWidth="1"/>
    <col min="15636" max="15636" width="49.88671875" style="668" bestFit="1" customWidth="1"/>
    <col min="15637" max="15863" width="6.44140625" style="668"/>
    <col min="15864" max="15864" width="6.21875" style="668" customWidth="1"/>
    <col min="15865" max="15865" width="45.6640625" style="668" customWidth="1"/>
    <col min="15866" max="15866" width="11.6640625" style="668" customWidth="1"/>
    <col min="15867" max="15885" width="9.88671875" style="668" customWidth="1"/>
    <col min="15886" max="15886" width="6.44140625" style="668"/>
    <col min="15887" max="15891" width="11.44140625" style="668" customWidth="1"/>
    <col min="15892" max="15892" width="49.88671875" style="668" bestFit="1" customWidth="1"/>
    <col min="15893" max="16119" width="6.44140625" style="668"/>
    <col min="16120" max="16120" width="6.21875" style="668" customWidth="1"/>
    <col min="16121" max="16121" width="45.6640625" style="668" customWidth="1"/>
    <col min="16122" max="16122" width="11.6640625" style="668" customWidth="1"/>
    <col min="16123" max="16141" width="9.88671875" style="668" customWidth="1"/>
    <col min="16142" max="16142" width="6.44140625" style="668"/>
    <col min="16143" max="16147" width="11.44140625" style="668" customWidth="1"/>
    <col min="16148" max="16148" width="49.88671875" style="668" bestFit="1" customWidth="1"/>
    <col min="16149" max="16384" width="6.44140625" style="668"/>
  </cols>
  <sheetData>
    <row r="1" spans="1:25" ht="20.25" customHeight="1">
      <c r="U1" s="758" t="s">
        <v>737</v>
      </c>
      <c r="V1" s="758"/>
      <c r="W1" s="22"/>
    </row>
    <row r="2" spans="1:25" ht="22.5" customHeight="1">
      <c r="A2" s="757" t="s">
        <v>714</v>
      </c>
      <c r="B2" s="757"/>
      <c r="C2" s="757"/>
      <c r="D2" s="757"/>
      <c r="E2" s="757"/>
      <c r="F2" s="757"/>
      <c r="G2" s="757"/>
      <c r="H2" s="757"/>
      <c r="I2" s="757"/>
      <c r="J2" s="757"/>
      <c r="K2" s="757"/>
      <c r="L2" s="757"/>
      <c r="M2" s="757"/>
      <c r="N2" s="757"/>
      <c r="O2" s="757"/>
      <c r="P2" s="757"/>
      <c r="Q2" s="757"/>
      <c r="R2" s="757"/>
      <c r="S2" s="757"/>
      <c r="T2" s="757"/>
      <c r="U2" s="757"/>
      <c r="V2" s="757"/>
      <c r="W2" s="670"/>
    </row>
    <row r="3" spans="1:25" ht="18.75" customHeight="1">
      <c r="A3" s="756" t="str">
        <f>'Chi 2025'!A3:AB3</f>
        <v>(Kèm theo Nghị quyết số          /NQ-HĐND ngày          tháng 12 năm 2024 của HĐND huyện Tuần Giáo)</v>
      </c>
      <c r="B3" s="756"/>
      <c r="C3" s="756"/>
      <c r="D3" s="756"/>
      <c r="E3" s="756"/>
      <c r="F3" s="756"/>
      <c r="G3" s="756"/>
      <c r="H3" s="756"/>
      <c r="I3" s="756"/>
      <c r="J3" s="756"/>
      <c r="K3" s="756"/>
      <c r="L3" s="756"/>
      <c r="M3" s="756"/>
      <c r="N3" s="756"/>
      <c r="O3" s="756"/>
      <c r="P3" s="756"/>
      <c r="Q3" s="756"/>
      <c r="R3" s="756"/>
      <c r="S3" s="756"/>
      <c r="T3" s="756"/>
      <c r="U3" s="756"/>
      <c r="V3" s="756"/>
      <c r="W3" s="671"/>
    </row>
    <row r="4" spans="1:25">
      <c r="A4" s="672"/>
      <c r="B4" s="673"/>
      <c r="C4" s="674"/>
    </row>
    <row r="5" spans="1:25" s="680" customFormat="1" ht="67.5" customHeight="1">
      <c r="A5" s="675" t="s">
        <v>58</v>
      </c>
      <c r="B5" s="676" t="s">
        <v>549</v>
      </c>
      <c r="C5" s="676" t="s">
        <v>458</v>
      </c>
      <c r="D5" s="676" t="str">
        <f>'[2]1. Quài Tở'!$C$3</f>
        <v>Xã Quài Tở</v>
      </c>
      <c r="E5" s="677" t="s">
        <v>263</v>
      </c>
      <c r="F5" s="678" t="s">
        <v>264</v>
      </c>
      <c r="G5" s="678" t="s">
        <v>265</v>
      </c>
      <c r="H5" s="678" t="s">
        <v>266</v>
      </c>
      <c r="I5" s="678" t="s">
        <v>578</v>
      </c>
      <c r="J5" s="678" t="s">
        <v>267</v>
      </c>
      <c r="K5" s="678" t="s">
        <v>268</v>
      </c>
      <c r="L5" s="678" t="s">
        <v>269</v>
      </c>
      <c r="M5" s="678" t="s">
        <v>270</v>
      </c>
      <c r="N5" s="678" t="s">
        <v>271</v>
      </c>
      <c r="O5" s="678" t="s">
        <v>272</v>
      </c>
      <c r="P5" s="678" t="s">
        <v>273</v>
      </c>
      <c r="Q5" s="678" t="s">
        <v>274</v>
      </c>
      <c r="R5" s="678" t="s">
        <v>275</v>
      </c>
      <c r="S5" s="678" t="s">
        <v>276</v>
      </c>
      <c r="T5" s="678" t="s">
        <v>277</v>
      </c>
      <c r="U5" s="678" t="s">
        <v>278</v>
      </c>
      <c r="V5" s="678" t="s">
        <v>279</v>
      </c>
      <c r="W5" s="679"/>
      <c r="X5" s="680" t="s">
        <v>793</v>
      </c>
    </row>
    <row r="6" spans="1:25" s="680" customFormat="1" ht="32.25" customHeight="1">
      <c r="A6" s="675" t="s">
        <v>728</v>
      </c>
      <c r="B6" s="681" t="s">
        <v>550</v>
      </c>
      <c r="C6" s="682">
        <f>C7+C14</f>
        <v>143180</v>
      </c>
      <c r="D6" s="682">
        <f>D7+D14</f>
        <v>10980</v>
      </c>
      <c r="E6" s="466">
        <f t="shared" ref="E6:V6" si="0">E7+E14</f>
        <v>6878</v>
      </c>
      <c r="F6" s="466">
        <f t="shared" si="0"/>
        <v>6930</v>
      </c>
      <c r="G6" s="466">
        <f t="shared" si="0"/>
        <v>8899</v>
      </c>
      <c r="H6" s="466">
        <f t="shared" si="0"/>
        <v>7209</v>
      </c>
      <c r="I6" s="466">
        <f t="shared" si="0"/>
        <v>11502</v>
      </c>
      <c r="J6" s="466">
        <f t="shared" si="0"/>
        <v>8049</v>
      </c>
      <c r="K6" s="466">
        <f t="shared" si="0"/>
        <v>7606</v>
      </c>
      <c r="L6" s="466">
        <f t="shared" si="0"/>
        <v>7920</v>
      </c>
      <c r="M6" s="466">
        <f t="shared" si="0"/>
        <v>6764</v>
      </c>
      <c r="N6" s="466">
        <f t="shared" si="0"/>
        <v>6336</v>
      </c>
      <c r="O6" s="466">
        <f t="shared" si="0"/>
        <v>6264</v>
      </c>
      <c r="P6" s="466">
        <f t="shared" si="0"/>
        <v>6681</v>
      </c>
      <c r="Q6" s="466">
        <f t="shared" si="0"/>
        <v>7290</v>
      </c>
      <c r="R6" s="466">
        <f t="shared" si="0"/>
        <v>6985</v>
      </c>
      <c r="S6" s="466">
        <f t="shared" si="0"/>
        <v>5709</v>
      </c>
      <c r="T6" s="466">
        <f t="shared" si="0"/>
        <v>6927</v>
      </c>
      <c r="U6" s="466">
        <f t="shared" si="0"/>
        <v>7629</v>
      </c>
      <c r="V6" s="466">
        <f t="shared" si="0"/>
        <v>6622</v>
      </c>
      <c r="W6" s="679"/>
      <c r="X6" s="680">
        <v>144680</v>
      </c>
      <c r="Y6" s="680">
        <f t="shared" ref="Y6:Y37" si="1">C6-X6</f>
        <v>-1500</v>
      </c>
    </row>
    <row r="7" spans="1:25" s="685" customFormat="1" ht="32.25" customHeight="1">
      <c r="A7" s="675" t="s">
        <v>18</v>
      </c>
      <c r="B7" s="683" t="s">
        <v>551</v>
      </c>
      <c r="C7" s="684">
        <f>SUM(C8:C13)</f>
        <v>4525</v>
      </c>
      <c r="D7" s="684">
        <f>+D8+D9+D10+D11+D12+D13</f>
        <v>80</v>
      </c>
      <c r="E7" s="466">
        <f t="shared" ref="E7:V7" si="2">+E8+E9+E10+E11+E12+E13</f>
        <v>18</v>
      </c>
      <c r="F7" s="466">
        <f t="shared" si="2"/>
        <v>45</v>
      </c>
      <c r="G7" s="466">
        <f t="shared" si="2"/>
        <v>50</v>
      </c>
      <c r="H7" s="466">
        <f t="shared" si="2"/>
        <v>35</v>
      </c>
      <c r="I7" s="466">
        <f t="shared" si="2"/>
        <v>3945</v>
      </c>
      <c r="J7" s="466">
        <f t="shared" si="2"/>
        <v>65</v>
      </c>
      <c r="K7" s="466">
        <f t="shared" si="2"/>
        <v>25</v>
      </c>
      <c r="L7" s="466">
        <f t="shared" si="2"/>
        <v>35</v>
      </c>
      <c r="M7" s="466">
        <f t="shared" si="2"/>
        <v>15</v>
      </c>
      <c r="N7" s="466">
        <f t="shared" si="2"/>
        <v>25</v>
      </c>
      <c r="O7" s="466">
        <f t="shared" si="2"/>
        <v>17</v>
      </c>
      <c r="P7" s="466">
        <f t="shared" si="2"/>
        <v>15</v>
      </c>
      <c r="Q7" s="466">
        <f t="shared" si="2"/>
        <v>20</v>
      </c>
      <c r="R7" s="466">
        <f t="shared" si="2"/>
        <v>15</v>
      </c>
      <c r="S7" s="466">
        <f t="shared" si="2"/>
        <v>15</v>
      </c>
      <c r="T7" s="466">
        <f t="shared" si="2"/>
        <v>20</v>
      </c>
      <c r="U7" s="466">
        <f t="shared" si="2"/>
        <v>65</v>
      </c>
      <c r="V7" s="466">
        <f t="shared" si="2"/>
        <v>20</v>
      </c>
      <c r="W7" s="679"/>
      <c r="X7" s="685">
        <v>3255</v>
      </c>
      <c r="Y7" s="680">
        <f t="shared" si="1"/>
        <v>1270</v>
      </c>
    </row>
    <row r="8" spans="1:25" s="690" customFormat="1" ht="32.25" customHeight="1">
      <c r="A8" s="686" t="s">
        <v>552</v>
      </c>
      <c r="B8" s="687" t="s">
        <v>11</v>
      </c>
      <c r="C8" s="688">
        <f t="shared" ref="C8:C13" si="3">SUM(D8:V8)</f>
        <v>320</v>
      </c>
      <c r="D8" s="688">
        <v>35</v>
      </c>
      <c r="E8" s="689">
        <v>0</v>
      </c>
      <c r="F8" s="689">
        <v>10</v>
      </c>
      <c r="G8" s="689">
        <v>10</v>
      </c>
      <c r="H8" s="689">
        <v>5</v>
      </c>
      <c r="I8" s="689">
        <v>225</v>
      </c>
      <c r="J8" s="689">
        <v>10</v>
      </c>
      <c r="K8" s="689">
        <v>0</v>
      </c>
      <c r="L8" s="689">
        <v>10</v>
      </c>
      <c r="M8" s="689">
        <v>0</v>
      </c>
      <c r="N8" s="689">
        <v>0</v>
      </c>
      <c r="O8" s="689">
        <v>0</v>
      </c>
      <c r="P8" s="689">
        <v>0</v>
      </c>
      <c r="Q8" s="689">
        <v>0</v>
      </c>
      <c r="R8" s="689">
        <v>0</v>
      </c>
      <c r="S8" s="689">
        <v>0</v>
      </c>
      <c r="T8" s="689">
        <v>0</v>
      </c>
      <c r="U8" s="689">
        <v>15</v>
      </c>
      <c r="V8" s="689">
        <v>0</v>
      </c>
      <c r="W8" s="679"/>
      <c r="X8" s="690">
        <v>320</v>
      </c>
      <c r="Y8" s="680">
        <f t="shared" si="1"/>
        <v>0</v>
      </c>
    </row>
    <row r="9" spans="1:25" s="690" customFormat="1" ht="32.25" customHeight="1">
      <c r="A9" s="686" t="s">
        <v>553</v>
      </c>
      <c r="B9" s="687" t="s">
        <v>12</v>
      </c>
      <c r="C9" s="688">
        <f t="shared" si="3"/>
        <v>290</v>
      </c>
      <c r="D9" s="688">
        <v>0</v>
      </c>
      <c r="E9" s="689">
        <v>0</v>
      </c>
      <c r="F9" s="689">
        <v>0</v>
      </c>
      <c r="G9" s="689">
        <v>0</v>
      </c>
      <c r="H9" s="689">
        <v>0</v>
      </c>
      <c r="I9" s="689">
        <v>290</v>
      </c>
      <c r="J9" s="689">
        <v>0</v>
      </c>
      <c r="K9" s="689">
        <v>0</v>
      </c>
      <c r="L9" s="689">
        <v>0</v>
      </c>
      <c r="M9" s="689">
        <v>0</v>
      </c>
      <c r="N9" s="689">
        <v>0</v>
      </c>
      <c r="O9" s="689">
        <v>0</v>
      </c>
      <c r="P9" s="689">
        <v>0</v>
      </c>
      <c r="Q9" s="689">
        <v>0</v>
      </c>
      <c r="R9" s="689">
        <v>0</v>
      </c>
      <c r="S9" s="689">
        <v>0</v>
      </c>
      <c r="T9" s="689">
        <v>0</v>
      </c>
      <c r="U9" s="689">
        <v>0</v>
      </c>
      <c r="V9" s="689">
        <v>0</v>
      </c>
      <c r="W9" s="679"/>
      <c r="X9" s="690">
        <v>100</v>
      </c>
      <c r="Y9" s="680">
        <f t="shared" si="1"/>
        <v>190</v>
      </c>
    </row>
    <row r="10" spans="1:25" s="690" customFormat="1" ht="32.25" customHeight="1">
      <c r="A10" s="686" t="s">
        <v>554</v>
      </c>
      <c r="B10" s="687" t="s">
        <v>344</v>
      </c>
      <c r="C10" s="688">
        <f t="shared" si="3"/>
        <v>395</v>
      </c>
      <c r="D10" s="688">
        <v>25</v>
      </c>
      <c r="E10" s="689">
        <v>10</v>
      </c>
      <c r="F10" s="689">
        <v>15</v>
      </c>
      <c r="G10" s="689">
        <v>25</v>
      </c>
      <c r="H10" s="689">
        <v>15</v>
      </c>
      <c r="I10" s="689">
        <v>150</v>
      </c>
      <c r="J10" s="689">
        <v>20</v>
      </c>
      <c r="K10" s="689">
        <v>20</v>
      </c>
      <c r="L10" s="689">
        <v>15</v>
      </c>
      <c r="M10" s="689">
        <v>5</v>
      </c>
      <c r="N10" s="689">
        <v>15</v>
      </c>
      <c r="O10" s="689">
        <v>10</v>
      </c>
      <c r="P10" s="689">
        <v>10</v>
      </c>
      <c r="Q10" s="689">
        <v>10</v>
      </c>
      <c r="R10" s="689">
        <v>5</v>
      </c>
      <c r="S10" s="689">
        <v>5</v>
      </c>
      <c r="T10" s="689">
        <v>10</v>
      </c>
      <c r="U10" s="689">
        <v>20</v>
      </c>
      <c r="V10" s="689">
        <v>10</v>
      </c>
      <c r="W10" s="679"/>
      <c r="X10" s="690">
        <v>395</v>
      </c>
      <c r="Y10" s="680">
        <f t="shared" si="1"/>
        <v>0</v>
      </c>
    </row>
    <row r="11" spans="1:25" s="690" customFormat="1" ht="32.25" customHeight="1">
      <c r="A11" s="686" t="s">
        <v>555</v>
      </c>
      <c r="B11" s="687" t="s">
        <v>729</v>
      </c>
      <c r="C11" s="688">
        <f t="shared" si="3"/>
        <v>3240</v>
      </c>
      <c r="D11" s="688">
        <v>0</v>
      </c>
      <c r="E11" s="689">
        <v>0</v>
      </c>
      <c r="F11" s="689">
        <v>0</v>
      </c>
      <c r="G11" s="689">
        <v>0</v>
      </c>
      <c r="H11" s="689">
        <v>0</v>
      </c>
      <c r="I11" s="653">
        <f>(15000+3000)*20%*90%</f>
        <v>3240</v>
      </c>
      <c r="J11" s="689">
        <v>0</v>
      </c>
      <c r="K11" s="689">
        <v>0</v>
      </c>
      <c r="L11" s="689">
        <v>0</v>
      </c>
      <c r="M11" s="689">
        <v>0</v>
      </c>
      <c r="N11" s="689">
        <v>0</v>
      </c>
      <c r="O11" s="689">
        <v>0</v>
      </c>
      <c r="P11" s="689">
        <v>0</v>
      </c>
      <c r="Q11" s="689">
        <v>0</v>
      </c>
      <c r="R11" s="689">
        <v>0</v>
      </c>
      <c r="S11" s="689">
        <v>0</v>
      </c>
      <c r="T11" s="689">
        <v>0</v>
      </c>
      <c r="U11" s="689">
        <v>0</v>
      </c>
      <c r="V11" s="689">
        <v>0</v>
      </c>
      <c r="W11" s="679"/>
      <c r="X11" s="690">
        <v>2160</v>
      </c>
      <c r="Y11" s="680">
        <f t="shared" si="1"/>
        <v>1080</v>
      </c>
    </row>
    <row r="12" spans="1:25" s="690" customFormat="1" ht="32.25" customHeight="1">
      <c r="A12" s="686" t="s">
        <v>556</v>
      </c>
      <c r="B12" s="687" t="s">
        <v>17</v>
      </c>
      <c r="C12" s="688">
        <f t="shared" si="3"/>
        <v>180</v>
      </c>
      <c r="D12" s="688">
        <v>10</v>
      </c>
      <c r="E12" s="689">
        <v>3</v>
      </c>
      <c r="F12" s="689">
        <v>5</v>
      </c>
      <c r="G12" s="689">
        <v>5</v>
      </c>
      <c r="H12" s="689">
        <v>15</v>
      </c>
      <c r="I12" s="689">
        <v>30</v>
      </c>
      <c r="J12" s="689">
        <v>10</v>
      </c>
      <c r="K12" s="689">
        <v>5</v>
      </c>
      <c r="L12" s="689">
        <v>10</v>
      </c>
      <c r="M12" s="689">
        <v>10</v>
      </c>
      <c r="N12" s="689">
        <v>10</v>
      </c>
      <c r="O12" s="689">
        <v>2</v>
      </c>
      <c r="P12" s="689">
        <v>5</v>
      </c>
      <c r="Q12" s="689">
        <v>10</v>
      </c>
      <c r="R12" s="689">
        <v>10</v>
      </c>
      <c r="S12" s="689">
        <v>10</v>
      </c>
      <c r="T12" s="689">
        <v>10</v>
      </c>
      <c r="U12" s="689">
        <v>10</v>
      </c>
      <c r="V12" s="689">
        <v>10</v>
      </c>
      <c r="W12" s="679"/>
      <c r="X12" s="690">
        <v>180</v>
      </c>
      <c r="Y12" s="680">
        <f t="shared" si="1"/>
        <v>0</v>
      </c>
    </row>
    <row r="13" spans="1:25" s="690" customFormat="1" ht="32.25" customHeight="1">
      <c r="A13" s="686" t="s">
        <v>557</v>
      </c>
      <c r="B13" s="687" t="s">
        <v>730</v>
      </c>
      <c r="C13" s="688">
        <f t="shared" si="3"/>
        <v>100</v>
      </c>
      <c r="D13" s="688">
        <v>10</v>
      </c>
      <c r="E13" s="689">
        <v>5</v>
      </c>
      <c r="F13" s="689">
        <v>15</v>
      </c>
      <c r="G13" s="689">
        <v>10</v>
      </c>
      <c r="H13" s="689">
        <v>0</v>
      </c>
      <c r="I13" s="689">
        <v>10</v>
      </c>
      <c r="J13" s="689">
        <v>25</v>
      </c>
      <c r="K13" s="689">
        <v>0</v>
      </c>
      <c r="L13" s="689">
        <v>0</v>
      </c>
      <c r="M13" s="689">
        <v>0</v>
      </c>
      <c r="N13" s="689">
        <v>0</v>
      </c>
      <c r="O13" s="689">
        <v>5</v>
      </c>
      <c r="P13" s="689">
        <v>0</v>
      </c>
      <c r="Q13" s="689">
        <v>0</v>
      </c>
      <c r="R13" s="689">
        <v>0</v>
      </c>
      <c r="S13" s="689">
        <v>0</v>
      </c>
      <c r="T13" s="689">
        <v>0</v>
      </c>
      <c r="U13" s="689">
        <v>20</v>
      </c>
      <c r="V13" s="689">
        <v>0</v>
      </c>
      <c r="W13" s="679"/>
      <c r="X13" s="690">
        <v>100</v>
      </c>
      <c r="Y13" s="680">
        <f t="shared" si="1"/>
        <v>0</v>
      </c>
    </row>
    <row r="14" spans="1:25" s="685" customFormat="1" ht="32.25" customHeight="1">
      <c r="A14" s="675" t="s">
        <v>19</v>
      </c>
      <c r="B14" s="683" t="s">
        <v>558</v>
      </c>
      <c r="C14" s="684">
        <f>SUM(C15:C16)</f>
        <v>138655</v>
      </c>
      <c r="D14" s="684">
        <f>SUM(D15:D16)</f>
        <v>10900</v>
      </c>
      <c r="E14" s="466">
        <f>SUM(E15:E16)</f>
        <v>6860</v>
      </c>
      <c r="F14" s="466">
        <f t="shared" ref="F14:V14" si="4">SUM(F15:F16)</f>
        <v>6885</v>
      </c>
      <c r="G14" s="466">
        <f t="shared" si="4"/>
        <v>8849</v>
      </c>
      <c r="H14" s="466">
        <f t="shared" si="4"/>
        <v>7174</v>
      </c>
      <c r="I14" s="466">
        <f t="shared" si="4"/>
        <v>7557</v>
      </c>
      <c r="J14" s="466">
        <f t="shared" si="4"/>
        <v>7984</v>
      </c>
      <c r="K14" s="466">
        <f t="shared" si="4"/>
        <v>7581</v>
      </c>
      <c r="L14" s="466">
        <f t="shared" si="4"/>
        <v>7885</v>
      </c>
      <c r="M14" s="466">
        <f t="shared" si="4"/>
        <v>6749</v>
      </c>
      <c r="N14" s="466">
        <f t="shared" si="4"/>
        <v>6311</v>
      </c>
      <c r="O14" s="466">
        <f t="shared" si="4"/>
        <v>6247</v>
      </c>
      <c r="P14" s="466">
        <f t="shared" si="4"/>
        <v>6666</v>
      </c>
      <c r="Q14" s="466">
        <f t="shared" si="4"/>
        <v>7270</v>
      </c>
      <c r="R14" s="466">
        <f t="shared" si="4"/>
        <v>6970</v>
      </c>
      <c r="S14" s="466">
        <f t="shared" si="4"/>
        <v>5694</v>
      </c>
      <c r="T14" s="466">
        <f t="shared" si="4"/>
        <v>6907</v>
      </c>
      <c r="U14" s="466">
        <f t="shared" si="4"/>
        <v>7564</v>
      </c>
      <c r="V14" s="466">
        <f t="shared" si="4"/>
        <v>6602</v>
      </c>
      <c r="W14" s="679"/>
      <c r="X14" s="685">
        <v>141425</v>
      </c>
      <c r="Y14" s="680">
        <f t="shared" si="1"/>
        <v>-2770</v>
      </c>
    </row>
    <row r="15" spans="1:25" s="690" customFormat="1" ht="32.25" customHeight="1">
      <c r="A15" s="686" t="s">
        <v>552</v>
      </c>
      <c r="B15" s="687" t="s">
        <v>175</v>
      </c>
      <c r="C15" s="688">
        <f>SUM(D15:V15)</f>
        <v>135407</v>
      </c>
      <c r="D15" s="688">
        <f t="shared" ref="D15:V15" si="5">D17-D7-D39</f>
        <v>9700</v>
      </c>
      <c r="E15" s="689">
        <f t="shared" si="5"/>
        <v>6850</v>
      </c>
      <c r="F15" s="689">
        <f t="shared" si="5"/>
        <v>6475</v>
      </c>
      <c r="G15" s="689">
        <f t="shared" si="5"/>
        <v>8739</v>
      </c>
      <c r="H15" s="689">
        <f t="shared" si="5"/>
        <v>6864</v>
      </c>
      <c r="I15" s="689">
        <f t="shared" si="5"/>
        <v>7557</v>
      </c>
      <c r="J15" s="689">
        <f t="shared" si="5"/>
        <v>7674</v>
      </c>
      <c r="K15" s="689">
        <f t="shared" si="5"/>
        <v>7571</v>
      </c>
      <c r="L15" s="689">
        <f t="shared" si="5"/>
        <v>7575</v>
      </c>
      <c r="M15" s="689">
        <f t="shared" si="5"/>
        <v>6739</v>
      </c>
      <c r="N15" s="689">
        <f t="shared" si="5"/>
        <v>6301</v>
      </c>
      <c r="O15" s="689">
        <f t="shared" si="5"/>
        <v>6237</v>
      </c>
      <c r="P15" s="689">
        <f t="shared" si="5"/>
        <v>6656</v>
      </c>
      <c r="Q15" s="689">
        <f t="shared" si="5"/>
        <v>6882</v>
      </c>
      <c r="R15" s="689">
        <f t="shared" si="5"/>
        <v>6960</v>
      </c>
      <c r="S15" s="689">
        <f t="shared" si="5"/>
        <v>5684</v>
      </c>
      <c r="T15" s="689">
        <f t="shared" si="5"/>
        <v>6897</v>
      </c>
      <c r="U15" s="689">
        <f t="shared" si="5"/>
        <v>7454</v>
      </c>
      <c r="V15" s="689">
        <f t="shared" si="5"/>
        <v>6592</v>
      </c>
      <c r="W15" s="679"/>
      <c r="X15" s="690">
        <v>139193</v>
      </c>
      <c r="Y15" s="680">
        <f t="shared" si="1"/>
        <v>-3786</v>
      </c>
    </row>
    <row r="16" spans="1:25" s="690" customFormat="1" ht="32.25" customHeight="1">
      <c r="A16" s="686" t="s">
        <v>553</v>
      </c>
      <c r="B16" s="687" t="s">
        <v>94</v>
      </c>
      <c r="C16" s="688">
        <f>C39</f>
        <v>3248</v>
      </c>
      <c r="D16" s="688">
        <f>D39</f>
        <v>1200</v>
      </c>
      <c r="E16" s="689">
        <f t="shared" ref="E16:V16" si="6">E39</f>
        <v>10</v>
      </c>
      <c r="F16" s="689">
        <f t="shared" si="6"/>
        <v>410</v>
      </c>
      <c r="G16" s="689">
        <f t="shared" si="6"/>
        <v>110</v>
      </c>
      <c r="H16" s="689">
        <f t="shared" si="6"/>
        <v>310</v>
      </c>
      <c r="I16" s="689">
        <f t="shared" si="6"/>
        <v>0</v>
      </c>
      <c r="J16" s="689">
        <f t="shared" si="6"/>
        <v>310</v>
      </c>
      <c r="K16" s="689">
        <f t="shared" si="6"/>
        <v>10</v>
      </c>
      <c r="L16" s="689">
        <f t="shared" si="6"/>
        <v>310</v>
      </c>
      <c r="M16" s="689">
        <f t="shared" si="6"/>
        <v>10</v>
      </c>
      <c r="N16" s="689">
        <f t="shared" si="6"/>
        <v>10</v>
      </c>
      <c r="O16" s="689">
        <f t="shared" si="6"/>
        <v>10</v>
      </c>
      <c r="P16" s="689">
        <f t="shared" si="6"/>
        <v>10</v>
      </c>
      <c r="Q16" s="689">
        <f t="shared" si="6"/>
        <v>388</v>
      </c>
      <c r="R16" s="689">
        <f t="shared" si="6"/>
        <v>10</v>
      </c>
      <c r="S16" s="689">
        <f t="shared" si="6"/>
        <v>10</v>
      </c>
      <c r="T16" s="689">
        <f t="shared" si="6"/>
        <v>10</v>
      </c>
      <c r="U16" s="689">
        <f t="shared" si="6"/>
        <v>110</v>
      </c>
      <c r="V16" s="689">
        <f t="shared" si="6"/>
        <v>10</v>
      </c>
      <c r="W16" s="679">
        <f>W63</f>
        <v>0</v>
      </c>
      <c r="X16" s="690">
        <v>2232</v>
      </c>
      <c r="Y16" s="680">
        <f t="shared" si="1"/>
        <v>1016</v>
      </c>
    </row>
    <row r="17" spans="1:25" s="685" customFormat="1" ht="32.25" customHeight="1">
      <c r="A17" s="675" t="s">
        <v>9</v>
      </c>
      <c r="B17" s="683" t="s">
        <v>559</v>
      </c>
      <c r="C17" s="684">
        <f>+C18+C20+C36+C39</f>
        <v>143180</v>
      </c>
      <c r="D17" s="684">
        <f t="shared" ref="D17:V17" si="7">+D18+D20+D36+D39</f>
        <v>10980</v>
      </c>
      <c r="E17" s="466">
        <f t="shared" si="7"/>
        <v>6878</v>
      </c>
      <c r="F17" s="466">
        <f t="shared" si="7"/>
        <v>6930</v>
      </c>
      <c r="G17" s="466">
        <f t="shared" si="7"/>
        <v>8899</v>
      </c>
      <c r="H17" s="466">
        <f t="shared" si="7"/>
        <v>7209</v>
      </c>
      <c r="I17" s="466">
        <f t="shared" si="7"/>
        <v>11502</v>
      </c>
      <c r="J17" s="466">
        <f t="shared" si="7"/>
        <v>8049</v>
      </c>
      <c r="K17" s="466">
        <f t="shared" si="7"/>
        <v>7606</v>
      </c>
      <c r="L17" s="466">
        <f t="shared" si="7"/>
        <v>7920</v>
      </c>
      <c r="M17" s="466">
        <f t="shared" si="7"/>
        <v>6764</v>
      </c>
      <c r="N17" s="466">
        <f t="shared" si="7"/>
        <v>6336</v>
      </c>
      <c r="O17" s="466">
        <f t="shared" si="7"/>
        <v>6264</v>
      </c>
      <c r="P17" s="466">
        <f t="shared" si="7"/>
        <v>6681</v>
      </c>
      <c r="Q17" s="466">
        <f t="shared" si="7"/>
        <v>7290</v>
      </c>
      <c r="R17" s="466">
        <f t="shared" si="7"/>
        <v>6985</v>
      </c>
      <c r="S17" s="466">
        <f t="shared" si="7"/>
        <v>5709</v>
      </c>
      <c r="T17" s="466">
        <f t="shared" si="7"/>
        <v>6927</v>
      </c>
      <c r="U17" s="466">
        <f t="shared" si="7"/>
        <v>7629</v>
      </c>
      <c r="V17" s="466">
        <f t="shared" si="7"/>
        <v>6622</v>
      </c>
      <c r="W17" s="679"/>
      <c r="X17" s="685">
        <v>144680</v>
      </c>
      <c r="Y17" s="680">
        <f t="shared" si="1"/>
        <v>-1500</v>
      </c>
    </row>
    <row r="18" spans="1:25" s="685" customFormat="1" ht="32.25" customHeight="1">
      <c r="A18" s="675" t="s">
        <v>560</v>
      </c>
      <c r="B18" s="683" t="s">
        <v>561</v>
      </c>
      <c r="C18" s="684">
        <f t="shared" ref="C18:C31" si="8">SUM(D18:V18)</f>
        <v>3240</v>
      </c>
      <c r="D18" s="684">
        <f>D19</f>
        <v>0</v>
      </c>
      <c r="E18" s="466">
        <f t="shared" ref="E18:V18" si="9">E19</f>
        <v>0</v>
      </c>
      <c r="F18" s="466">
        <f t="shared" si="9"/>
        <v>0</v>
      </c>
      <c r="G18" s="466">
        <f t="shared" si="9"/>
        <v>0</v>
      </c>
      <c r="H18" s="466">
        <f t="shared" si="9"/>
        <v>0</v>
      </c>
      <c r="I18" s="466">
        <f t="shared" si="9"/>
        <v>3240</v>
      </c>
      <c r="J18" s="466">
        <f t="shared" si="9"/>
        <v>0</v>
      </c>
      <c r="K18" s="466">
        <f t="shared" si="9"/>
        <v>0</v>
      </c>
      <c r="L18" s="466">
        <f t="shared" si="9"/>
        <v>0</v>
      </c>
      <c r="M18" s="466">
        <f t="shared" si="9"/>
        <v>0</v>
      </c>
      <c r="N18" s="466">
        <f t="shared" si="9"/>
        <v>0</v>
      </c>
      <c r="O18" s="466">
        <f t="shared" si="9"/>
        <v>0</v>
      </c>
      <c r="P18" s="466">
        <f t="shared" si="9"/>
        <v>0</v>
      </c>
      <c r="Q18" s="466">
        <f t="shared" si="9"/>
        <v>0</v>
      </c>
      <c r="R18" s="466">
        <f t="shared" si="9"/>
        <v>0</v>
      </c>
      <c r="S18" s="466">
        <f t="shared" si="9"/>
        <v>0</v>
      </c>
      <c r="T18" s="466">
        <f t="shared" si="9"/>
        <v>0</v>
      </c>
      <c r="U18" s="466">
        <f t="shared" si="9"/>
        <v>0</v>
      </c>
      <c r="V18" s="466">
        <f t="shared" si="9"/>
        <v>0</v>
      </c>
      <c r="W18" s="679"/>
      <c r="X18" s="685">
        <v>2160</v>
      </c>
      <c r="Y18" s="680">
        <f t="shared" si="1"/>
        <v>1080</v>
      </c>
    </row>
    <row r="19" spans="1:25" s="690" customFormat="1" ht="32.25" customHeight="1">
      <c r="A19" s="686" t="s">
        <v>15</v>
      </c>
      <c r="B19" s="687" t="s">
        <v>731</v>
      </c>
      <c r="C19" s="688">
        <f t="shared" si="8"/>
        <v>3240</v>
      </c>
      <c r="D19" s="688"/>
      <c r="E19" s="689"/>
      <c r="F19" s="689"/>
      <c r="G19" s="689"/>
      <c r="H19" s="689"/>
      <c r="I19" s="653">
        <f>I11</f>
        <v>3240</v>
      </c>
      <c r="J19" s="689"/>
      <c r="K19" s="689"/>
      <c r="L19" s="689"/>
      <c r="M19" s="689"/>
      <c r="N19" s="689"/>
      <c r="O19" s="689"/>
      <c r="P19" s="689"/>
      <c r="Q19" s="689"/>
      <c r="R19" s="689"/>
      <c r="S19" s="689"/>
      <c r="T19" s="689"/>
      <c r="U19" s="689"/>
      <c r="V19" s="689"/>
      <c r="W19" s="679"/>
      <c r="X19" s="690">
        <v>2160</v>
      </c>
      <c r="Y19" s="680">
        <f t="shared" si="1"/>
        <v>1080</v>
      </c>
    </row>
    <row r="20" spans="1:25" s="685" customFormat="1" ht="32.25" customHeight="1">
      <c r="A20" s="675" t="s">
        <v>19</v>
      </c>
      <c r="B20" s="683" t="s">
        <v>562</v>
      </c>
      <c r="C20" s="684">
        <f t="shared" si="8"/>
        <v>133883</v>
      </c>
      <c r="D20" s="684">
        <f>D21+D23+D25+D26+D28+D29+D30+D35</f>
        <v>9584</v>
      </c>
      <c r="E20" s="684">
        <f t="shared" ref="E20:V20" si="10">E21+E23+E25+E26+E28+E29+E30+E35</f>
        <v>6730</v>
      </c>
      <c r="F20" s="684">
        <f t="shared" si="10"/>
        <v>6389</v>
      </c>
      <c r="G20" s="684">
        <f t="shared" si="10"/>
        <v>8613</v>
      </c>
      <c r="H20" s="684">
        <f t="shared" si="10"/>
        <v>6761</v>
      </c>
      <c r="I20" s="684">
        <f t="shared" si="10"/>
        <v>8031</v>
      </c>
      <c r="J20" s="684">
        <f t="shared" si="10"/>
        <v>7584</v>
      </c>
      <c r="K20" s="684">
        <f t="shared" si="10"/>
        <v>7444</v>
      </c>
      <c r="L20" s="684">
        <f t="shared" si="10"/>
        <v>7457</v>
      </c>
      <c r="M20" s="684">
        <f t="shared" si="10"/>
        <v>6618</v>
      </c>
      <c r="N20" s="684">
        <f t="shared" si="10"/>
        <v>6199</v>
      </c>
      <c r="O20" s="684">
        <f t="shared" si="10"/>
        <v>6128</v>
      </c>
      <c r="P20" s="684">
        <f t="shared" si="10"/>
        <v>6537</v>
      </c>
      <c r="Q20" s="684">
        <f t="shared" si="10"/>
        <v>6763</v>
      </c>
      <c r="R20" s="684">
        <f t="shared" si="10"/>
        <v>6835</v>
      </c>
      <c r="S20" s="684">
        <f t="shared" si="10"/>
        <v>5585</v>
      </c>
      <c r="T20" s="684">
        <f t="shared" si="10"/>
        <v>6778</v>
      </c>
      <c r="U20" s="684">
        <f t="shared" si="10"/>
        <v>7368</v>
      </c>
      <c r="V20" s="684">
        <f t="shared" si="10"/>
        <v>6479</v>
      </c>
      <c r="W20" s="679"/>
      <c r="X20" s="685">
        <v>137430</v>
      </c>
      <c r="Y20" s="680">
        <f t="shared" si="1"/>
        <v>-3547</v>
      </c>
    </row>
    <row r="21" spans="1:25" s="685" customFormat="1" ht="32.25" customHeight="1">
      <c r="A21" s="675">
        <v>1</v>
      </c>
      <c r="B21" s="683" t="s">
        <v>33</v>
      </c>
      <c r="C21" s="684">
        <f t="shared" si="8"/>
        <v>5289</v>
      </c>
      <c r="D21" s="684">
        <v>446</v>
      </c>
      <c r="E21" s="466">
        <v>247</v>
      </c>
      <c r="F21" s="466">
        <v>227</v>
      </c>
      <c r="G21" s="466">
        <v>341</v>
      </c>
      <c r="H21" s="466">
        <v>276</v>
      </c>
      <c r="I21" s="466">
        <v>367</v>
      </c>
      <c r="J21" s="691">
        <v>320</v>
      </c>
      <c r="K21" s="466">
        <v>276</v>
      </c>
      <c r="L21" s="466">
        <v>305</v>
      </c>
      <c r="M21" s="466">
        <v>228</v>
      </c>
      <c r="N21" s="466">
        <v>251</v>
      </c>
      <c r="O21" s="466">
        <v>217</v>
      </c>
      <c r="P21" s="466">
        <v>212</v>
      </c>
      <c r="Q21" s="691">
        <v>235</v>
      </c>
      <c r="R21" s="466">
        <v>343</v>
      </c>
      <c r="S21" s="691">
        <v>192</v>
      </c>
      <c r="T21" s="466">
        <v>254</v>
      </c>
      <c r="U21" s="466">
        <v>313</v>
      </c>
      <c r="V21" s="691">
        <v>239</v>
      </c>
      <c r="W21" s="679"/>
      <c r="X21" s="685">
        <v>5262</v>
      </c>
      <c r="Y21" s="680">
        <f t="shared" si="1"/>
        <v>27</v>
      </c>
    </row>
    <row r="22" spans="1:25" s="694" customFormat="1" ht="79.5" customHeight="1">
      <c r="A22" s="692"/>
      <c r="B22" s="693" t="s">
        <v>803</v>
      </c>
      <c r="C22" s="689">
        <f t="shared" si="8"/>
        <v>1611</v>
      </c>
      <c r="D22" s="693">
        <v>114</v>
      </c>
      <c r="E22" s="689">
        <v>83</v>
      </c>
      <c r="F22" s="689">
        <v>80</v>
      </c>
      <c r="G22" s="689">
        <v>89</v>
      </c>
      <c r="H22" s="689">
        <v>86</v>
      </c>
      <c r="I22" s="689">
        <v>96</v>
      </c>
      <c r="J22" s="689">
        <v>93</v>
      </c>
      <c r="K22" s="689">
        <v>89</v>
      </c>
      <c r="L22" s="689">
        <v>90</v>
      </c>
      <c r="M22" s="689">
        <v>78</v>
      </c>
      <c r="N22" s="689">
        <v>80</v>
      </c>
      <c r="O22" s="689">
        <v>75</v>
      </c>
      <c r="P22" s="689">
        <v>75</v>
      </c>
      <c r="Q22" s="689">
        <v>78</v>
      </c>
      <c r="R22" s="689">
        <v>87</v>
      </c>
      <c r="S22" s="689">
        <v>75</v>
      </c>
      <c r="T22" s="689">
        <v>81</v>
      </c>
      <c r="U22" s="689">
        <v>87</v>
      </c>
      <c r="V22" s="689">
        <v>75</v>
      </c>
      <c r="W22" s="679"/>
      <c r="X22" s="694">
        <v>1611</v>
      </c>
      <c r="Y22" s="680">
        <f t="shared" si="1"/>
        <v>0</v>
      </c>
    </row>
    <row r="23" spans="1:25" s="685" customFormat="1" ht="32.25" customHeight="1">
      <c r="A23" s="695">
        <v>2</v>
      </c>
      <c r="B23" s="696" t="s">
        <v>563</v>
      </c>
      <c r="C23" s="466">
        <f t="shared" si="8"/>
        <v>7344</v>
      </c>
      <c r="D23" s="696">
        <v>773</v>
      </c>
      <c r="E23" s="466">
        <v>334</v>
      </c>
      <c r="F23" s="466">
        <v>294</v>
      </c>
      <c r="G23" s="466">
        <v>533</v>
      </c>
      <c r="H23" s="466">
        <v>374</v>
      </c>
      <c r="I23" s="466">
        <v>613</v>
      </c>
      <c r="J23" s="466">
        <v>494</v>
      </c>
      <c r="K23" s="466">
        <v>414</v>
      </c>
      <c r="L23" s="466">
        <v>414</v>
      </c>
      <c r="M23" s="466">
        <v>294</v>
      </c>
      <c r="N23" s="466">
        <v>294</v>
      </c>
      <c r="O23" s="466">
        <v>254</v>
      </c>
      <c r="P23" s="466">
        <v>254</v>
      </c>
      <c r="Q23" s="466">
        <v>294</v>
      </c>
      <c r="R23" s="466">
        <v>414</v>
      </c>
      <c r="S23" s="466">
        <v>215</v>
      </c>
      <c r="T23" s="466">
        <v>334</v>
      </c>
      <c r="U23" s="466">
        <v>494</v>
      </c>
      <c r="V23" s="466">
        <v>254</v>
      </c>
      <c r="W23" s="679"/>
      <c r="X23" s="685">
        <v>7344</v>
      </c>
      <c r="Y23" s="680">
        <f t="shared" si="1"/>
        <v>0</v>
      </c>
    </row>
    <row r="24" spans="1:25" s="694" customFormat="1" ht="75" customHeight="1">
      <c r="A24" s="686"/>
      <c r="B24" s="697" t="s">
        <v>732</v>
      </c>
      <c r="C24" s="689">
        <f t="shared" si="8"/>
        <v>7055</v>
      </c>
      <c r="D24" s="698">
        <v>757</v>
      </c>
      <c r="E24" s="689">
        <v>319</v>
      </c>
      <c r="F24" s="689">
        <v>279</v>
      </c>
      <c r="G24" s="689">
        <v>518</v>
      </c>
      <c r="H24" s="689">
        <v>359</v>
      </c>
      <c r="I24" s="689">
        <v>598</v>
      </c>
      <c r="J24" s="689">
        <v>478</v>
      </c>
      <c r="K24" s="689">
        <v>399</v>
      </c>
      <c r="L24" s="689">
        <v>399</v>
      </c>
      <c r="M24" s="689">
        <v>279</v>
      </c>
      <c r="N24" s="689">
        <v>279</v>
      </c>
      <c r="O24" s="689">
        <v>239</v>
      </c>
      <c r="P24" s="689">
        <v>239</v>
      </c>
      <c r="Q24" s="689">
        <v>279</v>
      </c>
      <c r="R24" s="689">
        <v>399</v>
      </c>
      <c r="S24" s="689">
        <v>199</v>
      </c>
      <c r="T24" s="689">
        <v>319</v>
      </c>
      <c r="U24" s="689">
        <v>478</v>
      </c>
      <c r="V24" s="689">
        <v>239</v>
      </c>
      <c r="W24" s="679"/>
      <c r="X24" s="694">
        <v>7055</v>
      </c>
      <c r="Y24" s="680">
        <f t="shared" si="1"/>
        <v>0</v>
      </c>
    </row>
    <row r="25" spans="1:25" s="685" customFormat="1" ht="32.25" customHeight="1">
      <c r="A25" s="695">
        <v>3</v>
      </c>
      <c r="B25" s="696" t="s">
        <v>564</v>
      </c>
      <c r="C25" s="466">
        <f t="shared" si="8"/>
        <v>997</v>
      </c>
      <c r="D25" s="696">
        <v>48</v>
      </c>
      <c r="E25" s="466">
        <v>53</v>
      </c>
      <c r="F25" s="466">
        <v>53</v>
      </c>
      <c r="G25" s="466">
        <v>53</v>
      </c>
      <c r="H25" s="466">
        <v>53</v>
      </c>
      <c r="I25" s="466">
        <v>48</v>
      </c>
      <c r="J25" s="466">
        <v>53</v>
      </c>
      <c r="K25" s="466">
        <v>53</v>
      </c>
      <c r="L25" s="466">
        <v>53</v>
      </c>
      <c r="M25" s="466">
        <v>53</v>
      </c>
      <c r="N25" s="466">
        <v>53</v>
      </c>
      <c r="O25" s="466">
        <v>53</v>
      </c>
      <c r="P25" s="466">
        <v>53</v>
      </c>
      <c r="Q25" s="466">
        <v>53</v>
      </c>
      <c r="R25" s="466">
        <v>53</v>
      </c>
      <c r="S25" s="466">
        <v>53</v>
      </c>
      <c r="T25" s="466">
        <v>53</v>
      </c>
      <c r="U25" s="466">
        <v>53</v>
      </c>
      <c r="V25" s="466">
        <v>53</v>
      </c>
      <c r="W25" s="679"/>
      <c r="X25" s="685">
        <v>997</v>
      </c>
      <c r="Y25" s="680">
        <f t="shared" si="1"/>
        <v>0</v>
      </c>
    </row>
    <row r="26" spans="1:25" s="685" customFormat="1" ht="32.25" customHeight="1">
      <c r="A26" s="699">
        <v>4</v>
      </c>
      <c r="B26" s="696" t="s">
        <v>565</v>
      </c>
      <c r="C26" s="466">
        <f t="shared" si="8"/>
        <v>2225</v>
      </c>
      <c r="D26" s="696">
        <v>215</v>
      </c>
      <c r="E26" s="466">
        <v>105</v>
      </c>
      <c r="F26" s="466">
        <v>95</v>
      </c>
      <c r="G26" s="466">
        <v>155</v>
      </c>
      <c r="H26" s="466">
        <v>115</v>
      </c>
      <c r="I26" s="466">
        <v>155</v>
      </c>
      <c r="J26" s="466">
        <v>145</v>
      </c>
      <c r="K26" s="466">
        <v>125</v>
      </c>
      <c r="L26" s="466">
        <v>125</v>
      </c>
      <c r="M26" s="466">
        <v>95</v>
      </c>
      <c r="N26" s="466">
        <v>95</v>
      </c>
      <c r="O26" s="466">
        <v>85</v>
      </c>
      <c r="P26" s="466">
        <v>85</v>
      </c>
      <c r="Q26" s="466">
        <v>95</v>
      </c>
      <c r="R26" s="466">
        <v>125</v>
      </c>
      <c r="S26" s="466">
        <v>75</v>
      </c>
      <c r="T26" s="466">
        <v>105</v>
      </c>
      <c r="U26" s="466">
        <v>145</v>
      </c>
      <c r="V26" s="466">
        <v>85</v>
      </c>
      <c r="W26" s="679"/>
      <c r="X26" s="685">
        <v>2225</v>
      </c>
      <c r="Y26" s="680">
        <f t="shared" si="1"/>
        <v>0</v>
      </c>
    </row>
    <row r="27" spans="1:25" s="694" customFormat="1" ht="61.5" customHeight="1">
      <c r="A27" s="700" t="s">
        <v>15</v>
      </c>
      <c r="B27" s="697" t="s">
        <v>566</v>
      </c>
      <c r="C27" s="689">
        <f t="shared" si="8"/>
        <v>708</v>
      </c>
      <c r="D27" s="698">
        <f>'[3]Đội văn nghệ quần chúng'!$E$7</f>
        <v>76</v>
      </c>
      <c r="E27" s="689">
        <f>'[3]Đội văn nghệ quần chúng'!$E$15</f>
        <v>32</v>
      </c>
      <c r="F27" s="689">
        <f>'[3]Đội văn nghệ quần chúng'!$E$11</f>
        <v>28</v>
      </c>
      <c r="G27" s="689">
        <f>'[3]Đội văn nghệ quần chúng'!$E$8</f>
        <v>52</v>
      </c>
      <c r="H27" s="689">
        <f>'[3]Đội văn nghệ quần chúng'!$E$18</f>
        <v>36</v>
      </c>
      <c r="I27" s="689">
        <f>'[3]Đội văn nghệ quần chúng'!$E$25</f>
        <v>60</v>
      </c>
      <c r="J27" s="689">
        <f>'[3]Đội văn nghệ quần chúng'!$E$16</f>
        <v>48</v>
      </c>
      <c r="K27" s="689">
        <f>'[3]Đội văn nghệ quần chúng'!$E$20</f>
        <v>40</v>
      </c>
      <c r="L27" s="689">
        <f>'[3]Đội văn nghệ quần chúng'!$E$12</f>
        <v>40</v>
      </c>
      <c r="M27" s="689">
        <f>'[3]Đội văn nghệ quần chúng'!$E$14</f>
        <v>28</v>
      </c>
      <c r="N27" s="689">
        <f>'[3]Đội văn nghệ quần chúng'!$E$21</f>
        <v>28</v>
      </c>
      <c r="O27" s="689">
        <f>'[3]Đội văn nghệ quần chúng'!$E$19</f>
        <v>24</v>
      </c>
      <c r="P27" s="689">
        <f>'[3]Đội văn nghệ quần chúng'!$E$22</f>
        <v>24</v>
      </c>
      <c r="Q27" s="689">
        <f>'[3]Đội văn nghệ quần chúng'!$E$24</f>
        <v>28</v>
      </c>
      <c r="R27" s="689">
        <f>'[3]Đội văn nghệ quần chúng'!$E$17</f>
        <v>40</v>
      </c>
      <c r="S27" s="689">
        <f>'[3]Đội văn nghệ quần chúng'!$E$10</f>
        <v>20</v>
      </c>
      <c r="T27" s="689">
        <f>'[3]Đội văn nghệ quần chúng'!$E$23</f>
        <v>32</v>
      </c>
      <c r="U27" s="689">
        <f>'[3]Đội văn nghệ quần chúng'!$E$9</f>
        <v>48</v>
      </c>
      <c r="V27" s="689">
        <f>'[3]Đội văn nghệ quần chúng'!$E$13</f>
        <v>24</v>
      </c>
      <c r="W27" s="679"/>
      <c r="X27" s="694">
        <v>708</v>
      </c>
      <c r="Y27" s="680">
        <f t="shared" si="1"/>
        <v>0</v>
      </c>
    </row>
    <row r="28" spans="1:25" s="685" customFormat="1" ht="32.25" customHeight="1">
      <c r="A28" s="699">
        <v>5</v>
      </c>
      <c r="B28" s="696" t="s">
        <v>375</v>
      </c>
      <c r="C28" s="466">
        <f t="shared" si="8"/>
        <v>285</v>
      </c>
      <c r="D28" s="696">
        <v>15</v>
      </c>
      <c r="E28" s="466">
        <v>15</v>
      </c>
      <c r="F28" s="466">
        <v>15</v>
      </c>
      <c r="G28" s="466">
        <v>15</v>
      </c>
      <c r="H28" s="466">
        <v>15</v>
      </c>
      <c r="I28" s="466">
        <v>15</v>
      </c>
      <c r="J28" s="466">
        <v>15</v>
      </c>
      <c r="K28" s="466">
        <v>15</v>
      </c>
      <c r="L28" s="466">
        <v>15</v>
      </c>
      <c r="M28" s="466">
        <v>15</v>
      </c>
      <c r="N28" s="466">
        <v>15</v>
      </c>
      <c r="O28" s="466">
        <v>15</v>
      </c>
      <c r="P28" s="466">
        <v>15</v>
      </c>
      <c r="Q28" s="466">
        <v>15</v>
      </c>
      <c r="R28" s="466">
        <v>15</v>
      </c>
      <c r="S28" s="466">
        <v>15</v>
      </c>
      <c r="T28" s="466">
        <v>15</v>
      </c>
      <c r="U28" s="466">
        <v>15</v>
      </c>
      <c r="V28" s="466">
        <v>15</v>
      </c>
      <c r="W28" s="679"/>
      <c r="X28" s="685">
        <v>285</v>
      </c>
      <c r="Y28" s="680">
        <f t="shared" si="1"/>
        <v>0</v>
      </c>
    </row>
    <row r="29" spans="1:25" s="685" customFormat="1" ht="32.25" customHeight="1">
      <c r="A29" s="695">
        <v>6</v>
      </c>
      <c r="B29" s="696" t="s">
        <v>199</v>
      </c>
      <c r="C29" s="466">
        <f t="shared" si="8"/>
        <v>0</v>
      </c>
      <c r="D29" s="696"/>
      <c r="E29" s="466"/>
      <c r="F29" s="466"/>
      <c r="G29" s="466"/>
      <c r="H29" s="466"/>
      <c r="I29" s="466"/>
      <c r="J29" s="466"/>
      <c r="K29" s="466"/>
      <c r="L29" s="466"/>
      <c r="M29" s="466"/>
      <c r="N29" s="466"/>
      <c r="O29" s="466"/>
      <c r="P29" s="466"/>
      <c r="Q29" s="466"/>
      <c r="R29" s="466"/>
      <c r="S29" s="466"/>
      <c r="T29" s="466"/>
      <c r="U29" s="466"/>
      <c r="V29" s="466"/>
      <c r="W29" s="679"/>
      <c r="X29" s="685">
        <v>3358</v>
      </c>
      <c r="Y29" s="680">
        <f t="shared" si="1"/>
        <v>-3358</v>
      </c>
    </row>
    <row r="30" spans="1:25" s="680" customFormat="1" ht="32.25" customHeight="1">
      <c r="A30" s="695">
        <v>7</v>
      </c>
      <c r="B30" s="696" t="s">
        <v>567</v>
      </c>
      <c r="C30" s="466">
        <f>SUM(D30:V30)</f>
        <v>115769</v>
      </c>
      <c r="D30" s="696">
        <v>7719</v>
      </c>
      <c r="E30" s="466">
        <v>5869</v>
      </c>
      <c r="F30" s="466">
        <v>5660</v>
      </c>
      <c r="G30" s="466">
        <v>7336</v>
      </c>
      <c r="H30" s="466">
        <v>5873</v>
      </c>
      <c r="I30" s="691">
        <v>6678</v>
      </c>
      <c r="J30" s="466">
        <v>6440</v>
      </c>
      <c r="K30" s="466">
        <v>6371</v>
      </c>
      <c r="L30" s="466">
        <v>6463</v>
      </c>
      <c r="M30" s="466">
        <v>5869</v>
      </c>
      <c r="N30" s="466">
        <v>5478</v>
      </c>
      <c r="O30" s="466">
        <v>5486</v>
      </c>
      <c r="P30" s="466">
        <v>5733</v>
      </c>
      <c r="Q30" s="691">
        <v>6063</v>
      </c>
      <c r="R30" s="691">
        <v>5876</v>
      </c>
      <c r="S30" s="691">
        <v>4988</v>
      </c>
      <c r="T30" s="466">
        <v>5830</v>
      </c>
      <c r="U30" s="466">
        <v>6313</v>
      </c>
      <c r="V30" s="466">
        <v>5724</v>
      </c>
      <c r="W30" s="679"/>
      <c r="X30" s="680">
        <v>115985</v>
      </c>
      <c r="Y30" s="680">
        <f t="shared" si="1"/>
        <v>-216</v>
      </c>
    </row>
    <row r="31" spans="1:25" s="685" customFormat="1" ht="44.25" customHeight="1">
      <c r="A31" s="701"/>
      <c r="B31" s="697" t="s">
        <v>794</v>
      </c>
      <c r="C31" s="689">
        <f t="shared" si="8"/>
        <v>10890</v>
      </c>
      <c r="D31" s="698">
        <v>558</v>
      </c>
      <c r="E31" s="689">
        <v>549</v>
      </c>
      <c r="F31" s="689">
        <v>549</v>
      </c>
      <c r="G31" s="689">
        <v>558</v>
      </c>
      <c r="H31" s="689">
        <v>594</v>
      </c>
      <c r="I31" s="689">
        <v>522</v>
      </c>
      <c r="J31" s="689">
        <v>612</v>
      </c>
      <c r="K31" s="689">
        <v>612</v>
      </c>
      <c r="L31" s="689">
        <v>558</v>
      </c>
      <c r="M31" s="689">
        <v>594</v>
      </c>
      <c r="N31" s="689">
        <v>603</v>
      </c>
      <c r="O31" s="689">
        <v>603</v>
      </c>
      <c r="P31" s="689">
        <v>612</v>
      </c>
      <c r="Q31" s="689">
        <v>549</v>
      </c>
      <c r="R31" s="689">
        <v>648</v>
      </c>
      <c r="S31" s="689">
        <v>531</v>
      </c>
      <c r="T31" s="689">
        <v>549</v>
      </c>
      <c r="U31" s="689">
        <v>558</v>
      </c>
      <c r="V31" s="689">
        <v>531</v>
      </c>
      <c r="W31" s="679"/>
      <c r="X31" s="685">
        <v>10890</v>
      </c>
      <c r="Y31" s="680">
        <f t="shared" si="1"/>
        <v>0</v>
      </c>
    </row>
    <row r="32" spans="1:25" s="680" customFormat="1" ht="44.25" customHeight="1">
      <c r="A32" s="701"/>
      <c r="B32" s="697" t="s">
        <v>568</v>
      </c>
      <c r="C32" s="689">
        <f t="shared" ref="C32:C37" si="11">SUM(D32:V32)</f>
        <v>798</v>
      </c>
      <c r="D32" s="698">
        <v>42</v>
      </c>
      <c r="E32" s="689">
        <v>42</v>
      </c>
      <c r="F32" s="689">
        <v>42</v>
      </c>
      <c r="G32" s="689">
        <v>42</v>
      </c>
      <c r="H32" s="689">
        <v>42</v>
      </c>
      <c r="I32" s="689">
        <v>42</v>
      </c>
      <c r="J32" s="689">
        <v>42</v>
      </c>
      <c r="K32" s="689">
        <v>42</v>
      </c>
      <c r="L32" s="689">
        <v>42</v>
      </c>
      <c r="M32" s="689">
        <v>42</v>
      </c>
      <c r="N32" s="689">
        <v>42</v>
      </c>
      <c r="O32" s="689">
        <v>42</v>
      </c>
      <c r="P32" s="689">
        <v>42</v>
      </c>
      <c r="Q32" s="689">
        <v>42</v>
      </c>
      <c r="R32" s="689">
        <v>42</v>
      </c>
      <c r="S32" s="689">
        <v>42</v>
      </c>
      <c r="T32" s="689">
        <v>42</v>
      </c>
      <c r="U32" s="689">
        <v>42</v>
      </c>
      <c r="V32" s="689">
        <v>42</v>
      </c>
      <c r="W32" s="679"/>
      <c r="X32" s="680">
        <v>798</v>
      </c>
      <c r="Y32" s="680">
        <f t="shared" si="1"/>
        <v>0</v>
      </c>
    </row>
    <row r="33" spans="1:25" s="694" customFormat="1" ht="32.25" customHeight="1">
      <c r="A33" s="702"/>
      <c r="B33" s="693" t="s">
        <v>795</v>
      </c>
      <c r="C33" s="689">
        <f t="shared" si="11"/>
        <v>3177</v>
      </c>
      <c r="D33" s="693">
        <v>181</v>
      </c>
      <c r="E33" s="689">
        <v>167</v>
      </c>
      <c r="F33" s="689">
        <v>156</v>
      </c>
      <c r="G33" s="689">
        <v>190</v>
      </c>
      <c r="H33" s="689">
        <v>160</v>
      </c>
      <c r="I33" s="689">
        <v>190</v>
      </c>
      <c r="J33" s="689">
        <v>164</v>
      </c>
      <c r="K33" s="689">
        <v>171</v>
      </c>
      <c r="L33" s="689">
        <v>176</v>
      </c>
      <c r="M33" s="689">
        <v>168</v>
      </c>
      <c r="N33" s="689">
        <v>152</v>
      </c>
      <c r="O33" s="689">
        <v>158</v>
      </c>
      <c r="P33" s="689">
        <v>157</v>
      </c>
      <c r="Q33" s="689">
        <v>181</v>
      </c>
      <c r="R33" s="689">
        <v>140</v>
      </c>
      <c r="S33" s="689">
        <v>144</v>
      </c>
      <c r="T33" s="689">
        <v>174</v>
      </c>
      <c r="U33" s="689">
        <v>180</v>
      </c>
      <c r="V33" s="689">
        <v>168</v>
      </c>
      <c r="W33" s="679"/>
      <c r="X33" s="694">
        <v>3177</v>
      </c>
      <c r="Y33" s="680">
        <f t="shared" si="1"/>
        <v>0</v>
      </c>
    </row>
    <row r="34" spans="1:25" s="694" customFormat="1" ht="32.25" customHeight="1">
      <c r="A34" s="702"/>
      <c r="B34" s="693" t="s">
        <v>796</v>
      </c>
      <c r="C34" s="693">
        <f t="shared" si="11"/>
        <v>400</v>
      </c>
      <c r="D34" s="693"/>
      <c r="E34" s="689"/>
      <c r="F34" s="689">
        <v>200</v>
      </c>
      <c r="G34" s="689">
        <v>200</v>
      </c>
      <c r="H34" s="689"/>
      <c r="I34" s="689"/>
      <c r="J34" s="689"/>
      <c r="K34" s="689"/>
      <c r="L34" s="689"/>
      <c r="M34" s="689"/>
      <c r="N34" s="689"/>
      <c r="O34" s="689"/>
      <c r="P34" s="689"/>
      <c r="Q34" s="689"/>
      <c r="R34" s="689"/>
      <c r="S34" s="689"/>
      <c r="T34" s="689"/>
      <c r="U34" s="689"/>
      <c r="V34" s="689"/>
      <c r="W34" s="679"/>
      <c r="X34" s="694">
        <v>400</v>
      </c>
      <c r="Y34" s="680">
        <f t="shared" si="1"/>
        <v>0</v>
      </c>
    </row>
    <row r="35" spans="1:25" s="685" customFormat="1" ht="32.25" customHeight="1">
      <c r="A35" s="695">
        <v>8</v>
      </c>
      <c r="B35" s="696" t="s">
        <v>569</v>
      </c>
      <c r="C35" s="696">
        <f t="shared" si="11"/>
        <v>1974</v>
      </c>
      <c r="D35" s="696">
        <v>368</v>
      </c>
      <c r="E35" s="466">
        <v>107</v>
      </c>
      <c r="F35" s="466">
        <v>45</v>
      </c>
      <c r="G35" s="466">
        <v>180</v>
      </c>
      <c r="H35" s="466">
        <v>55</v>
      </c>
      <c r="I35" s="466">
        <v>155</v>
      </c>
      <c r="J35" s="466">
        <v>117</v>
      </c>
      <c r="K35" s="466">
        <v>190</v>
      </c>
      <c r="L35" s="466">
        <v>82</v>
      </c>
      <c r="M35" s="466">
        <v>64</v>
      </c>
      <c r="N35" s="466">
        <v>13</v>
      </c>
      <c r="O35" s="466">
        <v>18</v>
      </c>
      <c r="P35" s="466">
        <v>185</v>
      </c>
      <c r="Q35" s="466">
        <v>8</v>
      </c>
      <c r="R35" s="466">
        <v>9</v>
      </c>
      <c r="S35" s="466">
        <v>47</v>
      </c>
      <c r="T35" s="466">
        <v>187</v>
      </c>
      <c r="U35" s="466">
        <v>35</v>
      </c>
      <c r="V35" s="466">
        <v>109</v>
      </c>
      <c r="W35" s="679"/>
      <c r="X35" s="685">
        <v>1974</v>
      </c>
      <c r="Y35" s="680">
        <f t="shared" si="1"/>
        <v>0</v>
      </c>
    </row>
    <row r="36" spans="1:25" s="680" customFormat="1" ht="32.25" customHeight="1">
      <c r="A36" s="675" t="s">
        <v>20</v>
      </c>
      <c r="B36" s="683" t="s">
        <v>570</v>
      </c>
      <c r="C36" s="684">
        <f t="shared" si="11"/>
        <v>2809</v>
      </c>
      <c r="D36" s="684">
        <v>196</v>
      </c>
      <c r="E36" s="466">
        <v>138</v>
      </c>
      <c r="F36" s="466">
        <v>131</v>
      </c>
      <c r="G36" s="466">
        <v>176</v>
      </c>
      <c r="H36" s="466">
        <v>138</v>
      </c>
      <c r="I36" s="652">
        <v>231</v>
      </c>
      <c r="J36" s="466">
        <v>155</v>
      </c>
      <c r="K36" s="466">
        <v>152</v>
      </c>
      <c r="L36" s="466">
        <v>153</v>
      </c>
      <c r="M36" s="466">
        <v>136</v>
      </c>
      <c r="N36" s="466">
        <v>127</v>
      </c>
      <c r="O36" s="466">
        <v>126</v>
      </c>
      <c r="P36" s="466">
        <v>134</v>
      </c>
      <c r="Q36" s="466">
        <v>139</v>
      </c>
      <c r="R36" s="466">
        <v>140</v>
      </c>
      <c r="S36" s="466">
        <v>114</v>
      </c>
      <c r="T36" s="466">
        <v>139</v>
      </c>
      <c r="U36" s="466">
        <v>151</v>
      </c>
      <c r="V36" s="466">
        <v>133</v>
      </c>
      <c r="W36" s="679"/>
      <c r="X36" s="680">
        <v>2858</v>
      </c>
      <c r="Y36" s="680">
        <f t="shared" si="1"/>
        <v>-49</v>
      </c>
    </row>
    <row r="37" spans="1:25" s="707" customFormat="1" ht="40.5" hidden="1" customHeight="1">
      <c r="A37" s="703" t="s">
        <v>20</v>
      </c>
      <c r="B37" s="704" t="s">
        <v>797</v>
      </c>
      <c r="C37" s="704">
        <f t="shared" si="11"/>
        <v>2798.4285714285716</v>
      </c>
      <c r="D37" s="704">
        <f>(D20+D18)/98*2</f>
        <v>195.59183673469389</v>
      </c>
      <c r="E37" s="704">
        <f t="shared" ref="E37:V37" si="12">(E20+E18)/98*2</f>
        <v>137.34693877551021</v>
      </c>
      <c r="F37" s="704">
        <f t="shared" si="12"/>
        <v>130.38775510204081</v>
      </c>
      <c r="G37" s="704">
        <f t="shared" si="12"/>
        <v>175.77551020408163</v>
      </c>
      <c r="H37" s="704">
        <f t="shared" si="12"/>
        <v>137.9795918367347</v>
      </c>
      <c r="I37" s="704">
        <f t="shared" si="12"/>
        <v>230.0204081632653</v>
      </c>
      <c r="J37" s="704">
        <f t="shared" si="12"/>
        <v>154.77551020408163</v>
      </c>
      <c r="K37" s="704">
        <f t="shared" si="12"/>
        <v>151.91836734693877</v>
      </c>
      <c r="L37" s="704">
        <f t="shared" si="12"/>
        <v>152.18367346938774</v>
      </c>
      <c r="M37" s="704">
        <f t="shared" si="12"/>
        <v>135.0612244897959</v>
      </c>
      <c r="N37" s="704">
        <f t="shared" si="12"/>
        <v>126.51020408163265</v>
      </c>
      <c r="O37" s="704">
        <f t="shared" si="12"/>
        <v>125.06122448979592</v>
      </c>
      <c r="P37" s="704">
        <f t="shared" si="12"/>
        <v>133.40816326530611</v>
      </c>
      <c r="Q37" s="704">
        <f t="shared" si="12"/>
        <v>138.0204081632653</v>
      </c>
      <c r="R37" s="704">
        <f t="shared" si="12"/>
        <v>139.48979591836735</v>
      </c>
      <c r="S37" s="704">
        <f t="shared" si="12"/>
        <v>113.9795918367347</v>
      </c>
      <c r="T37" s="704">
        <f t="shared" si="12"/>
        <v>138.32653061224491</v>
      </c>
      <c r="U37" s="704">
        <f t="shared" si="12"/>
        <v>150.36734693877551</v>
      </c>
      <c r="V37" s="704">
        <f t="shared" si="12"/>
        <v>132.22448979591837</v>
      </c>
      <c r="W37" s="706" t="s">
        <v>798</v>
      </c>
      <c r="X37" s="707">
        <v>2848.7755102040815</v>
      </c>
      <c r="Y37" s="680">
        <f t="shared" si="1"/>
        <v>-50.346938775509898</v>
      </c>
    </row>
    <row r="38" spans="1:25" s="707" customFormat="1" ht="40.5" hidden="1" customHeight="1">
      <c r="A38" s="703"/>
      <c r="B38" s="704"/>
      <c r="C38" s="705">
        <f>C36-C37</f>
        <v>10.571428571428442</v>
      </c>
      <c r="D38" s="705">
        <f t="shared" ref="D38:V38" si="13">D36-D37</f>
        <v>0.40816326530611491</v>
      </c>
      <c r="E38" s="705">
        <f t="shared" si="13"/>
        <v>0.65306122448978954</v>
      </c>
      <c r="F38" s="705">
        <f t="shared" si="13"/>
        <v>0.61224489795918657</v>
      </c>
      <c r="G38" s="705">
        <f t="shared" si="13"/>
        <v>0.22448979591837315</v>
      </c>
      <c r="H38" s="705">
        <f t="shared" si="13"/>
        <v>2.0408163265301482E-2</v>
      </c>
      <c r="I38" s="705">
        <f t="shared" si="13"/>
        <v>0.97959183673469852</v>
      </c>
      <c r="J38" s="705">
        <f t="shared" si="13"/>
        <v>0.22448979591837315</v>
      </c>
      <c r="K38" s="705">
        <f t="shared" si="13"/>
        <v>8.163265306123435E-2</v>
      </c>
      <c r="L38" s="705">
        <f t="shared" si="13"/>
        <v>0.81632653061225824</v>
      </c>
      <c r="M38" s="705">
        <f t="shared" si="13"/>
        <v>0.93877551020409555</v>
      </c>
      <c r="N38" s="705">
        <f t="shared" si="13"/>
        <v>0.48979591836734926</v>
      </c>
      <c r="O38" s="705">
        <f t="shared" si="13"/>
        <v>0.93877551020408134</v>
      </c>
      <c r="P38" s="705">
        <f t="shared" si="13"/>
        <v>0.59183673469388509</v>
      </c>
      <c r="Q38" s="705">
        <f t="shared" si="13"/>
        <v>0.97959183673469852</v>
      </c>
      <c r="R38" s="705">
        <f t="shared" si="13"/>
        <v>0.51020408163265074</v>
      </c>
      <c r="S38" s="705">
        <f t="shared" si="13"/>
        <v>2.0408163265301482E-2</v>
      </c>
      <c r="T38" s="705">
        <f t="shared" si="13"/>
        <v>0.67346938775509102</v>
      </c>
      <c r="U38" s="705">
        <f t="shared" si="13"/>
        <v>0.63265306122448806</v>
      </c>
      <c r="V38" s="705">
        <f t="shared" si="13"/>
        <v>0.77551020408162685</v>
      </c>
      <c r="W38" s="706"/>
      <c r="Y38" s="680"/>
    </row>
    <row r="39" spans="1:25" s="680" customFormat="1" ht="32.25" customHeight="1">
      <c r="A39" s="675" t="s">
        <v>21</v>
      </c>
      <c r="B39" s="681" t="s">
        <v>733</v>
      </c>
      <c r="C39" s="682">
        <f>+C40+C63</f>
        <v>3248</v>
      </c>
      <c r="D39" s="682">
        <f>+D40+D63</f>
        <v>1200</v>
      </c>
      <c r="E39" s="466">
        <f t="shared" ref="E39:V39" si="14">+E40+E63</f>
        <v>10</v>
      </c>
      <c r="F39" s="466">
        <f t="shared" si="14"/>
        <v>410</v>
      </c>
      <c r="G39" s="466">
        <f t="shared" si="14"/>
        <v>110</v>
      </c>
      <c r="H39" s="466">
        <f t="shared" si="14"/>
        <v>310</v>
      </c>
      <c r="I39" s="466">
        <f t="shared" si="14"/>
        <v>0</v>
      </c>
      <c r="J39" s="466">
        <f t="shared" si="14"/>
        <v>310</v>
      </c>
      <c r="K39" s="466">
        <f t="shared" si="14"/>
        <v>10</v>
      </c>
      <c r="L39" s="466">
        <f t="shared" si="14"/>
        <v>310</v>
      </c>
      <c r="M39" s="466">
        <f t="shared" si="14"/>
        <v>10</v>
      </c>
      <c r="N39" s="466">
        <f t="shared" si="14"/>
        <v>10</v>
      </c>
      <c r="O39" s="466">
        <f t="shared" si="14"/>
        <v>10</v>
      </c>
      <c r="P39" s="466">
        <f t="shared" si="14"/>
        <v>10</v>
      </c>
      <c r="Q39" s="466">
        <f t="shared" si="14"/>
        <v>388</v>
      </c>
      <c r="R39" s="466">
        <f t="shared" si="14"/>
        <v>10</v>
      </c>
      <c r="S39" s="466">
        <f t="shared" si="14"/>
        <v>10</v>
      </c>
      <c r="T39" s="466">
        <f t="shared" si="14"/>
        <v>10</v>
      </c>
      <c r="U39" s="466">
        <f t="shared" si="14"/>
        <v>110</v>
      </c>
      <c r="V39" s="466">
        <f t="shared" si="14"/>
        <v>10</v>
      </c>
      <c r="W39" s="679"/>
      <c r="X39" s="680">
        <v>2232</v>
      </c>
      <c r="Y39" s="680">
        <f t="shared" ref="Y39:Y58" si="15">C39-X39</f>
        <v>1016</v>
      </c>
    </row>
    <row r="40" spans="1:25" s="694" customFormat="1" ht="32.25" customHeight="1">
      <c r="A40" s="675">
        <v>1</v>
      </c>
      <c r="B40" s="681" t="s">
        <v>522</v>
      </c>
      <c r="C40" s="682">
        <f t="shared" ref="C40:C45" si="16">SUM(D40:V40)</f>
        <v>3248</v>
      </c>
      <c r="D40" s="682">
        <f>+D41+D50+D55</f>
        <v>1200</v>
      </c>
      <c r="E40" s="682">
        <f t="shared" ref="E40:V40" si="17">+E41+E50+E55</f>
        <v>10</v>
      </c>
      <c r="F40" s="682">
        <f t="shared" si="17"/>
        <v>410</v>
      </c>
      <c r="G40" s="682">
        <f t="shared" si="17"/>
        <v>110</v>
      </c>
      <c r="H40" s="682">
        <f t="shared" si="17"/>
        <v>310</v>
      </c>
      <c r="I40" s="682">
        <f t="shared" si="17"/>
        <v>0</v>
      </c>
      <c r="J40" s="682">
        <f t="shared" si="17"/>
        <v>310</v>
      </c>
      <c r="K40" s="682">
        <f t="shared" si="17"/>
        <v>10</v>
      </c>
      <c r="L40" s="682">
        <f t="shared" si="17"/>
        <v>310</v>
      </c>
      <c r="M40" s="682">
        <f t="shared" si="17"/>
        <v>10</v>
      </c>
      <c r="N40" s="682">
        <f t="shared" si="17"/>
        <v>10</v>
      </c>
      <c r="O40" s="682">
        <f t="shared" si="17"/>
        <v>10</v>
      </c>
      <c r="P40" s="682">
        <f t="shared" si="17"/>
        <v>10</v>
      </c>
      <c r="Q40" s="682">
        <f t="shared" si="17"/>
        <v>388</v>
      </c>
      <c r="R40" s="682">
        <f t="shared" si="17"/>
        <v>10</v>
      </c>
      <c r="S40" s="682">
        <f t="shared" si="17"/>
        <v>10</v>
      </c>
      <c r="T40" s="682">
        <f t="shared" si="17"/>
        <v>10</v>
      </c>
      <c r="U40" s="682">
        <f t="shared" si="17"/>
        <v>110</v>
      </c>
      <c r="V40" s="682">
        <f t="shared" si="17"/>
        <v>10</v>
      </c>
      <c r="W40" s="679"/>
      <c r="X40" s="694">
        <v>0</v>
      </c>
      <c r="Y40" s="680">
        <f t="shared" si="15"/>
        <v>3248</v>
      </c>
    </row>
    <row r="41" spans="1:25" s="694" customFormat="1" ht="53.25" customHeight="1">
      <c r="A41" s="283" t="s">
        <v>524</v>
      </c>
      <c r="B41" s="284" t="s">
        <v>799</v>
      </c>
      <c r="C41" s="708">
        <f t="shared" si="16"/>
        <v>1168</v>
      </c>
      <c r="D41" s="708">
        <f>+D42</f>
        <v>1090</v>
      </c>
      <c r="E41" s="708">
        <f t="shared" ref="E41:V41" si="18">+E42</f>
        <v>0</v>
      </c>
      <c r="F41" s="708">
        <f t="shared" si="18"/>
        <v>0</v>
      </c>
      <c r="G41" s="708">
        <f t="shared" si="18"/>
        <v>0</v>
      </c>
      <c r="H41" s="708">
        <f t="shared" si="18"/>
        <v>0</v>
      </c>
      <c r="I41" s="708">
        <f t="shared" si="18"/>
        <v>0</v>
      </c>
      <c r="J41" s="708">
        <f t="shared" si="18"/>
        <v>0</v>
      </c>
      <c r="K41" s="708">
        <f t="shared" si="18"/>
        <v>0</v>
      </c>
      <c r="L41" s="708">
        <f t="shared" si="18"/>
        <v>0</v>
      </c>
      <c r="M41" s="708">
        <f t="shared" si="18"/>
        <v>0</v>
      </c>
      <c r="N41" s="708">
        <f t="shared" si="18"/>
        <v>0</v>
      </c>
      <c r="O41" s="708">
        <f t="shared" si="18"/>
        <v>0</v>
      </c>
      <c r="P41" s="708">
        <f t="shared" si="18"/>
        <v>0</v>
      </c>
      <c r="Q41" s="708">
        <f t="shared" si="18"/>
        <v>78</v>
      </c>
      <c r="R41" s="708">
        <f t="shared" si="18"/>
        <v>0</v>
      </c>
      <c r="S41" s="708">
        <f t="shared" si="18"/>
        <v>0</v>
      </c>
      <c r="T41" s="708">
        <f t="shared" si="18"/>
        <v>0</v>
      </c>
      <c r="U41" s="708">
        <f t="shared" si="18"/>
        <v>0</v>
      </c>
      <c r="V41" s="708">
        <f t="shared" si="18"/>
        <v>0</v>
      </c>
      <c r="W41" s="679"/>
      <c r="X41" s="694">
        <v>0</v>
      </c>
      <c r="Y41" s="680">
        <f t="shared" si="15"/>
        <v>1168</v>
      </c>
    </row>
    <row r="42" spans="1:25" s="694" customFormat="1" ht="32.25" customHeight="1">
      <c r="A42" s="283" t="s">
        <v>451</v>
      </c>
      <c r="B42" s="284" t="s">
        <v>178</v>
      </c>
      <c r="C42" s="708">
        <f t="shared" si="16"/>
        <v>1168</v>
      </c>
      <c r="D42" s="708">
        <v>1090</v>
      </c>
      <c r="E42" s="466"/>
      <c r="F42" s="709"/>
      <c r="G42" s="709"/>
      <c r="H42" s="709"/>
      <c r="I42" s="709"/>
      <c r="J42" s="709"/>
      <c r="K42" s="709"/>
      <c r="L42" s="709"/>
      <c r="M42" s="709"/>
      <c r="N42" s="709"/>
      <c r="O42" s="709"/>
      <c r="P42" s="709"/>
      <c r="Q42" s="709">
        <v>78</v>
      </c>
      <c r="R42" s="709"/>
      <c r="S42" s="709"/>
      <c r="T42" s="709"/>
      <c r="U42" s="709"/>
      <c r="V42" s="709"/>
      <c r="W42" s="679"/>
      <c r="X42" s="694">
        <v>0</v>
      </c>
      <c r="Y42" s="680">
        <f t="shared" si="15"/>
        <v>1168</v>
      </c>
    </row>
    <row r="43" spans="1:25" s="694" customFormat="1" ht="32.25" hidden="1" customHeight="1">
      <c r="A43" s="283" t="s">
        <v>451</v>
      </c>
      <c r="B43" s="284" t="s">
        <v>179</v>
      </c>
      <c r="C43" s="708">
        <f t="shared" si="16"/>
        <v>0</v>
      </c>
      <c r="D43" s="708"/>
      <c r="E43" s="466"/>
      <c r="F43" s="709"/>
      <c r="G43" s="709"/>
      <c r="H43" s="709"/>
      <c r="I43" s="709"/>
      <c r="J43" s="709"/>
      <c r="K43" s="709"/>
      <c r="L43" s="709"/>
      <c r="M43" s="709"/>
      <c r="N43" s="709"/>
      <c r="O43" s="709"/>
      <c r="P43" s="709"/>
      <c r="Q43" s="709"/>
      <c r="R43" s="709"/>
      <c r="S43" s="709"/>
      <c r="T43" s="709"/>
      <c r="U43" s="709"/>
      <c r="V43" s="709"/>
      <c r="W43" s="679"/>
      <c r="X43" s="694">
        <v>0</v>
      </c>
      <c r="Y43" s="680">
        <f t="shared" ref="Y43" si="19">C43-X43</f>
        <v>0</v>
      </c>
    </row>
    <row r="44" spans="1:25" s="694" customFormat="1" ht="32.25" hidden="1" customHeight="1">
      <c r="A44" s="283"/>
      <c r="B44" s="284" t="s">
        <v>734</v>
      </c>
      <c r="C44" s="708">
        <f t="shared" si="16"/>
        <v>0</v>
      </c>
      <c r="D44" s="708"/>
      <c r="E44" s="466"/>
      <c r="F44" s="709"/>
      <c r="G44" s="709"/>
      <c r="H44" s="709"/>
      <c r="I44" s="709"/>
      <c r="J44" s="709"/>
      <c r="K44" s="709"/>
      <c r="L44" s="709"/>
      <c r="M44" s="709"/>
      <c r="N44" s="709"/>
      <c r="O44" s="709"/>
      <c r="P44" s="709"/>
      <c r="Q44" s="709"/>
      <c r="R44" s="709"/>
      <c r="S44" s="709"/>
      <c r="T44" s="709"/>
      <c r="U44" s="709"/>
      <c r="V44" s="709"/>
      <c r="W44" s="679"/>
      <c r="X44" s="694">
        <v>0</v>
      </c>
      <c r="Y44" s="680">
        <f t="shared" si="15"/>
        <v>0</v>
      </c>
    </row>
    <row r="45" spans="1:25" s="694" customFormat="1" ht="32.25" hidden="1" customHeight="1">
      <c r="A45" s="283"/>
      <c r="B45" s="284" t="s">
        <v>423</v>
      </c>
      <c r="C45" s="708">
        <f t="shared" si="16"/>
        <v>0</v>
      </c>
      <c r="D45" s="708"/>
      <c r="E45" s="466"/>
      <c r="F45" s="709"/>
      <c r="G45" s="709"/>
      <c r="H45" s="709"/>
      <c r="I45" s="709"/>
      <c r="J45" s="709"/>
      <c r="K45" s="709"/>
      <c r="L45" s="709"/>
      <c r="M45" s="709"/>
      <c r="N45" s="709"/>
      <c r="O45" s="709"/>
      <c r="P45" s="709"/>
      <c r="Q45" s="709"/>
      <c r="R45" s="709"/>
      <c r="S45" s="709"/>
      <c r="T45" s="709"/>
      <c r="U45" s="709"/>
      <c r="V45" s="709"/>
      <c r="W45" s="679"/>
      <c r="X45" s="694">
        <v>0</v>
      </c>
      <c r="Y45" s="680">
        <f t="shared" si="15"/>
        <v>0</v>
      </c>
    </row>
    <row r="46" spans="1:25" s="694" customFormat="1" ht="32.25" hidden="1" customHeight="1">
      <c r="A46" s="286"/>
      <c r="B46" s="287" t="s">
        <v>424</v>
      </c>
      <c r="C46" s="710">
        <f t="shared" ref="C46:C52" si="20">SUM(D46:V46)</f>
        <v>0</v>
      </c>
      <c r="D46" s="710"/>
      <c r="E46" s="466"/>
      <c r="F46" s="711"/>
      <c r="G46" s="711"/>
      <c r="H46" s="711"/>
      <c r="I46" s="711"/>
      <c r="J46" s="711"/>
      <c r="K46" s="711"/>
      <c r="L46" s="711"/>
      <c r="M46" s="711"/>
      <c r="N46" s="711"/>
      <c r="O46" s="711"/>
      <c r="P46" s="711"/>
      <c r="Q46" s="711"/>
      <c r="R46" s="711"/>
      <c r="S46" s="711"/>
      <c r="T46" s="711"/>
      <c r="U46" s="711"/>
      <c r="V46" s="711"/>
      <c r="W46" s="679"/>
      <c r="X46" s="694">
        <v>0</v>
      </c>
      <c r="Y46" s="680">
        <f t="shared" si="15"/>
        <v>0</v>
      </c>
    </row>
    <row r="47" spans="1:25" s="694" customFormat="1" ht="32.25" hidden="1" customHeight="1">
      <c r="A47" s="283"/>
      <c r="B47" s="284" t="s">
        <v>425</v>
      </c>
      <c r="C47" s="708">
        <f t="shared" si="20"/>
        <v>0</v>
      </c>
      <c r="D47" s="708"/>
      <c r="E47" s="466"/>
      <c r="F47" s="709"/>
      <c r="G47" s="709"/>
      <c r="H47" s="709"/>
      <c r="I47" s="709"/>
      <c r="J47" s="709"/>
      <c r="K47" s="709"/>
      <c r="L47" s="709"/>
      <c r="M47" s="709"/>
      <c r="N47" s="709"/>
      <c r="O47" s="709"/>
      <c r="P47" s="709"/>
      <c r="Q47" s="709"/>
      <c r="R47" s="709"/>
      <c r="S47" s="709"/>
      <c r="T47" s="709"/>
      <c r="U47" s="709"/>
      <c r="V47" s="709"/>
      <c r="W47" s="679"/>
      <c r="X47" s="694">
        <v>0</v>
      </c>
      <c r="Y47" s="680">
        <f t="shared" si="15"/>
        <v>0</v>
      </c>
    </row>
    <row r="48" spans="1:25" s="694" customFormat="1" ht="32.25" hidden="1" customHeight="1">
      <c r="A48" s="286"/>
      <c r="B48" s="287" t="s">
        <v>426</v>
      </c>
      <c r="C48" s="710">
        <f t="shared" si="20"/>
        <v>0</v>
      </c>
      <c r="D48" s="710"/>
      <c r="E48" s="466"/>
      <c r="F48" s="711"/>
      <c r="G48" s="711"/>
      <c r="H48" s="711"/>
      <c r="I48" s="711"/>
      <c r="J48" s="711"/>
      <c r="K48" s="711"/>
      <c r="L48" s="711"/>
      <c r="M48" s="711"/>
      <c r="N48" s="711"/>
      <c r="O48" s="711"/>
      <c r="P48" s="711"/>
      <c r="Q48" s="711"/>
      <c r="R48" s="711"/>
      <c r="S48" s="711"/>
      <c r="T48" s="711"/>
      <c r="U48" s="711"/>
      <c r="V48" s="711"/>
      <c r="W48" s="679"/>
      <c r="X48" s="694">
        <v>0</v>
      </c>
      <c r="Y48" s="680">
        <f t="shared" si="15"/>
        <v>0</v>
      </c>
    </row>
    <row r="49" spans="1:25" s="694" customFormat="1" ht="32.25" hidden="1" customHeight="1">
      <c r="A49" s="283"/>
      <c r="B49" s="284" t="s">
        <v>429</v>
      </c>
      <c r="C49" s="708">
        <f>SUM(D49:V49)</f>
        <v>0</v>
      </c>
      <c r="D49" s="708"/>
      <c r="E49" s="466"/>
      <c r="F49" s="709"/>
      <c r="G49" s="709"/>
      <c r="H49" s="709"/>
      <c r="I49" s="709"/>
      <c r="J49" s="709"/>
      <c r="K49" s="709"/>
      <c r="L49" s="709"/>
      <c r="M49" s="709"/>
      <c r="N49" s="709"/>
      <c r="O49" s="709"/>
      <c r="P49" s="709"/>
      <c r="Q49" s="709"/>
      <c r="R49" s="709"/>
      <c r="S49" s="709"/>
      <c r="T49" s="709"/>
      <c r="U49" s="709"/>
      <c r="V49" s="709"/>
      <c r="W49" s="679"/>
      <c r="X49" s="694">
        <v>0</v>
      </c>
      <c r="Y49" s="680">
        <f t="shared" si="15"/>
        <v>0</v>
      </c>
    </row>
    <row r="50" spans="1:25" s="694" customFormat="1" ht="42" customHeight="1">
      <c r="A50" s="283" t="s">
        <v>525</v>
      </c>
      <c r="B50" s="284" t="s">
        <v>147</v>
      </c>
      <c r="C50" s="708">
        <f t="shared" si="20"/>
        <v>0</v>
      </c>
      <c r="D50" s="708"/>
      <c r="E50" s="466"/>
      <c r="F50" s="709"/>
      <c r="G50" s="709"/>
      <c r="H50" s="709"/>
      <c r="I50" s="709"/>
      <c r="J50" s="709"/>
      <c r="K50" s="709"/>
      <c r="L50" s="709"/>
      <c r="M50" s="709"/>
      <c r="N50" s="709"/>
      <c r="O50" s="709"/>
      <c r="P50" s="709"/>
      <c r="Q50" s="709"/>
      <c r="R50" s="709"/>
      <c r="S50" s="709"/>
      <c r="T50" s="709"/>
      <c r="U50" s="709"/>
      <c r="V50" s="709"/>
      <c r="W50" s="679"/>
      <c r="X50" s="694">
        <v>0</v>
      </c>
      <c r="Y50" s="680">
        <f t="shared" si="15"/>
        <v>0</v>
      </c>
    </row>
    <row r="51" spans="1:25" s="694" customFormat="1" ht="32.25" hidden="1" customHeight="1">
      <c r="A51" s="283" t="s">
        <v>451</v>
      </c>
      <c r="B51" s="284" t="s">
        <v>179</v>
      </c>
      <c r="C51" s="708">
        <f t="shared" si="20"/>
        <v>0</v>
      </c>
      <c r="D51" s="708"/>
      <c r="E51" s="466"/>
      <c r="F51" s="709"/>
      <c r="G51" s="709"/>
      <c r="H51" s="709"/>
      <c r="I51" s="709"/>
      <c r="J51" s="709"/>
      <c r="K51" s="709"/>
      <c r="L51" s="709"/>
      <c r="M51" s="709"/>
      <c r="N51" s="709"/>
      <c r="O51" s="709"/>
      <c r="P51" s="709"/>
      <c r="Q51" s="709"/>
      <c r="R51" s="709"/>
      <c r="S51" s="709"/>
      <c r="T51" s="709"/>
      <c r="U51" s="709"/>
      <c r="V51" s="709"/>
      <c r="W51" s="679"/>
      <c r="X51" s="694">
        <v>0</v>
      </c>
      <c r="Y51" s="680">
        <f t="shared" si="15"/>
        <v>0</v>
      </c>
    </row>
    <row r="52" spans="1:25" s="694" customFormat="1" ht="32.25" hidden="1" customHeight="1">
      <c r="A52" s="283"/>
      <c r="B52" s="284" t="s">
        <v>571</v>
      </c>
      <c r="C52" s="708">
        <f t="shared" si="20"/>
        <v>0</v>
      </c>
      <c r="D52" s="708"/>
      <c r="E52" s="466"/>
      <c r="F52" s="709"/>
      <c r="G52" s="709"/>
      <c r="H52" s="709"/>
      <c r="I52" s="709"/>
      <c r="J52" s="709"/>
      <c r="K52" s="709"/>
      <c r="L52" s="709"/>
      <c r="M52" s="709"/>
      <c r="N52" s="709"/>
      <c r="O52" s="709"/>
      <c r="P52" s="709"/>
      <c r="Q52" s="709"/>
      <c r="R52" s="709"/>
      <c r="S52" s="709"/>
      <c r="T52" s="709"/>
      <c r="U52" s="709"/>
      <c r="V52" s="709"/>
      <c r="W52" s="679"/>
      <c r="X52" s="694">
        <v>0</v>
      </c>
      <c r="Y52" s="680">
        <f t="shared" si="15"/>
        <v>0</v>
      </c>
    </row>
    <row r="53" spans="1:25" s="694" customFormat="1" ht="32.25" hidden="1" customHeight="1">
      <c r="A53" s="283"/>
      <c r="B53" s="284" t="s">
        <v>450</v>
      </c>
      <c r="C53" s="708">
        <f>C54</f>
        <v>0</v>
      </c>
      <c r="D53" s="708"/>
      <c r="E53" s="466"/>
      <c r="F53" s="709"/>
      <c r="G53" s="709"/>
      <c r="H53" s="709"/>
      <c r="I53" s="709"/>
      <c r="J53" s="709"/>
      <c r="K53" s="709"/>
      <c r="L53" s="709"/>
      <c r="M53" s="709"/>
      <c r="N53" s="709"/>
      <c r="O53" s="709"/>
      <c r="P53" s="709"/>
      <c r="Q53" s="709"/>
      <c r="R53" s="709"/>
      <c r="S53" s="709"/>
      <c r="T53" s="709"/>
      <c r="U53" s="709"/>
      <c r="V53" s="709"/>
      <c r="W53" s="679"/>
      <c r="X53" s="694">
        <v>0</v>
      </c>
      <c r="Y53" s="680">
        <f t="shared" si="15"/>
        <v>0</v>
      </c>
    </row>
    <row r="54" spans="1:25" s="694" customFormat="1" ht="32.25" hidden="1" customHeight="1">
      <c r="A54" s="286"/>
      <c r="B54" s="287" t="s">
        <v>735</v>
      </c>
      <c r="C54" s="710">
        <f t="shared" ref="C54:C61" si="21">SUM(D54:V54)</f>
        <v>0</v>
      </c>
      <c r="D54" s="710"/>
      <c r="E54" s="466"/>
      <c r="F54" s="711"/>
      <c r="G54" s="711"/>
      <c r="H54" s="711"/>
      <c r="I54" s="711"/>
      <c r="J54" s="711"/>
      <c r="K54" s="711"/>
      <c r="L54" s="711"/>
      <c r="M54" s="711"/>
      <c r="N54" s="711"/>
      <c r="O54" s="711"/>
      <c r="P54" s="711"/>
      <c r="Q54" s="711"/>
      <c r="R54" s="711"/>
      <c r="S54" s="711"/>
      <c r="T54" s="711"/>
      <c r="U54" s="711"/>
      <c r="V54" s="711"/>
      <c r="W54" s="679"/>
      <c r="X54" s="694">
        <v>0</v>
      </c>
      <c r="Y54" s="680">
        <f t="shared" si="15"/>
        <v>0</v>
      </c>
    </row>
    <row r="55" spans="1:25" s="694" customFormat="1" ht="39" customHeight="1">
      <c r="A55" s="283" t="s">
        <v>736</v>
      </c>
      <c r="B55" s="284" t="s">
        <v>800</v>
      </c>
      <c r="C55" s="708">
        <f t="shared" si="21"/>
        <v>2080</v>
      </c>
      <c r="D55" s="708">
        <f>+D56</f>
        <v>110</v>
      </c>
      <c r="E55" s="708">
        <f t="shared" ref="E55:V55" si="22">+E56</f>
        <v>10</v>
      </c>
      <c r="F55" s="708">
        <f t="shared" si="22"/>
        <v>410</v>
      </c>
      <c r="G55" s="708">
        <f t="shared" si="22"/>
        <v>110</v>
      </c>
      <c r="H55" s="708">
        <f t="shared" si="22"/>
        <v>310</v>
      </c>
      <c r="I55" s="708">
        <f t="shared" si="22"/>
        <v>0</v>
      </c>
      <c r="J55" s="708">
        <f t="shared" si="22"/>
        <v>310</v>
      </c>
      <c r="K55" s="708">
        <f t="shared" si="22"/>
        <v>10</v>
      </c>
      <c r="L55" s="708">
        <f t="shared" si="22"/>
        <v>310</v>
      </c>
      <c r="M55" s="708">
        <f t="shared" si="22"/>
        <v>10</v>
      </c>
      <c r="N55" s="708">
        <f t="shared" si="22"/>
        <v>10</v>
      </c>
      <c r="O55" s="708">
        <f t="shared" si="22"/>
        <v>10</v>
      </c>
      <c r="P55" s="708">
        <f t="shared" si="22"/>
        <v>10</v>
      </c>
      <c r="Q55" s="708">
        <f t="shared" si="22"/>
        <v>310</v>
      </c>
      <c r="R55" s="708">
        <f t="shared" si="22"/>
        <v>10</v>
      </c>
      <c r="S55" s="708">
        <f t="shared" si="22"/>
        <v>10</v>
      </c>
      <c r="T55" s="708">
        <f t="shared" si="22"/>
        <v>10</v>
      </c>
      <c r="U55" s="708">
        <f t="shared" si="22"/>
        <v>110</v>
      </c>
      <c r="V55" s="708">
        <f t="shared" si="22"/>
        <v>10</v>
      </c>
      <c r="W55" s="679"/>
      <c r="X55" s="694">
        <v>0</v>
      </c>
      <c r="Y55" s="680">
        <f t="shared" si="15"/>
        <v>2080</v>
      </c>
    </row>
    <row r="56" spans="1:25" s="685" customFormat="1" ht="32.25" customHeight="1">
      <c r="A56" s="283" t="s">
        <v>451</v>
      </c>
      <c r="B56" s="284" t="s">
        <v>179</v>
      </c>
      <c r="C56" s="708">
        <f>SUM(D56:V56)</f>
        <v>2080</v>
      </c>
      <c r="D56" s="708">
        <f>+D57+D61+D59</f>
        <v>110</v>
      </c>
      <c r="E56" s="708">
        <f t="shared" ref="E56:V56" si="23">+E57+E61+E59</f>
        <v>10</v>
      </c>
      <c r="F56" s="708">
        <f t="shared" si="23"/>
        <v>410</v>
      </c>
      <c r="G56" s="708">
        <f t="shared" si="23"/>
        <v>110</v>
      </c>
      <c r="H56" s="708">
        <f t="shared" si="23"/>
        <v>310</v>
      </c>
      <c r="I56" s="708">
        <f t="shared" si="23"/>
        <v>0</v>
      </c>
      <c r="J56" s="708">
        <f t="shared" si="23"/>
        <v>310</v>
      </c>
      <c r="K56" s="708">
        <f t="shared" si="23"/>
        <v>10</v>
      </c>
      <c r="L56" s="708">
        <f t="shared" si="23"/>
        <v>310</v>
      </c>
      <c r="M56" s="708">
        <f t="shared" si="23"/>
        <v>10</v>
      </c>
      <c r="N56" s="708">
        <f t="shared" si="23"/>
        <v>10</v>
      </c>
      <c r="O56" s="708">
        <f t="shared" si="23"/>
        <v>10</v>
      </c>
      <c r="P56" s="708">
        <f t="shared" si="23"/>
        <v>10</v>
      </c>
      <c r="Q56" s="708">
        <f t="shared" si="23"/>
        <v>310</v>
      </c>
      <c r="R56" s="708">
        <f t="shared" si="23"/>
        <v>10</v>
      </c>
      <c r="S56" s="708">
        <f t="shared" si="23"/>
        <v>10</v>
      </c>
      <c r="T56" s="708">
        <f t="shared" si="23"/>
        <v>10</v>
      </c>
      <c r="U56" s="708">
        <f t="shared" si="23"/>
        <v>110</v>
      </c>
      <c r="V56" s="708">
        <f t="shared" si="23"/>
        <v>10</v>
      </c>
      <c r="W56" s="679"/>
      <c r="X56" s="685">
        <v>0</v>
      </c>
      <c r="Y56" s="680">
        <f t="shared" si="15"/>
        <v>2080</v>
      </c>
    </row>
    <row r="57" spans="1:25" s="685" customFormat="1" ht="33" customHeight="1">
      <c r="A57" s="283"/>
      <c r="B57" s="290" t="s">
        <v>537</v>
      </c>
      <c r="C57" s="708">
        <f t="shared" si="21"/>
        <v>1500</v>
      </c>
      <c r="D57" s="708">
        <f>+D58</f>
        <v>0</v>
      </c>
      <c r="E57" s="708">
        <f t="shared" ref="E57:V57" si="24">+E58</f>
        <v>0</v>
      </c>
      <c r="F57" s="708">
        <f t="shared" si="24"/>
        <v>300</v>
      </c>
      <c r="G57" s="708">
        <f t="shared" si="24"/>
        <v>0</v>
      </c>
      <c r="H57" s="708">
        <f t="shared" si="24"/>
        <v>300</v>
      </c>
      <c r="I57" s="708">
        <f t="shared" si="24"/>
        <v>0</v>
      </c>
      <c r="J57" s="708">
        <f t="shared" si="24"/>
        <v>300</v>
      </c>
      <c r="K57" s="708">
        <f t="shared" si="24"/>
        <v>0</v>
      </c>
      <c r="L57" s="708">
        <f t="shared" si="24"/>
        <v>300</v>
      </c>
      <c r="M57" s="708">
        <f t="shared" si="24"/>
        <v>0</v>
      </c>
      <c r="N57" s="708">
        <f t="shared" si="24"/>
        <v>0</v>
      </c>
      <c r="O57" s="708">
        <f t="shared" si="24"/>
        <v>0</v>
      </c>
      <c r="P57" s="708">
        <f t="shared" si="24"/>
        <v>0</v>
      </c>
      <c r="Q57" s="708">
        <f t="shared" si="24"/>
        <v>300</v>
      </c>
      <c r="R57" s="708">
        <f t="shared" si="24"/>
        <v>0</v>
      </c>
      <c r="S57" s="708">
        <f t="shared" si="24"/>
        <v>0</v>
      </c>
      <c r="T57" s="708">
        <f t="shared" si="24"/>
        <v>0</v>
      </c>
      <c r="U57" s="708">
        <f t="shared" si="24"/>
        <v>0</v>
      </c>
      <c r="V57" s="708">
        <f t="shared" si="24"/>
        <v>0</v>
      </c>
      <c r="W57" s="679"/>
      <c r="X57" s="685">
        <v>0</v>
      </c>
      <c r="Y57" s="680">
        <f t="shared" si="15"/>
        <v>1500</v>
      </c>
    </row>
    <row r="58" spans="1:25" s="694" customFormat="1" ht="146.25" customHeight="1">
      <c r="A58" s="286"/>
      <c r="B58" s="280" t="s">
        <v>538</v>
      </c>
      <c r="C58" s="710">
        <f t="shared" si="21"/>
        <v>1500</v>
      </c>
      <c r="D58" s="710"/>
      <c r="E58" s="466"/>
      <c r="F58" s="711">
        <v>300</v>
      </c>
      <c r="G58" s="711"/>
      <c r="H58" s="711">
        <v>300</v>
      </c>
      <c r="I58" s="711"/>
      <c r="J58" s="711">
        <v>300</v>
      </c>
      <c r="K58" s="711"/>
      <c r="L58" s="711">
        <v>300</v>
      </c>
      <c r="M58" s="711"/>
      <c r="N58" s="711"/>
      <c r="O58" s="711"/>
      <c r="P58" s="711"/>
      <c r="Q58" s="711">
        <v>300</v>
      </c>
      <c r="R58" s="711"/>
      <c r="S58" s="711"/>
      <c r="T58" s="711"/>
      <c r="U58" s="711"/>
      <c r="V58" s="711"/>
      <c r="W58" s="679"/>
      <c r="X58" s="694">
        <v>0</v>
      </c>
      <c r="Y58" s="680">
        <f t="shared" si="15"/>
        <v>1500</v>
      </c>
    </row>
    <row r="59" spans="1:25" s="685" customFormat="1" ht="33" customHeight="1">
      <c r="A59" s="283"/>
      <c r="B59" s="290" t="s">
        <v>542</v>
      </c>
      <c r="C59" s="708">
        <f t="shared" ref="C59" si="25">SUM(D59:V59)</f>
        <v>400</v>
      </c>
      <c r="D59" s="708">
        <f>+D60</f>
        <v>100</v>
      </c>
      <c r="E59" s="708">
        <f t="shared" ref="E59" si="26">+E60</f>
        <v>0</v>
      </c>
      <c r="F59" s="708">
        <f t="shared" ref="F59" si="27">+F60</f>
        <v>100</v>
      </c>
      <c r="G59" s="708">
        <f t="shared" ref="G59" si="28">+G60</f>
        <v>100</v>
      </c>
      <c r="H59" s="708">
        <f t="shared" ref="H59" si="29">+H60</f>
        <v>0</v>
      </c>
      <c r="I59" s="708">
        <f t="shared" ref="I59" si="30">+I60</f>
        <v>0</v>
      </c>
      <c r="J59" s="708">
        <f t="shared" ref="J59" si="31">+J60</f>
        <v>0</v>
      </c>
      <c r="K59" s="708">
        <f t="shared" ref="K59" si="32">+K60</f>
        <v>0</v>
      </c>
      <c r="L59" s="708">
        <f t="shared" ref="L59" si="33">+L60</f>
        <v>0</v>
      </c>
      <c r="M59" s="708">
        <f t="shared" ref="M59" si="34">+M60</f>
        <v>0</v>
      </c>
      <c r="N59" s="708">
        <f t="shared" ref="N59" si="35">+N60</f>
        <v>0</v>
      </c>
      <c r="O59" s="708">
        <f t="shared" ref="O59" si="36">+O60</f>
        <v>0</v>
      </c>
      <c r="P59" s="708">
        <f t="shared" ref="P59" si="37">+P60</f>
        <v>0</v>
      </c>
      <c r="Q59" s="708">
        <f t="shared" ref="Q59" si="38">+Q60</f>
        <v>0</v>
      </c>
      <c r="R59" s="708">
        <f t="shared" ref="R59" si="39">+R60</f>
        <v>0</v>
      </c>
      <c r="S59" s="708">
        <f t="shared" ref="S59" si="40">+S60</f>
        <v>0</v>
      </c>
      <c r="T59" s="708">
        <f t="shared" ref="T59" si="41">+T60</f>
        <v>0</v>
      </c>
      <c r="U59" s="708">
        <f t="shared" ref="U59" si="42">+U60</f>
        <v>100</v>
      </c>
      <c r="V59" s="708">
        <f t="shared" ref="V59" si="43">+V60</f>
        <v>0</v>
      </c>
      <c r="W59" s="679"/>
      <c r="Y59" s="680"/>
    </row>
    <row r="60" spans="1:25" s="694" customFormat="1" ht="85.5" customHeight="1">
      <c r="A60" s="286"/>
      <c r="B60" s="280" t="s">
        <v>543</v>
      </c>
      <c r="C60" s="710">
        <f>SUM(D60:V60)</f>
        <v>400</v>
      </c>
      <c r="D60" s="710">
        <v>100</v>
      </c>
      <c r="E60" s="710"/>
      <c r="F60" s="710">
        <v>100</v>
      </c>
      <c r="G60" s="710">
        <v>100</v>
      </c>
      <c r="H60" s="710"/>
      <c r="I60" s="710"/>
      <c r="J60" s="710"/>
      <c r="K60" s="710"/>
      <c r="L60" s="710"/>
      <c r="M60" s="710"/>
      <c r="N60" s="710"/>
      <c r="O60" s="710"/>
      <c r="P60" s="710"/>
      <c r="Q60" s="710"/>
      <c r="R60" s="710"/>
      <c r="S60" s="710"/>
      <c r="T60" s="710"/>
      <c r="U60" s="710">
        <v>100</v>
      </c>
      <c r="V60" s="710"/>
      <c r="W60" s="679"/>
      <c r="Y60" s="680"/>
    </row>
    <row r="61" spans="1:25" s="685" customFormat="1" ht="33" customHeight="1">
      <c r="A61" s="283"/>
      <c r="B61" s="290" t="s">
        <v>544</v>
      </c>
      <c r="C61" s="708">
        <f t="shared" si="21"/>
        <v>180</v>
      </c>
      <c r="D61" s="708">
        <f>+D62</f>
        <v>10</v>
      </c>
      <c r="E61" s="708">
        <f t="shared" ref="E61:V61" si="44">+E62</f>
        <v>10</v>
      </c>
      <c r="F61" s="708">
        <f t="shared" si="44"/>
        <v>10</v>
      </c>
      <c r="G61" s="708">
        <f t="shared" si="44"/>
        <v>10</v>
      </c>
      <c r="H61" s="708">
        <f t="shared" si="44"/>
        <v>10</v>
      </c>
      <c r="I61" s="708">
        <f t="shared" si="44"/>
        <v>0</v>
      </c>
      <c r="J61" s="708">
        <f t="shared" si="44"/>
        <v>10</v>
      </c>
      <c r="K61" s="708">
        <f t="shared" si="44"/>
        <v>10</v>
      </c>
      <c r="L61" s="708">
        <f t="shared" si="44"/>
        <v>10</v>
      </c>
      <c r="M61" s="708">
        <f t="shared" si="44"/>
        <v>10</v>
      </c>
      <c r="N61" s="708">
        <f t="shared" si="44"/>
        <v>10</v>
      </c>
      <c r="O61" s="708">
        <f t="shared" si="44"/>
        <v>10</v>
      </c>
      <c r="P61" s="708">
        <f t="shared" si="44"/>
        <v>10</v>
      </c>
      <c r="Q61" s="708">
        <f t="shared" si="44"/>
        <v>10</v>
      </c>
      <c r="R61" s="708">
        <f t="shared" si="44"/>
        <v>10</v>
      </c>
      <c r="S61" s="708">
        <f t="shared" si="44"/>
        <v>10</v>
      </c>
      <c r="T61" s="708">
        <f t="shared" si="44"/>
        <v>10</v>
      </c>
      <c r="U61" s="708">
        <f t="shared" si="44"/>
        <v>10</v>
      </c>
      <c r="V61" s="708">
        <f t="shared" si="44"/>
        <v>10</v>
      </c>
      <c r="W61" s="679"/>
      <c r="Y61" s="680"/>
    </row>
    <row r="62" spans="1:25" s="694" customFormat="1" ht="146.25" customHeight="1">
      <c r="A62" s="286"/>
      <c r="B62" s="280" t="s">
        <v>545</v>
      </c>
      <c r="C62" s="710">
        <f>SUM(D62:V62)</f>
        <v>180</v>
      </c>
      <c r="D62" s="710">
        <v>10</v>
      </c>
      <c r="E62" s="710">
        <v>10</v>
      </c>
      <c r="F62" s="710">
        <v>10</v>
      </c>
      <c r="G62" s="710">
        <v>10</v>
      </c>
      <c r="H62" s="710">
        <v>10</v>
      </c>
      <c r="I62" s="710"/>
      <c r="J62" s="710">
        <v>10</v>
      </c>
      <c r="K62" s="710">
        <v>10</v>
      </c>
      <c r="L62" s="710">
        <v>10</v>
      </c>
      <c r="M62" s="710">
        <v>10</v>
      </c>
      <c r="N62" s="710">
        <v>10</v>
      </c>
      <c r="O62" s="710">
        <v>10</v>
      </c>
      <c r="P62" s="710">
        <v>10</v>
      </c>
      <c r="Q62" s="710">
        <v>10</v>
      </c>
      <c r="R62" s="710">
        <v>10</v>
      </c>
      <c r="S62" s="710">
        <v>10</v>
      </c>
      <c r="T62" s="710">
        <v>10</v>
      </c>
      <c r="U62" s="710">
        <v>10</v>
      </c>
      <c r="V62" s="710">
        <v>10</v>
      </c>
      <c r="W62" s="679"/>
      <c r="X62" s="694">
        <v>0</v>
      </c>
      <c r="Y62" s="680">
        <f>C62-X62</f>
        <v>180</v>
      </c>
    </row>
    <row r="63" spans="1:25" s="685" customFormat="1" ht="32.25" customHeight="1">
      <c r="A63" s="675">
        <v>2</v>
      </c>
      <c r="B63" s="681" t="s">
        <v>546</v>
      </c>
      <c r="C63" s="682">
        <f>C64</f>
        <v>0</v>
      </c>
      <c r="D63" s="682">
        <f>D64</f>
        <v>0</v>
      </c>
      <c r="E63" s="466">
        <f t="shared" ref="E63:V64" si="45">E64</f>
        <v>0</v>
      </c>
      <c r="F63" s="466">
        <f t="shared" si="45"/>
        <v>0</v>
      </c>
      <c r="G63" s="466">
        <f t="shared" si="45"/>
        <v>0</v>
      </c>
      <c r="H63" s="466">
        <f t="shared" si="45"/>
        <v>0</v>
      </c>
      <c r="I63" s="466">
        <f t="shared" si="45"/>
        <v>0</v>
      </c>
      <c r="J63" s="466">
        <f t="shared" si="45"/>
        <v>0</v>
      </c>
      <c r="K63" s="466">
        <f t="shared" si="45"/>
        <v>0</v>
      </c>
      <c r="L63" s="466">
        <f t="shared" si="45"/>
        <v>0</v>
      </c>
      <c r="M63" s="466">
        <f t="shared" si="45"/>
        <v>0</v>
      </c>
      <c r="N63" s="466">
        <f t="shared" si="45"/>
        <v>0</v>
      </c>
      <c r="O63" s="466">
        <f t="shared" si="45"/>
        <v>0</v>
      </c>
      <c r="P63" s="466">
        <f t="shared" si="45"/>
        <v>0</v>
      </c>
      <c r="Q63" s="466">
        <f t="shared" si="45"/>
        <v>0</v>
      </c>
      <c r="R63" s="466">
        <f t="shared" si="45"/>
        <v>0</v>
      </c>
      <c r="S63" s="466">
        <f t="shared" si="45"/>
        <v>0</v>
      </c>
      <c r="T63" s="466">
        <f t="shared" si="45"/>
        <v>0</v>
      </c>
      <c r="U63" s="466">
        <f t="shared" si="45"/>
        <v>0</v>
      </c>
      <c r="V63" s="466">
        <f t="shared" si="45"/>
        <v>0</v>
      </c>
      <c r="W63" s="679"/>
      <c r="X63" s="685">
        <v>2232</v>
      </c>
      <c r="Y63" s="680">
        <f>C63-X63</f>
        <v>-2232</v>
      </c>
    </row>
    <row r="64" spans="1:25" s="680" customFormat="1" ht="44.25" customHeight="1">
      <c r="A64" s="686" t="s">
        <v>528</v>
      </c>
      <c r="B64" s="697" t="s">
        <v>283</v>
      </c>
      <c r="C64" s="698">
        <f>SUM(D64:V64)</f>
        <v>0</v>
      </c>
      <c r="D64" s="698">
        <f>D65</f>
        <v>0</v>
      </c>
      <c r="E64" s="689">
        <f t="shared" si="45"/>
        <v>0</v>
      </c>
      <c r="F64" s="689">
        <f t="shared" si="45"/>
        <v>0</v>
      </c>
      <c r="G64" s="689">
        <f t="shared" si="45"/>
        <v>0</v>
      </c>
      <c r="H64" s="689">
        <f t="shared" si="45"/>
        <v>0</v>
      </c>
      <c r="I64" s="689">
        <f t="shared" si="45"/>
        <v>0</v>
      </c>
      <c r="J64" s="689">
        <f t="shared" si="45"/>
        <v>0</v>
      </c>
      <c r="K64" s="689">
        <f t="shared" si="45"/>
        <v>0</v>
      </c>
      <c r="L64" s="689">
        <f t="shared" si="45"/>
        <v>0</v>
      </c>
      <c r="M64" s="689">
        <f t="shared" si="45"/>
        <v>0</v>
      </c>
      <c r="N64" s="689">
        <f t="shared" si="45"/>
        <v>0</v>
      </c>
      <c r="O64" s="689">
        <f t="shared" si="45"/>
        <v>0</v>
      </c>
      <c r="P64" s="689">
        <f t="shared" si="45"/>
        <v>0</v>
      </c>
      <c r="Q64" s="689">
        <f t="shared" si="45"/>
        <v>0</v>
      </c>
      <c r="R64" s="689">
        <f t="shared" si="45"/>
        <v>0</v>
      </c>
      <c r="S64" s="689">
        <f t="shared" si="45"/>
        <v>0</v>
      </c>
      <c r="T64" s="689">
        <f t="shared" si="45"/>
        <v>0</v>
      </c>
      <c r="U64" s="689">
        <f t="shared" si="45"/>
        <v>0</v>
      </c>
      <c r="V64" s="689">
        <f t="shared" si="45"/>
        <v>0</v>
      </c>
      <c r="W64" s="679"/>
      <c r="X64" s="680">
        <v>2232</v>
      </c>
      <c r="Y64" s="680">
        <f>C64-X64</f>
        <v>-2232</v>
      </c>
    </row>
    <row r="65" spans="1:25" s="680" customFormat="1" ht="29.25" customHeight="1">
      <c r="A65" s="701"/>
      <c r="B65" s="697" t="s">
        <v>547</v>
      </c>
      <c r="C65" s="698">
        <f>SUM(D65:V65)</f>
        <v>0</v>
      </c>
      <c r="D65" s="698"/>
      <c r="E65" s="689"/>
      <c r="F65" s="689"/>
      <c r="G65" s="689"/>
      <c r="H65" s="689"/>
      <c r="I65" s="689"/>
      <c r="J65" s="689"/>
      <c r="K65" s="689"/>
      <c r="L65" s="689"/>
      <c r="M65" s="689"/>
      <c r="N65" s="689"/>
      <c r="O65" s="689"/>
      <c r="P65" s="689"/>
      <c r="Q65" s="689"/>
      <c r="R65" s="689"/>
      <c r="S65" s="689"/>
      <c r="T65" s="689"/>
      <c r="U65" s="689"/>
      <c r="V65" s="689"/>
      <c r="W65" s="679"/>
      <c r="X65" s="680">
        <v>2232</v>
      </c>
      <c r="Y65" s="680">
        <f>C65-X65</f>
        <v>-2232</v>
      </c>
    </row>
    <row r="66" spans="1:25" s="713" customFormat="1">
      <c r="A66" s="712"/>
      <c r="C66" s="714"/>
      <c r="D66" s="714"/>
      <c r="E66" s="714"/>
      <c r="F66" s="714"/>
      <c r="G66" s="714"/>
      <c r="H66" s="714"/>
      <c r="I66" s="714"/>
      <c r="J66" s="714"/>
      <c r="K66" s="714"/>
      <c r="L66" s="714"/>
      <c r="M66" s="714"/>
      <c r="N66" s="714"/>
      <c r="O66" s="714"/>
      <c r="P66" s="714"/>
      <c r="Q66" s="714"/>
      <c r="R66" s="714"/>
      <c r="S66" s="714"/>
      <c r="T66" s="714"/>
      <c r="U66" s="714"/>
      <c r="V66" s="714"/>
      <c r="W66" s="679"/>
    </row>
    <row r="67" spans="1:25" s="713" customFormat="1">
      <c r="A67" s="712"/>
      <c r="C67" s="714"/>
      <c r="D67" s="714"/>
      <c r="E67" s="714"/>
      <c r="F67" s="714"/>
      <c r="G67" s="714"/>
      <c r="H67" s="714"/>
      <c r="I67" s="714"/>
      <c r="J67" s="714"/>
      <c r="K67" s="714"/>
      <c r="L67" s="714"/>
      <c r="M67" s="714"/>
      <c r="N67" s="714"/>
      <c r="O67" s="714"/>
      <c r="P67" s="714"/>
      <c r="Q67" s="714"/>
      <c r="R67" s="714"/>
      <c r="S67" s="714"/>
      <c r="T67" s="714"/>
      <c r="U67" s="714"/>
      <c r="V67" s="714"/>
      <c r="W67" s="679"/>
    </row>
    <row r="68" spans="1:25" s="716" customFormat="1" ht="19.5" hidden="1" customHeight="1">
      <c r="A68" s="715"/>
      <c r="C68" s="717">
        <f>C37-C36</f>
        <v>-10.571428571428442</v>
      </c>
      <c r="D68" s="717">
        <f>D37-D36</f>
        <v>-0.40816326530611491</v>
      </c>
      <c r="E68" s="717">
        <f t="shared" ref="E68:V68" si="46">E37-E36</f>
        <v>-0.65306122448978954</v>
      </c>
      <c r="F68" s="717">
        <f t="shared" si="46"/>
        <v>-0.61224489795918657</v>
      </c>
      <c r="G68" s="717">
        <f t="shared" si="46"/>
        <v>-0.22448979591837315</v>
      </c>
      <c r="H68" s="717">
        <f t="shared" si="46"/>
        <v>-2.0408163265301482E-2</v>
      </c>
      <c r="I68" s="717">
        <f t="shared" si="46"/>
        <v>-0.97959183673469852</v>
      </c>
      <c r="J68" s="717">
        <f t="shared" si="46"/>
        <v>-0.22448979591837315</v>
      </c>
      <c r="K68" s="717">
        <f t="shared" si="46"/>
        <v>-8.163265306123435E-2</v>
      </c>
      <c r="L68" s="717">
        <f t="shared" si="46"/>
        <v>-0.81632653061225824</v>
      </c>
      <c r="M68" s="717">
        <f t="shared" si="46"/>
        <v>-0.93877551020409555</v>
      </c>
      <c r="N68" s="717">
        <f t="shared" si="46"/>
        <v>-0.48979591836734926</v>
      </c>
      <c r="O68" s="717">
        <f t="shared" si="46"/>
        <v>-0.93877551020408134</v>
      </c>
      <c r="P68" s="717">
        <f t="shared" si="46"/>
        <v>-0.59183673469388509</v>
      </c>
      <c r="Q68" s="717">
        <f t="shared" si="46"/>
        <v>-0.97959183673469852</v>
      </c>
      <c r="R68" s="717">
        <f t="shared" si="46"/>
        <v>-0.51020408163265074</v>
      </c>
      <c r="S68" s="717">
        <f t="shared" si="46"/>
        <v>-2.0408163265301482E-2</v>
      </c>
      <c r="T68" s="717">
        <f t="shared" si="46"/>
        <v>-0.67346938775509102</v>
      </c>
      <c r="U68" s="717">
        <f t="shared" si="46"/>
        <v>-0.63265306122448806</v>
      </c>
      <c r="V68" s="717">
        <f t="shared" si="46"/>
        <v>-0.77551020408162685</v>
      </c>
      <c r="W68" s="706" t="s">
        <v>798</v>
      </c>
    </row>
  </sheetData>
  <mergeCells count="3">
    <mergeCell ref="A3:V3"/>
    <mergeCell ref="A2:V2"/>
    <mergeCell ref="U1:V1"/>
  </mergeCells>
  <pageMargins left="0.27559055118110237" right="0.2" top="0.44" bottom="0.53" header="0.31496062992125984" footer="0.31496062992125984"/>
  <pageSetup paperSize="9" scale="55"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0"/>
  <sheetViews>
    <sheetView view="pageBreakPreview" topLeftCell="A10" zoomScaleNormal="90" zoomScaleSheetLayoutView="100" workbookViewId="0">
      <selection activeCell="H22" sqref="H22"/>
    </sheetView>
  </sheetViews>
  <sheetFormatPr defaultRowHeight="15.75"/>
  <cols>
    <col min="1" max="1" width="4.6640625" style="79" customWidth="1"/>
    <col min="2" max="2" width="95.44140625" style="79" customWidth="1"/>
    <col min="3" max="6" width="15.88671875" style="436" hidden="1" customWidth="1"/>
    <col min="7" max="7" width="4.44140625" style="436" hidden="1" customWidth="1"/>
    <col min="8" max="10" width="12.88671875" style="79" customWidth="1"/>
    <col min="11" max="11" width="12.44140625" style="79" hidden="1" customWidth="1"/>
    <col min="12" max="12" width="12.44140625" style="79" bestFit="1" customWidth="1"/>
    <col min="13" max="260" width="9" style="79"/>
    <col min="261" max="261" width="5.109375" style="79" customWidth="1"/>
    <col min="262" max="262" width="29.21875" style="79" customWidth="1"/>
    <col min="263" max="263" width="11.33203125" style="79" customWidth="1"/>
    <col min="264" max="264" width="12.33203125" style="79" bestFit="1" customWidth="1"/>
    <col min="265" max="265" width="10" style="79" customWidth="1"/>
    <col min="266" max="266" width="11.33203125" style="79" bestFit="1" customWidth="1"/>
    <col min="267" max="516" width="9" style="79"/>
    <col min="517" max="517" width="5.109375" style="79" customWidth="1"/>
    <col min="518" max="518" width="29.21875" style="79" customWidth="1"/>
    <col min="519" max="519" width="11.33203125" style="79" customWidth="1"/>
    <col min="520" max="520" width="12.33203125" style="79" bestFit="1" customWidth="1"/>
    <col min="521" max="521" width="10" style="79" customWidth="1"/>
    <col min="522" max="522" width="11.33203125" style="79" bestFit="1" customWidth="1"/>
    <col min="523" max="772" width="9" style="79"/>
    <col min="773" max="773" width="5.109375" style="79" customWidth="1"/>
    <col min="774" max="774" width="29.21875" style="79" customWidth="1"/>
    <col min="775" max="775" width="11.33203125" style="79" customWidth="1"/>
    <col min="776" max="776" width="12.33203125" style="79" bestFit="1" customWidth="1"/>
    <col min="777" max="777" width="10" style="79" customWidth="1"/>
    <col min="778" max="778" width="11.33203125" style="79" bestFit="1" customWidth="1"/>
    <col min="779" max="1028" width="9" style="79"/>
    <col min="1029" max="1029" width="5.109375" style="79" customWidth="1"/>
    <col min="1030" max="1030" width="29.21875" style="79" customWidth="1"/>
    <col min="1031" max="1031" width="11.33203125" style="79" customWidth="1"/>
    <col min="1032" max="1032" width="12.33203125" style="79" bestFit="1" customWidth="1"/>
    <col min="1033" max="1033" width="10" style="79" customWidth="1"/>
    <col min="1034" max="1034" width="11.33203125" style="79" bestFit="1" customWidth="1"/>
    <col min="1035" max="1284" width="9" style="79"/>
    <col min="1285" max="1285" width="5.109375" style="79" customWidth="1"/>
    <col min="1286" max="1286" width="29.21875" style="79" customWidth="1"/>
    <col min="1287" max="1287" width="11.33203125" style="79" customWidth="1"/>
    <col min="1288" max="1288" width="12.33203125" style="79" bestFit="1" customWidth="1"/>
    <col min="1289" max="1289" width="10" style="79" customWidth="1"/>
    <col min="1290" max="1290" width="11.33203125" style="79" bestFit="1" customWidth="1"/>
    <col min="1291" max="1540" width="9" style="79"/>
    <col min="1541" max="1541" width="5.109375" style="79" customWidth="1"/>
    <col min="1542" max="1542" width="29.21875" style="79" customWidth="1"/>
    <col min="1543" max="1543" width="11.33203125" style="79" customWidth="1"/>
    <col min="1544" max="1544" width="12.33203125" style="79" bestFit="1" customWidth="1"/>
    <col min="1545" max="1545" width="10" style="79" customWidth="1"/>
    <col min="1546" max="1546" width="11.33203125" style="79" bestFit="1" customWidth="1"/>
    <col min="1547" max="1796" width="9" style="79"/>
    <col min="1797" max="1797" width="5.109375" style="79" customWidth="1"/>
    <col min="1798" max="1798" width="29.21875" style="79" customWidth="1"/>
    <col min="1799" max="1799" width="11.33203125" style="79" customWidth="1"/>
    <col min="1800" max="1800" width="12.33203125" style="79" bestFit="1" customWidth="1"/>
    <col min="1801" max="1801" width="10" style="79" customWidth="1"/>
    <col min="1802" max="1802" width="11.33203125" style="79" bestFit="1" customWidth="1"/>
    <col min="1803" max="2052" width="9" style="79"/>
    <col min="2053" max="2053" width="5.109375" style="79" customWidth="1"/>
    <col min="2054" max="2054" width="29.21875" style="79" customWidth="1"/>
    <col min="2055" max="2055" width="11.33203125" style="79" customWidth="1"/>
    <col min="2056" max="2056" width="12.33203125" style="79" bestFit="1" customWidth="1"/>
    <col min="2057" max="2057" width="10" style="79" customWidth="1"/>
    <col min="2058" max="2058" width="11.33203125" style="79" bestFit="1" customWidth="1"/>
    <col min="2059" max="2308" width="9" style="79"/>
    <col min="2309" max="2309" width="5.109375" style="79" customWidth="1"/>
    <col min="2310" max="2310" width="29.21875" style="79" customWidth="1"/>
    <col min="2311" max="2311" width="11.33203125" style="79" customWidth="1"/>
    <col min="2312" max="2312" width="12.33203125" style="79" bestFit="1" customWidth="1"/>
    <col min="2313" max="2313" width="10" style="79" customWidth="1"/>
    <col min="2314" max="2314" width="11.33203125" style="79" bestFit="1" customWidth="1"/>
    <col min="2315" max="2564" width="9" style="79"/>
    <col min="2565" max="2565" width="5.109375" style="79" customWidth="1"/>
    <col min="2566" max="2566" width="29.21875" style="79" customWidth="1"/>
    <col min="2567" max="2567" width="11.33203125" style="79" customWidth="1"/>
    <col min="2568" max="2568" width="12.33203125" style="79" bestFit="1" customWidth="1"/>
    <col min="2569" max="2569" width="10" style="79" customWidth="1"/>
    <col min="2570" max="2570" width="11.33203125" style="79" bestFit="1" customWidth="1"/>
    <col min="2571" max="2820" width="9" style="79"/>
    <col min="2821" max="2821" width="5.109375" style="79" customWidth="1"/>
    <col min="2822" max="2822" width="29.21875" style="79" customWidth="1"/>
    <col min="2823" max="2823" width="11.33203125" style="79" customWidth="1"/>
    <col min="2824" max="2824" width="12.33203125" style="79" bestFit="1" customWidth="1"/>
    <col min="2825" max="2825" width="10" style="79" customWidth="1"/>
    <col min="2826" max="2826" width="11.33203125" style="79" bestFit="1" customWidth="1"/>
    <col min="2827" max="3076" width="9" style="79"/>
    <col min="3077" max="3077" width="5.109375" style="79" customWidth="1"/>
    <col min="3078" max="3078" width="29.21875" style="79" customWidth="1"/>
    <col min="3079" max="3079" width="11.33203125" style="79" customWidth="1"/>
    <col min="3080" max="3080" width="12.33203125" style="79" bestFit="1" customWidth="1"/>
    <col min="3081" max="3081" width="10" style="79" customWidth="1"/>
    <col min="3082" max="3082" width="11.33203125" style="79" bestFit="1" customWidth="1"/>
    <col min="3083" max="3332" width="9" style="79"/>
    <col min="3333" max="3333" width="5.109375" style="79" customWidth="1"/>
    <col min="3334" max="3334" width="29.21875" style="79" customWidth="1"/>
    <col min="3335" max="3335" width="11.33203125" style="79" customWidth="1"/>
    <col min="3336" max="3336" width="12.33203125" style="79" bestFit="1" customWidth="1"/>
    <col min="3337" max="3337" width="10" style="79" customWidth="1"/>
    <col min="3338" max="3338" width="11.33203125" style="79" bestFit="1" customWidth="1"/>
    <col min="3339" max="3588" width="9" style="79"/>
    <col min="3589" max="3589" width="5.109375" style="79" customWidth="1"/>
    <col min="3590" max="3590" width="29.21875" style="79" customWidth="1"/>
    <col min="3591" max="3591" width="11.33203125" style="79" customWidth="1"/>
    <col min="3592" max="3592" width="12.33203125" style="79" bestFit="1" customWidth="1"/>
    <col min="3593" max="3593" width="10" style="79" customWidth="1"/>
    <col min="3594" max="3594" width="11.33203125" style="79" bestFit="1" customWidth="1"/>
    <col min="3595" max="3844" width="9" style="79"/>
    <col min="3845" max="3845" width="5.109375" style="79" customWidth="1"/>
    <col min="3846" max="3846" width="29.21875" style="79" customWidth="1"/>
    <col min="3847" max="3847" width="11.33203125" style="79" customWidth="1"/>
    <col min="3848" max="3848" width="12.33203125" style="79" bestFit="1" customWidth="1"/>
    <col min="3849" max="3849" width="10" style="79" customWidth="1"/>
    <col min="3850" max="3850" width="11.33203125" style="79" bestFit="1" customWidth="1"/>
    <col min="3851" max="4100" width="9" style="79"/>
    <col min="4101" max="4101" width="5.109375" style="79" customWidth="1"/>
    <col min="4102" max="4102" width="29.21875" style="79" customWidth="1"/>
    <col min="4103" max="4103" width="11.33203125" style="79" customWidth="1"/>
    <col min="4104" max="4104" width="12.33203125" style="79" bestFit="1" customWidth="1"/>
    <col min="4105" max="4105" width="10" style="79" customWidth="1"/>
    <col min="4106" max="4106" width="11.33203125" style="79" bestFit="1" customWidth="1"/>
    <col min="4107" max="4356" width="9" style="79"/>
    <col min="4357" max="4357" width="5.109375" style="79" customWidth="1"/>
    <col min="4358" max="4358" width="29.21875" style="79" customWidth="1"/>
    <col min="4359" max="4359" width="11.33203125" style="79" customWidth="1"/>
    <col min="4360" max="4360" width="12.33203125" style="79" bestFit="1" customWidth="1"/>
    <col min="4361" max="4361" width="10" style="79" customWidth="1"/>
    <col min="4362" max="4362" width="11.33203125" style="79" bestFit="1" customWidth="1"/>
    <col min="4363" max="4612" width="9" style="79"/>
    <col min="4613" max="4613" width="5.109375" style="79" customWidth="1"/>
    <col min="4614" max="4614" width="29.21875" style="79" customWidth="1"/>
    <col min="4615" max="4615" width="11.33203125" style="79" customWidth="1"/>
    <col min="4616" max="4616" width="12.33203125" style="79" bestFit="1" customWidth="1"/>
    <col min="4617" max="4617" width="10" style="79" customWidth="1"/>
    <col min="4618" max="4618" width="11.33203125" style="79" bestFit="1" customWidth="1"/>
    <col min="4619" max="4868" width="9" style="79"/>
    <col min="4869" max="4869" width="5.109375" style="79" customWidth="1"/>
    <col min="4870" max="4870" width="29.21875" style="79" customWidth="1"/>
    <col min="4871" max="4871" width="11.33203125" style="79" customWidth="1"/>
    <col min="4872" max="4872" width="12.33203125" style="79" bestFit="1" customWidth="1"/>
    <col min="4873" max="4873" width="10" style="79" customWidth="1"/>
    <col min="4874" max="4874" width="11.33203125" style="79" bestFit="1" customWidth="1"/>
    <col min="4875" max="5124" width="9" style="79"/>
    <col min="5125" max="5125" width="5.109375" style="79" customWidth="1"/>
    <col min="5126" max="5126" width="29.21875" style="79" customWidth="1"/>
    <col min="5127" max="5127" width="11.33203125" style="79" customWidth="1"/>
    <col min="5128" max="5128" width="12.33203125" style="79" bestFit="1" customWidth="1"/>
    <col min="5129" max="5129" width="10" style="79" customWidth="1"/>
    <col min="5130" max="5130" width="11.33203125" style="79" bestFit="1" customWidth="1"/>
    <col min="5131" max="5380" width="9" style="79"/>
    <col min="5381" max="5381" width="5.109375" style="79" customWidth="1"/>
    <col min="5382" max="5382" width="29.21875" style="79" customWidth="1"/>
    <col min="5383" max="5383" width="11.33203125" style="79" customWidth="1"/>
    <col min="5384" max="5384" width="12.33203125" style="79" bestFit="1" customWidth="1"/>
    <col min="5385" max="5385" width="10" style="79" customWidth="1"/>
    <col min="5386" max="5386" width="11.33203125" style="79" bestFit="1" customWidth="1"/>
    <col min="5387" max="5636" width="9" style="79"/>
    <col min="5637" max="5637" width="5.109375" style="79" customWidth="1"/>
    <col min="5638" max="5638" width="29.21875" style="79" customWidth="1"/>
    <col min="5639" max="5639" width="11.33203125" style="79" customWidth="1"/>
    <col min="5640" max="5640" width="12.33203125" style="79" bestFit="1" customWidth="1"/>
    <col min="5641" max="5641" width="10" style="79" customWidth="1"/>
    <col min="5642" max="5642" width="11.33203125" style="79" bestFit="1" customWidth="1"/>
    <col min="5643" max="5892" width="9" style="79"/>
    <col min="5893" max="5893" width="5.109375" style="79" customWidth="1"/>
    <col min="5894" max="5894" width="29.21875" style="79" customWidth="1"/>
    <col min="5895" max="5895" width="11.33203125" style="79" customWidth="1"/>
    <col min="5896" max="5896" width="12.33203125" style="79" bestFit="1" customWidth="1"/>
    <col min="5897" max="5897" width="10" style="79" customWidth="1"/>
    <col min="5898" max="5898" width="11.33203125" style="79" bestFit="1" customWidth="1"/>
    <col min="5899" max="6148" width="9" style="79"/>
    <col min="6149" max="6149" width="5.109375" style="79" customWidth="1"/>
    <col min="6150" max="6150" width="29.21875" style="79" customWidth="1"/>
    <col min="6151" max="6151" width="11.33203125" style="79" customWidth="1"/>
    <col min="6152" max="6152" width="12.33203125" style="79" bestFit="1" customWidth="1"/>
    <col min="6153" max="6153" width="10" style="79" customWidth="1"/>
    <col min="6154" max="6154" width="11.33203125" style="79" bestFit="1" customWidth="1"/>
    <col min="6155" max="6404" width="9" style="79"/>
    <col min="6405" max="6405" width="5.109375" style="79" customWidth="1"/>
    <col min="6406" max="6406" width="29.21875" style="79" customWidth="1"/>
    <col min="6407" max="6407" width="11.33203125" style="79" customWidth="1"/>
    <col min="6408" max="6408" width="12.33203125" style="79" bestFit="1" customWidth="1"/>
    <col min="6409" max="6409" width="10" style="79" customWidth="1"/>
    <col min="6410" max="6410" width="11.33203125" style="79" bestFit="1" customWidth="1"/>
    <col min="6411" max="6660" width="9" style="79"/>
    <col min="6661" max="6661" width="5.109375" style="79" customWidth="1"/>
    <col min="6662" max="6662" width="29.21875" style="79" customWidth="1"/>
    <col min="6663" max="6663" width="11.33203125" style="79" customWidth="1"/>
    <col min="6664" max="6664" width="12.33203125" style="79" bestFit="1" customWidth="1"/>
    <col min="6665" max="6665" width="10" style="79" customWidth="1"/>
    <col min="6666" max="6666" width="11.33203125" style="79" bestFit="1" customWidth="1"/>
    <col min="6667" max="6916" width="9" style="79"/>
    <col min="6917" max="6917" width="5.109375" style="79" customWidth="1"/>
    <col min="6918" max="6918" width="29.21875" style="79" customWidth="1"/>
    <col min="6919" max="6919" width="11.33203125" style="79" customWidth="1"/>
    <col min="6920" max="6920" width="12.33203125" style="79" bestFit="1" customWidth="1"/>
    <col min="6921" max="6921" width="10" style="79" customWidth="1"/>
    <col min="6922" max="6922" width="11.33203125" style="79" bestFit="1" customWidth="1"/>
    <col min="6923" max="7172" width="9" style="79"/>
    <col min="7173" max="7173" width="5.109375" style="79" customWidth="1"/>
    <col min="7174" max="7174" width="29.21875" style="79" customWidth="1"/>
    <col min="7175" max="7175" width="11.33203125" style="79" customWidth="1"/>
    <col min="7176" max="7176" width="12.33203125" style="79" bestFit="1" customWidth="1"/>
    <col min="7177" max="7177" width="10" style="79" customWidth="1"/>
    <col min="7178" max="7178" width="11.33203125" style="79" bestFit="1" customWidth="1"/>
    <col min="7179" max="7428" width="9" style="79"/>
    <col min="7429" max="7429" width="5.109375" style="79" customWidth="1"/>
    <col min="7430" max="7430" width="29.21875" style="79" customWidth="1"/>
    <col min="7431" max="7431" width="11.33203125" style="79" customWidth="1"/>
    <col min="7432" max="7432" width="12.33203125" style="79" bestFit="1" customWidth="1"/>
    <col min="7433" max="7433" width="10" style="79" customWidth="1"/>
    <col min="7434" max="7434" width="11.33203125" style="79" bestFit="1" customWidth="1"/>
    <col min="7435" max="7684" width="9" style="79"/>
    <col min="7685" max="7685" width="5.109375" style="79" customWidth="1"/>
    <col min="7686" max="7686" width="29.21875" style="79" customWidth="1"/>
    <col min="7687" max="7687" width="11.33203125" style="79" customWidth="1"/>
    <col min="7688" max="7688" width="12.33203125" style="79" bestFit="1" customWidth="1"/>
    <col min="7689" max="7689" width="10" style="79" customWidth="1"/>
    <col min="7690" max="7690" width="11.33203125" style="79" bestFit="1" customWidth="1"/>
    <col min="7691" max="7940" width="9" style="79"/>
    <col min="7941" max="7941" width="5.109375" style="79" customWidth="1"/>
    <col min="7942" max="7942" width="29.21875" style="79" customWidth="1"/>
    <col min="7943" max="7943" width="11.33203125" style="79" customWidth="1"/>
    <col min="7944" max="7944" width="12.33203125" style="79" bestFit="1" customWidth="1"/>
    <col min="7945" max="7945" width="10" style="79" customWidth="1"/>
    <col min="7946" max="7946" width="11.33203125" style="79" bestFit="1" customWidth="1"/>
    <col min="7947" max="8196" width="9" style="79"/>
    <col min="8197" max="8197" width="5.109375" style="79" customWidth="1"/>
    <col min="8198" max="8198" width="29.21875" style="79" customWidth="1"/>
    <col min="8199" max="8199" width="11.33203125" style="79" customWidth="1"/>
    <col min="8200" max="8200" width="12.33203125" style="79" bestFit="1" customWidth="1"/>
    <col min="8201" max="8201" width="10" style="79" customWidth="1"/>
    <col min="8202" max="8202" width="11.33203125" style="79" bestFit="1" customWidth="1"/>
    <col min="8203" max="8452" width="9" style="79"/>
    <col min="8453" max="8453" width="5.109375" style="79" customWidth="1"/>
    <col min="8454" max="8454" width="29.21875" style="79" customWidth="1"/>
    <col min="8455" max="8455" width="11.33203125" style="79" customWidth="1"/>
    <col min="8456" max="8456" width="12.33203125" style="79" bestFit="1" customWidth="1"/>
    <col min="8457" max="8457" width="10" style="79" customWidth="1"/>
    <col min="8458" max="8458" width="11.33203125" style="79" bestFit="1" customWidth="1"/>
    <col min="8459" max="8708" width="9" style="79"/>
    <col min="8709" max="8709" width="5.109375" style="79" customWidth="1"/>
    <col min="8710" max="8710" width="29.21875" style="79" customWidth="1"/>
    <col min="8711" max="8711" width="11.33203125" style="79" customWidth="1"/>
    <col min="8712" max="8712" width="12.33203125" style="79" bestFit="1" customWidth="1"/>
    <col min="8713" max="8713" width="10" style="79" customWidth="1"/>
    <col min="8714" max="8714" width="11.33203125" style="79" bestFit="1" customWidth="1"/>
    <col min="8715" max="8964" width="9" style="79"/>
    <col min="8965" max="8965" width="5.109375" style="79" customWidth="1"/>
    <col min="8966" max="8966" width="29.21875" style="79" customWidth="1"/>
    <col min="8967" max="8967" width="11.33203125" style="79" customWidth="1"/>
    <col min="8968" max="8968" width="12.33203125" style="79" bestFit="1" customWidth="1"/>
    <col min="8969" max="8969" width="10" style="79" customWidth="1"/>
    <col min="8970" max="8970" width="11.33203125" style="79" bestFit="1" customWidth="1"/>
    <col min="8971" max="9220" width="9" style="79"/>
    <col min="9221" max="9221" width="5.109375" style="79" customWidth="1"/>
    <col min="9222" max="9222" width="29.21875" style="79" customWidth="1"/>
    <col min="9223" max="9223" width="11.33203125" style="79" customWidth="1"/>
    <col min="9224" max="9224" width="12.33203125" style="79" bestFit="1" customWidth="1"/>
    <col min="9225" max="9225" width="10" style="79" customWidth="1"/>
    <col min="9226" max="9226" width="11.33203125" style="79" bestFit="1" customWidth="1"/>
    <col min="9227" max="9476" width="9" style="79"/>
    <col min="9477" max="9477" width="5.109375" style="79" customWidth="1"/>
    <col min="9478" max="9478" width="29.21875" style="79" customWidth="1"/>
    <col min="9479" max="9479" width="11.33203125" style="79" customWidth="1"/>
    <col min="9480" max="9480" width="12.33203125" style="79" bestFit="1" customWidth="1"/>
    <col min="9481" max="9481" width="10" style="79" customWidth="1"/>
    <col min="9482" max="9482" width="11.33203125" style="79" bestFit="1" customWidth="1"/>
    <col min="9483" max="9732" width="9" style="79"/>
    <col min="9733" max="9733" width="5.109375" style="79" customWidth="1"/>
    <col min="9734" max="9734" width="29.21875" style="79" customWidth="1"/>
    <col min="9735" max="9735" width="11.33203125" style="79" customWidth="1"/>
    <col min="9736" max="9736" width="12.33203125" style="79" bestFit="1" customWidth="1"/>
    <col min="9737" max="9737" width="10" style="79" customWidth="1"/>
    <col min="9738" max="9738" width="11.33203125" style="79" bestFit="1" customWidth="1"/>
    <col min="9739" max="9988" width="9" style="79"/>
    <col min="9989" max="9989" width="5.109375" style="79" customWidth="1"/>
    <col min="9990" max="9990" width="29.21875" style="79" customWidth="1"/>
    <col min="9991" max="9991" width="11.33203125" style="79" customWidth="1"/>
    <col min="9992" max="9992" width="12.33203125" style="79" bestFit="1" customWidth="1"/>
    <col min="9993" max="9993" width="10" style="79" customWidth="1"/>
    <col min="9994" max="9994" width="11.33203125" style="79" bestFit="1" customWidth="1"/>
    <col min="9995" max="10244" width="9" style="79"/>
    <col min="10245" max="10245" width="5.109375" style="79" customWidth="1"/>
    <col min="10246" max="10246" width="29.21875" style="79" customWidth="1"/>
    <col min="10247" max="10247" width="11.33203125" style="79" customWidth="1"/>
    <col min="10248" max="10248" width="12.33203125" style="79" bestFit="1" customWidth="1"/>
    <col min="10249" max="10249" width="10" style="79" customWidth="1"/>
    <col min="10250" max="10250" width="11.33203125" style="79" bestFit="1" customWidth="1"/>
    <col min="10251" max="10500" width="9" style="79"/>
    <col min="10501" max="10501" width="5.109375" style="79" customWidth="1"/>
    <col min="10502" max="10502" width="29.21875" style="79" customWidth="1"/>
    <col min="10503" max="10503" width="11.33203125" style="79" customWidth="1"/>
    <col min="10504" max="10504" width="12.33203125" style="79" bestFit="1" customWidth="1"/>
    <col min="10505" max="10505" width="10" style="79" customWidth="1"/>
    <col min="10506" max="10506" width="11.33203125" style="79" bestFit="1" customWidth="1"/>
    <col min="10507" max="10756" width="9" style="79"/>
    <col min="10757" max="10757" width="5.109375" style="79" customWidth="1"/>
    <col min="10758" max="10758" width="29.21875" style="79" customWidth="1"/>
    <col min="10759" max="10759" width="11.33203125" style="79" customWidth="1"/>
    <col min="10760" max="10760" width="12.33203125" style="79" bestFit="1" customWidth="1"/>
    <col min="10761" max="10761" width="10" style="79" customWidth="1"/>
    <col min="10762" max="10762" width="11.33203125" style="79" bestFit="1" customWidth="1"/>
    <col min="10763" max="11012" width="9" style="79"/>
    <col min="11013" max="11013" width="5.109375" style="79" customWidth="1"/>
    <col min="11014" max="11014" width="29.21875" style="79" customWidth="1"/>
    <col min="11015" max="11015" width="11.33203125" style="79" customWidth="1"/>
    <col min="11016" max="11016" width="12.33203125" style="79" bestFit="1" customWidth="1"/>
    <col min="11017" max="11017" width="10" style="79" customWidth="1"/>
    <col min="11018" max="11018" width="11.33203125" style="79" bestFit="1" customWidth="1"/>
    <col min="11019" max="11268" width="9" style="79"/>
    <col min="11269" max="11269" width="5.109375" style="79" customWidth="1"/>
    <col min="11270" max="11270" width="29.21875" style="79" customWidth="1"/>
    <col min="11271" max="11271" width="11.33203125" style="79" customWidth="1"/>
    <col min="11272" max="11272" width="12.33203125" style="79" bestFit="1" customWidth="1"/>
    <col min="11273" max="11273" width="10" style="79" customWidth="1"/>
    <col min="11274" max="11274" width="11.33203125" style="79" bestFit="1" customWidth="1"/>
    <col min="11275" max="11524" width="9" style="79"/>
    <col min="11525" max="11525" width="5.109375" style="79" customWidth="1"/>
    <col min="11526" max="11526" width="29.21875" style="79" customWidth="1"/>
    <col min="11527" max="11527" width="11.33203125" style="79" customWidth="1"/>
    <col min="11528" max="11528" width="12.33203125" style="79" bestFit="1" customWidth="1"/>
    <col min="11529" max="11529" width="10" style="79" customWidth="1"/>
    <col min="11530" max="11530" width="11.33203125" style="79" bestFit="1" customWidth="1"/>
    <col min="11531" max="11780" width="9" style="79"/>
    <col min="11781" max="11781" width="5.109375" style="79" customWidth="1"/>
    <col min="11782" max="11782" width="29.21875" style="79" customWidth="1"/>
    <col min="11783" max="11783" width="11.33203125" style="79" customWidth="1"/>
    <col min="11784" max="11784" width="12.33203125" style="79" bestFit="1" customWidth="1"/>
    <col min="11785" max="11785" width="10" style="79" customWidth="1"/>
    <col min="11786" max="11786" width="11.33203125" style="79" bestFit="1" customWidth="1"/>
    <col min="11787" max="12036" width="9" style="79"/>
    <col min="12037" max="12037" width="5.109375" style="79" customWidth="1"/>
    <col min="12038" max="12038" width="29.21875" style="79" customWidth="1"/>
    <col min="12039" max="12039" width="11.33203125" style="79" customWidth="1"/>
    <col min="12040" max="12040" width="12.33203125" style="79" bestFit="1" customWidth="1"/>
    <col min="12041" max="12041" width="10" style="79" customWidth="1"/>
    <col min="12042" max="12042" width="11.33203125" style="79" bestFit="1" customWidth="1"/>
    <col min="12043" max="12292" width="9" style="79"/>
    <col min="12293" max="12293" width="5.109375" style="79" customWidth="1"/>
    <col min="12294" max="12294" width="29.21875" style="79" customWidth="1"/>
    <col min="12295" max="12295" width="11.33203125" style="79" customWidth="1"/>
    <col min="12296" max="12296" width="12.33203125" style="79" bestFit="1" customWidth="1"/>
    <col min="12297" max="12297" width="10" style="79" customWidth="1"/>
    <col min="12298" max="12298" width="11.33203125" style="79" bestFit="1" customWidth="1"/>
    <col min="12299" max="12548" width="9" style="79"/>
    <col min="12549" max="12549" width="5.109375" style="79" customWidth="1"/>
    <col min="12550" max="12550" width="29.21875" style="79" customWidth="1"/>
    <col min="12551" max="12551" width="11.33203125" style="79" customWidth="1"/>
    <col min="12552" max="12552" width="12.33203125" style="79" bestFit="1" customWidth="1"/>
    <col min="12553" max="12553" width="10" style="79" customWidth="1"/>
    <col min="12554" max="12554" width="11.33203125" style="79" bestFit="1" customWidth="1"/>
    <col min="12555" max="12804" width="9" style="79"/>
    <col min="12805" max="12805" width="5.109375" style="79" customWidth="1"/>
    <col min="12806" max="12806" width="29.21875" style="79" customWidth="1"/>
    <col min="12807" max="12807" width="11.33203125" style="79" customWidth="1"/>
    <col min="12808" max="12808" width="12.33203125" style="79" bestFit="1" customWidth="1"/>
    <col min="12809" max="12809" width="10" style="79" customWidth="1"/>
    <col min="12810" max="12810" width="11.33203125" style="79" bestFit="1" customWidth="1"/>
    <col min="12811" max="13060" width="9" style="79"/>
    <col min="13061" max="13061" width="5.109375" style="79" customWidth="1"/>
    <col min="13062" max="13062" width="29.21875" style="79" customWidth="1"/>
    <col min="13063" max="13063" width="11.33203125" style="79" customWidth="1"/>
    <col min="13064" max="13064" width="12.33203125" style="79" bestFit="1" customWidth="1"/>
    <col min="13065" max="13065" width="10" style="79" customWidth="1"/>
    <col min="13066" max="13066" width="11.33203125" style="79" bestFit="1" customWidth="1"/>
    <col min="13067" max="13316" width="9" style="79"/>
    <col min="13317" max="13317" width="5.109375" style="79" customWidth="1"/>
    <col min="13318" max="13318" width="29.21875" style="79" customWidth="1"/>
    <col min="13319" max="13319" width="11.33203125" style="79" customWidth="1"/>
    <col min="13320" max="13320" width="12.33203125" style="79" bestFit="1" customWidth="1"/>
    <col min="13321" max="13321" width="10" style="79" customWidth="1"/>
    <col min="13322" max="13322" width="11.33203125" style="79" bestFit="1" customWidth="1"/>
    <col min="13323" max="13572" width="9" style="79"/>
    <col min="13573" max="13573" width="5.109375" style="79" customWidth="1"/>
    <col min="13574" max="13574" width="29.21875" style="79" customWidth="1"/>
    <col min="13575" max="13575" width="11.33203125" style="79" customWidth="1"/>
    <col min="13576" max="13576" width="12.33203125" style="79" bestFit="1" customWidth="1"/>
    <col min="13577" max="13577" width="10" style="79" customWidth="1"/>
    <col min="13578" max="13578" width="11.33203125" style="79" bestFit="1" customWidth="1"/>
    <col min="13579" max="13828" width="9" style="79"/>
    <col min="13829" max="13829" width="5.109375" style="79" customWidth="1"/>
    <col min="13830" max="13830" width="29.21875" style="79" customWidth="1"/>
    <col min="13831" max="13831" width="11.33203125" style="79" customWidth="1"/>
    <col min="13832" max="13832" width="12.33203125" style="79" bestFit="1" customWidth="1"/>
    <col min="13833" max="13833" width="10" style="79" customWidth="1"/>
    <col min="13834" max="13834" width="11.33203125" style="79" bestFit="1" customWidth="1"/>
    <col min="13835" max="14084" width="9" style="79"/>
    <col min="14085" max="14085" width="5.109375" style="79" customWidth="1"/>
    <col min="14086" max="14086" width="29.21875" style="79" customWidth="1"/>
    <col min="14087" max="14087" width="11.33203125" style="79" customWidth="1"/>
    <col min="14088" max="14088" width="12.33203125" style="79" bestFit="1" customWidth="1"/>
    <col min="14089" max="14089" width="10" style="79" customWidth="1"/>
    <col min="14090" max="14090" width="11.33203125" style="79" bestFit="1" customWidth="1"/>
    <col min="14091" max="14340" width="9" style="79"/>
    <col min="14341" max="14341" width="5.109375" style="79" customWidth="1"/>
    <col min="14342" max="14342" width="29.21875" style="79" customWidth="1"/>
    <col min="14343" max="14343" width="11.33203125" style="79" customWidth="1"/>
    <col min="14344" max="14344" width="12.33203125" style="79" bestFit="1" customWidth="1"/>
    <col min="14345" max="14345" width="10" style="79" customWidth="1"/>
    <col min="14346" max="14346" width="11.33203125" style="79" bestFit="1" customWidth="1"/>
    <col min="14347" max="14596" width="9" style="79"/>
    <col min="14597" max="14597" width="5.109375" style="79" customWidth="1"/>
    <col min="14598" max="14598" width="29.21875" style="79" customWidth="1"/>
    <col min="14599" max="14599" width="11.33203125" style="79" customWidth="1"/>
    <col min="14600" max="14600" width="12.33203125" style="79" bestFit="1" customWidth="1"/>
    <col min="14601" max="14601" width="10" style="79" customWidth="1"/>
    <col min="14602" max="14602" width="11.33203125" style="79" bestFit="1" customWidth="1"/>
    <col min="14603" max="14852" width="9" style="79"/>
    <col min="14853" max="14853" width="5.109375" style="79" customWidth="1"/>
    <col min="14854" max="14854" width="29.21875" style="79" customWidth="1"/>
    <col min="14855" max="14855" width="11.33203125" style="79" customWidth="1"/>
    <col min="14856" max="14856" width="12.33203125" style="79" bestFit="1" customWidth="1"/>
    <col min="14857" max="14857" width="10" style="79" customWidth="1"/>
    <col min="14858" max="14858" width="11.33203125" style="79" bestFit="1" customWidth="1"/>
    <col min="14859" max="15108" width="9" style="79"/>
    <col min="15109" max="15109" width="5.109375" style="79" customWidth="1"/>
    <col min="15110" max="15110" width="29.21875" style="79" customWidth="1"/>
    <col min="15111" max="15111" width="11.33203125" style="79" customWidth="1"/>
    <col min="15112" max="15112" width="12.33203125" style="79" bestFit="1" customWidth="1"/>
    <col min="15113" max="15113" width="10" style="79" customWidth="1"/>
    <col min="15114" max="15114" width="11.33203125" style="79" bestFit="1" customWidth="1"/>
    <col min="15115" max="15364" width="9" style="79"/>
    <col min="15365" max="15365" width="5.109375" style="79" customWidth="1"/>
    <col min="15366" max="15366" width="29.21875" style="79" customWidth="1"/>
    <col min="15367" max="15367" width="11.33203125" style="79" customWidth="1"/>
    <col min="15368" max="15368" width="12.33203125" style="79" bestFit="1" customWidth="1"/>
    <col min="15369" max="15369" width="10" style="79" customWidth="1"/>
    <col min="15370" max="15370" width="11.33203125" style="79" bestFit="1" customWidth="1"/>
    <col min="15371" max="15620" width="9" style="79"/>
    <col min="15621" max="15621" width="5.109375" style="79" customWidth="1"/>
    <col min="15622" max="15622" width="29.21875" style="79" customWidth="1"/>
    <col min="15623" max="15623" width="11.33203125" style="79" customWidth="1"/>
    <col min="15624" max="15624" width="12.33203125" style="79" bestFit="1" customWidth="1"/>
    <col min="15625" max="15625" width="10" style="79" customWidth="1"/>
    <col min="15626" max="15626" width="11.33203125" style="79" bestFit="1" customWidth="1"/>
    <col min="15627" max="15876" width="9" style="79"/>
    <col min="15877" max="15877" width="5.109375" style="79" customWidth="1"/>
    <col min="15878" max="15878" width="29.21875" style="79" customWidth="1"/>
    <col min="15879" max="15879" width="11.33203125" style="79" customWidth="1"/>
    <col min="15880" max="15880" width="12.33203125" style="79" bestFit="1" customWidth="1"/>
    <col min="15881" max="15881" width="10" style="79" customWidth="1"/>
    <col min="15882" max="15882" width="11.33203125" style="79" bestFit="1" customWidth="1"/>
    <col min="15883" max="16132" width="9" style="79"/>
    <col min="16133" max="16133" width="5.109375" style="79" customWidth="1"/>
    <col min="16134" max="16134" width="29.21875" style="79" customWidth="1"/>
    <col min="16135" max="16135" width="11.33203125" style="79" customWidth="1"/>
    <col min="16136" max="16136" width="12.33203125" style="79" bestFit="1" customWidth="1"/>
    <col min="16137" max="16137" width="10" style="79" customWidth="1"/>
    <col min="16138" max="16138" width="11.33203125" style="79" bestFit="1" customWidth="1"/>
    <col min="16139" max="16379" width="9" style="79"/>
    <col min="16380" max="16384" width="7.88671875" style="79" customWidth="1"/>
  </cols>
  <sheetData>
    <row r="1" spans="1:13" ht="21" customHeight="1">
      <c r="J1" s="22" t="s">
        <v>608</v>
      </c>
    </row>
    <row r="2" spans="1:13" ht="18.75">
      <c r="A2" s="722" t="s">
        <v>744</v>
      </c>
      <c r="B2" s="722"/>
      <c r="C2" s="722"/>
      <c r="D2" s="722"/>
      <c r="E2" s="722"/>
      <c r="F2" s="722"/>
      <c r="G2" s="722"/>
      <c r="H2" s="722"/>
      <c r="I2" s="722"/>
      <c r="J2" s="722"/>
    </row>
    <row r="3" spans="1:13" ht="18.75">
      <c r="A3" s="766" t="str">
        <f>'Chi xã,TT 2025'!A3:V3</f>
        <v>(Kèm theo Nghị quyết số          /NQ-HĐND ngày          tháng 12 năm 2024 của HĐND huyện Tuần Giáo)</v>
      </c>
      <c r="B3" s="766"/>
      <c r="C3" s="766"/>
      <c r="D3" s="766"/>
      <c r="E3" s="766"/>
      <c r="F3" s="766"/>
      <c r="G3" s="766"/>
      <c r="H3" s="766"/>
      <c r="I3" s="766"/>
      <c r="J3" s="766"/>
    </row>
    <row r="4" spans="1:13">
      <c r="A4" s="262"/>
      <c r="B4" s="542"/>
      <c r="C4" s="543"/>
      <c r="D4" s="543"/>
      <c r="E4" s="543"/>
      <c r="F4" s="543"/>
      <c r="G4" s="543"/>
      <c r="H4" s="544"/>
      <c r="I4" s="765" t="s">
        <v>456</v>
      </c>
      <c r="J4" s="765"/>
    </row>
    <row r="5" spans="1:13" s="80" customFormat="1">
      <c r="A5" s="759" t="s">
        <v>58</v>
      </c>
      <c r="B5" s="759" t="s">
        <v>5</v>
      </c>
      <c r="C5" s="760" t="s">
        <v>745</v>
      </c>
      <c r="D5" s="761" t="s">
        <v>746</v>
      </c>
      <c r="E5" s="760" t="s">
        <v>747</v>
      </c>
      <c r="F5" s="760"/>
      <c r="G5" s="760"/>
      <c r="H5" s="763" t="s">
        <v>76</v>
      </c>
      <c r="I5" s="763" t="s">
        <v>144</v>
      </c>
      <c r="J5" s="763" t="s">
        <v>145</v>
      </c>
    </row>
    <row r="6" spans="1:13" s="80" customFormat="1" ht="15.75" customHeight="1">
      <c r="A6" s="759"/>
      <c r="B6" s="759"/>
      <c r="C6" s="760"/>
      <c r="D6" s="762"/>
      <c r="E6" s="554" t="s">
        <v>748</v>
      </c>
      <c r="F6" s="554" t="s">
        <v>749</v>
      </c>
      <c r="G6" s="554" t="s">
        <v>750</v>
      </c>
      <c r="H6" s="764"/>
      <c r="I6" s="764"/>
      <c r="J6" s="764"/>
    </row>
    <row r="7" spans="1:13" s="80" customFormat="1" ht="21.75" customHeight="1">
      <c r="A7" s="84" t="s">
        <v>8</v>
      </c>
      <c r="B7" s="346" t="s">
        <v>751</v>
      </c>
      <c r="C7" s="556"/>
      <c r="D7" s="556"/>
      <c r="E7" s="556"/>
      <c r="F7" s="556"/>
      <c r="G7" s="556"/>
      <c r="H7" s="425">
        <f>+I7+J7</f>
        <v>16590</v>
      </c>
      <c r="I7" s="425">
        <v>14353</v>
      </c>
      <c r="J7" s="425">
        <v>2237</v>
      </c>
      <c r="K7" s="259"/>
    </row>
    <row r="8" spans="1:13" s="80" customFormat="1" ht="21.75" customHeight="1">
      <c r="A8" s="84" t="s">
        <v>9</v>
      </c>
      <c r="B8" s="85" t="s">
        <v>752</v>
      </c>
      <c r="C8" s="547">
        <f>+C9+C32+C41</f>
        <v>12060</v>
      </c>
      <c r="D8" s="547">
        <f>+D9+D32+D41</f>
        <v>7449768000</v>
      </c>
      <c r="E8" s="547">
        <f>+E9+E32+E41</f>
        <v>5585752000</v>
      </c>
      <c r="F8" s="547">
        <f>+F9+F32+F41</f>
        <v>0</v>
      </c>
      <c r="G8" s="547">
        <f>+G9+G32+G41</f>
        <v>5585752000</v>
      </c>
      <c r="H8" s="351">
        <f>+I8+J8</f>
        <v>12239.517999999998</v>
      </c>
      <c r="I8" s="351">
        <f>+I9+I32</f>
        <v>10917.314999999999</v>
      </c>
      <c r="J8" s="351">
        <f>+J9+J32</f>
        <v>1322.203</v>
      </c>
      <c r="K8" s="259"/>
    </row>
    <row r="9" spans="1:13" s="80" customFormat="1" ht="21.75" customHeight="1">
      <c r="A9" s="84" t="s">
        <v>18</v>
      </c>
      <c r="B9" s="291" t="s">
        <v>753</v>
      </c>
      <c r="C9" s="545">
        <f>+C10+C19</f>
        <v>12060</v>
      </c>
      <c r="D9" s="545">
        <f>+D10+D19</f>
        <v>7449768000</v>
      </c>
      <c r="E9" s="545">
        <f>+E10+E19</f>
        <v>5585752000</v>
      </c>
      <c r="F9" s="545">
        <f>+F10+F19</f>
        <v>0</v>
      </c>
      <c r="G9" s="545">
        <f>+G10+G19</f>
        <v>5585752000</v>
      </c>
      <c r="H9" s="546">
        <f>+H10+H19+H31</f>
        <v>10613.274999999998</v>
      </c>
      <c r="I9" s="546">
        <f>+I10+I19+I31</f>
        <v>10258.314999999999</v>
      </c>
      <c r="J9" s="546">
        <f>+J10+J19+J31</f>
        <v>354.96</v>
      </c>
    </row>
    <row r="10" spans="1:13" s="80" customFormat="1" ht="21.75" customHeight="1">
      <c r="A10" s="84" t="s">
        <v>754</v>
      </c>
      <c r="B10" s="291" t="s">
        <v>755</v>
      </c>
      <c r="C10" s="547">
        <f t="shared" ref="C10:G10" si="0">SUM(C11:C18)</f>
        <v>12060</v>
      </c>
      <c r="D10" s="547">
        <f t="shared" si="0"/>
        <v>7449768000</v>
      </c>
      <c r="E10" s="547">
        <f t="shared" si="0"/>
        <v>5585752000</v>
      </c>
      <c r="F10" s="547">
        <f t="shared" si="0"/>
        <v>0</v>
      </c>
      <c r="G10" s="547">
        <f t="shared" si="0"/>
        <v>5585752000</v>
      </c>
      <c r="H10" s="351">
        <f>SUM(H11:H18)</f>
        <v>3758.3149999999996</v>
      </c>
      <c r="I10" s="351">
        <f>SUM(I11:I18)</f>
        <v>3758.3149999999996</v>
      </c>
      <c r="J10" s="351">
        <f>SUM(J11:J18)</f>
        <v>0</v>
      </c>
    </row>
    <row r="11" spans="1:13" ht="21.75" customHeight="1">
      <c r="A11" s="34">
        <v>1</v>
      </c>
      <c r="B11" s="361" t="s">
        <v>758</v>
      </c>
      <c r="C11" s="548">
        <v>2400</v>
      </c>
      <c r="D11" s="548">
        <v>1016574000</v>
      </c>
      <c r="E11" s="549">
        <f t="shared" ref="E11:E18" si="1">SUM(F11:G11)</f>
        <v>720000000</v>
      </c>
      <c r="F11" s="549"/>
      <c r="G11" s="549">
        <v>720000000</v>
      </c>
      <c r="H11" s="550">
        <f>+I11+J11</f>
        <v>986.44500000000005</v>
      </c>
      <c r="I11" s="550">
        <v>986.44500000000005</v>
      </c>
      <c r="J11" s="550"/>
    </row>
    <row r="12" spans="1:13" s="41" customFormat="1" ht="21.75" customHeight="1">
      <c r="A12" s="34">
        <v>2</v>
      </c>
      <c r="B12" s="551" t="s">
        <v>762</v>
      </c>
      <c r="C12" s="548">
        <v>1000</v>
      </c>
      <c r="D12" s="548">
        <v>951463000</v>
      </c>
      <c r="E12" s="549">
        <f t="shared" si="1"/>
        <v>951463000</v>
      </c>
      <c r="F12" s="549"/>
      <c r="G12" s="549">
        <v>951463000</v>
      </c>
      <c r="H12" s="550">
        <f t="shared" ref="H12:H18" si="2">+I12+J12</f>
        <v>146.77000000000001</v>
      </c>
      <c r="I12" s="550">
        <v>146.77000000000001</v>
      </c>
      <c r="J12" s="550"/>
      <c r="L12" s="79"/>
      <c r="M12" s="79"/>
    </row>
    <row r="13" spans="1:13" ht="21.75" customHeight="1">
      <c r="A13" s="34">
        <v>3</v>
      </c>
      <c r="B13" s="361" t="s">
        <v>763</v>
      </c>
      <c r="C13" s="548">
        <v>2100</v>
      </c>
      <c r="D13" s="548">
        <v>1054575000</v>
      </c>
      <c r="E13" s="549">
        <f t="shared" si="1"/>
        <v>1000000000</v>
      </c>
      <c r="F13" s="549"/>
      <c r="G13" s="549">
        <v>1000000000</v>
      </c>
      <c r="H13" s="550">
        <f t="shared" si="2"/>
        <v>319.74299999999999</v>
      </c>
      <c r="I13" s="550">
        <v>319.74299999999999</v>
      </c>
      <c r="J13" s="550"/>
    </row>
    <row r="14" spans="1:13" ht="21.75" customHeight="1">
      <c r="A14" s="34">
        <v>4</v>
      </c>
      <c r="B14" s="361" t="s">
        <v>757</v>
      </c>
      <c r="C14" s="548">
        <v>760</v>
      </c>
      <c r="D14" s="548">
        <v>680000000</v>
      </c>
      <c r="E14" s="549">
        <f t="shared" si="1"/>
        <v>680000000</v>
      </c>
      <c r="F14" s="549"/>
      <c r="G14" s="549">
        <v>680000000</v>
      </c>
      <c r="H14" s="550">
        <f t="shared" si="2"/>
        <v>151.18600000000001</v>
      </c>
      <c r="I14" s="550">
        <v>151.18600000000001</v>
      </c>
      <c r="J14" s="550"/>
    </row>
    <row r="15" spans="1:13" ht="39.75" customHeight="1">
      <c r="A15" s="34">
        <v>5</v>
      </c>
      <c r="B15" s="361" t="s">
        <v>759</v>
      </c>
      <c r="C15" s="548">
        <v>1750</v>
      </c>
      <c r="D15" s="548">
        <v>871806000</v>
      </c>
      <c r="E15" s="549">
        <f t="shared" si="1"/>
        <v>489500000</v>
      </c>
      <c r="F15" s="549"/>
      <c r="G15" s="549">
        <v>489500000</v>
      </c>
      <c r="H15" s="550">
        <f t="shared" si="2"/>
        <v>183.91</v>
      </c>
      <c r="I15" s="550">
        <v>183.91</v>
      </c>
      <c r="J15" s="550"/>
    </row>
    <row r="16" spans="1:13" ht="21.75" customHeight="1">
      <c r="A16" s="34">
        <v>6</v>
      </c>
      <c r="B16" s="361" t="s">
        <v>760</v>
      </c>
      <c r="C16" s="548">
        <v>1700</v>
      </c>
      <c r="D16" s="548">
        <v>908282000</v>
      </c>
      <c r="E16" s="549">
        <f t="shared" si="1"/>
        <v>576000000</v>
      </c>
      <c r="F16" s="549"/>
      <c r="G16" s="549">
        <v>576000000</v>
      </c>
      <c r="H16" s="550">
        <f t="shared" si="2"/>
        <v>486.74</v>
      </c>
      <c r="I16" s="550">
        <v>486.74</v>
      </c>
      <c r="J16" s="550"/>
    </row>
    <row r="17" spans="1:10" ht="21.75" customHeight="1">
      <c r="A17" s="34">
        <v>7</v>
      </c>
      <c r="B17" s="361" t="s">
        <v>761</v>
      </c>
      <c r="C17" s="548">
        <v>850</v>
      </c>
      <c r="D17" s="548">
        <v>846789000</v>
      </c>
      <c r="E17" s="549">
        <f t="shared" si="1"/>
        <v>846789000</v>
      </c>
      <c r="F17" s="549"/>
      <c r="G17" s="549">
        <v>846789000</v>
      </c>
      <c r="H17" s="550">
        <f t="shared" si="2"/>
        <v>570.24</v>
      </c>
      <c r="I17" s="550">
        <v>570.24</v>
      </c>
      <c r="J17" s="550"/>
    </row>
    <row r="18" spans="1:10" ht="21.75" customHeight="1">
      <c r="A18" s="34">
        <v>8</v>
      </c>
      <c r="B18" s="361" t="s">
        <v>756</v>
      </c>
      <c r="C18" s="548">
        <v>1500</v>
      </c>
      <c r="D18" s="548">
        <v>1120279000</v>
      </c>
      <c r="E18" s="549">
        <f t="shared" si="1"/>
        <v>322000000</v>
      </c>
      <c r="F18" s="549"/>
      <c r="G18" s="549">
        <v>322000000</v>
      </c>
      <c r="H18" s="550">
        <f t="shared" si="2"/>
        <v>913.28099999999995</v>
      </c>
      <c r="I18" s="550">
        <v>913.28099999999995</v>
      </c>
      <c r="J18" s="550"/>
    </row>
    <row r="19" spans="1:10" s="80" customFormat="1" ht="21.75" customHeight="1">
      <c r="A19" s="84" t="s">
        <v>764</v>
      </c>
      <c r="B19" s="291" t="s">
        <v>765</v>
      </c>
      <c r="C19" s="547">
        <f>SUM(C20:C23)</f>
        <v>0</v>
      </c>
      <c r="D19" s="547">
        <f t="shared" ref="D19:G19" si="3">SUM(D20:D23)</f>
        <v>0</v>
      </c>
      <c r="E19" s="547">
        <f t="shared" si="3"/>
        <v>0</v>
      </c>
      <c r="F19" s="547">
        <f t="shared" si="3"/>
        <v>0</v>
      </c>
      <c r="G19" s="547">
        <f t="shared" si="3"/>
        <v>0</v>
      </c>
      <c r="H19" s="351">
        <f>SUM(H20:H30)</f>
        <v>6500</v>
      </c>
      <c r="I19" s="351">
        <f>SUM(I20:I30)</f>
        <v>6500</v>
      </c>
      <c r="J19" s="351">
        <f>SUM(J20:J30)</f>
        <v>0</v>
      </c>
    </row>
    <row r="20" spans="1:10" s="80" customFormat="1" ht="21.75" customHeight="1">
      <c r="A20" s="34">
        <v>1</v>
      </c>
      <c r="B20" s="557" t="s">
        <v>771</v>
      </c>
      <c r="C20" s="548"/>
      <c r="D20" s="548"/>
      <c r="E20" s="549"/>
      <c r="F20" s="549"/>
      <c r="G20" s="549"/>
      <c r="H20" s="550">
        <f>+I20+J20</f>
        <v>500</v>
      </c>
      <c r="I20" s="550">
        <v>500</v>
      </c>
      <c r="J20" s="550"/>
    </row>
    <row r="21" spans="1:10" s="80" customFormat="1" ht="21.75" customHeight="1">
      <c r="A21" s="34">
        <v>2</v>
      </c>
      <c r="B21" s="553" t="s">
        <v>772</v>
      </c>
      <c r="C21" s="548"/>
      <c r="D21" s="548"/>
      <c r="E21" s="549"/>
      <c r="F21" s="549"/>
      <c r="G21" s="549"/>
      <c r="H21" s="550">
        <f>+I21+J21</f>
        <v>600</v>
      </c>
      <c r="I21" s="550">
        <v>600</v>
      </c>
      <c r="J21" s="550"/>
    </row>
    <row r="22" spans="1:10" ht="54" customHeight="1">
      <c r="A22" s="34">
        <v>3</v>
      </c>
      <c r="B22" s="361" t="s">
        <v>773</v>
      </c>
      <c r="C22" s="548"/>
      <c r="D22" s="548"/>
      <c r="E22" s="549"/>
      <c r="F22" s="549"/>
      <c r="G22" s="549"/>
      <c r="H22" s="550">
        <f>+I22+J22</f>
        <v>600</v>
      </c>
      <c r="I22" s="550">
        <v>600</v>
      </c>
      <c r="J22" s="550"/>
    </row>
    <row r="23" spans="1:10" ht="38.25" customHeight="1">
      <c r="A23" s="34">
        <v>4</v>
      </c>
      <c r="B23" s="361" t="s">
        <v>774</v>
      </c>
      <c r="C23" s="548"/>
      <c r="D23" s="548"/>
      <c r="E23" s="549"/>
      <c r="F23" s="549"/>
      <c r="G23" s="549"/>
      <c r="H23" s="550">
        <f t="shared" ref="H23:H28" si="4">+I23+J23</f>
        <v>600</v>
      </c>
      <c r="I23" s="550">
        <v>600</v>
      </c>
      <c r="J23" s="550"/>
    </row>
    <row r="24" spans="1:10" ht="21.75" customHeight="1">
      <c r="A24" s="34">
        <v>5</v>
      </c>
      <c r="B24" s="361" t="s">
        <v>781</v>
      </c>
      <c r="C24" s="548"/>
      <c r="D24" s="548"/>
      <c r="E24" s="549"/>
      <c r="F24" s="549"/>
      <c r="G24" s="549"/>
      <c r="H24" s="550">
        <f t="shared" si="4"/>
        <v>900</v>
      </c>
      <c r="I24" s="550">
        <v>900</v>
      </c>
      <c r="J24" s="550"/>
    </row>
    <row r="25" spans="1:10" ht="21.75" customHeight="1">
      <c r="A25" s="34">
        <v>6</v>
      </c>
      <c r="B25" s="361" t="s">
        <v>779</v>
      </c>
      <c r="C25" s="548"/>
      <c r="D25" s="548"/>
      <c r="E25" s="549"/>
      <c r="F25" s="549"/>
      <c r="G25" s="549"/>
      <c r="H25" s="550">
        <f t="shared" si="4"/>
        <v>780</v>
      </c>
      <c r="I25" s="550">
        <v>780</v>
      </c>
      <c r="J25" s="550"/>
    </row>
    <row r="26" spans="1:10" ht="21.75" customHeight="1">
      <c r="A26" s="34">
        <v>7</v>
      </c>
      <c r="B26" s="361" t="s">
        <v>780</v>
      </c>
      <c r="C26" s="548"/>
      <c r="D26" s="548"/>
      <c r="E26" s="549"/>
      <c r="F26" s="549"/>
      <c r="G26" s="549"/>
      <c r="H26" s="550">
        <f t="shared" si="4"/>
        <v>900</v>
      </c>
      <c r="I26" s="550">
        <v>900</v>
      </c>
      <c r="J26" s="550"/>
    </row>
    <row r="27" spans="1:10" ht="21.75" customHeight="1">
      <c r="A27" s="34">
        <v>8</v>
      </c>
      <c r="B27" s="361" t="s">
        <v>775</v>
      </c>
      <c r="C27" s="548"/>
      <c r="D27" s="548"/>
      <c r="E27" s="549"/>
      <c r="F27" s="549"/>
      <c r="G27" s="549"/>
      <c r="H27" s="550">
        <f t="shared" si="4"/>
        <v>630</v>
      </c>
      <c r="I27" s="550">
        <v>630</v>
      </c>
      <c r="J27" s="550"/>
    </row>
    <row r="28" spans="1:10" ht="21.75" customHeight="1">
      <c r="A28" s="34">
        <v>9</v>
      </c>
      <c r="B28" s="361" t="s">
        <v>776</v>
      </c>
      <c r="C28" s="548"/>
      <c r="D28" s="548"/>
      <c r="E28" s="549"/>
      <c r="F28" s="549"/>
      <c r="G28" s="549"/>
      <c r="H28" s="550">
        <f t="shared" si="4"/>
        <v>360</v>
      </c>
      <c r="I28" s="550">
        <v>360</v>
      </c>
      <c r="J28" s="550"/>
    </row>
    <row r="29" spans="1:10" ht="21.75" customHeight="1">
      <c r="A29" s="34">
        <v>10</v>
      </c>
      <c r="B29" s="361" t="s">
        <v>777</v>
      </c>
      <c r="C29" s="548"/>
      <c r="D29" s="548"/>
      <c r="E29" s="549"/>
      <c r="F29" s="549"/>
      <c r="G29" s="549"/>
      <c r="H29" s="550">
        <f>+I29+J29</f>
        <v>270</v>
      </c>
      <c r="I29" s="550">
        <v>270</v>
      </c>
      <c r="J29" s="550"/>
    </row>
    <row r="30" spans="1:10" ht="21.75" customHeight="1">
      <c r="A30" s="34">
        <v>11</v>
      </c>
      <c r="B30" s="361" t="s">
        <v>778</v>
      </c>
      <c r="C30" s="548"/>
      <c r="D30" s="548"/>
      <c r="E30" s="549"/>
      <c r="F30" s="549"/>
      <c r="G30" s="549"/>
      <c r="H30" s="550">
        <f>+I30+J30</f>
        <v>360</v>
      </c>
      <c r="I30" s="550">
        <v>360</v>
      </c>
      <c r="J30" s="550"/>
    </row>
    <row r="31" spans="1:10" ht="21.75" customHeight="1">
      <c r="A31" s="84" t="s">
        <v>782</v>
      </c>
      <c r="B31" s="291" t="s">
        <v>807</v>
      </c>
      <c r="C31" s="548"/>
      <c r="D31" s="548"/>
      <c r="E31" s="549"/>
      <c r="F31" s="549"/>
      <c r="G31" s="549"/>
      <c r="H31" s="351">
        <f>+I31+J31</f>
        <v>354.96</v>
      </c>
      <c r="I31" s="351"/>
      <c r="J31" s="351">
        <v>354.96</v>
      </c>
    </row>
    <row r="32" spans="1:10" s="80" customFormat="1" ht="21.75" customHeight="1">
      <c r="A32" s="84" t="s">
        <v>19</v>
      </c>
      <c r="B32" s="291" t="s">
        <v>766</v>
      </c>
      <c r="C32" s="547">
        <f t="shared" ref="C32:G32" si="5">SUM(C33:C34)</f>
        <v>0</v>
      </c>
      <c r="D32" s="547">
        <f t="shared" si="5"/>
        <v>0</v>
      </c>
      <c r="E32" s="547">
        <f t="shared" si="5"/>
        <v>0</v>
      </c>
      <c r="F32" s="547">
        <f t="shared" si="5"/>
        <v>0</v>
      </c>
      <c r="G32" s="547">
        <f t="shared" si="5"/>
        <v>0</v>
      </c>
      <c r="H32" s="351">
        <f>SUM(H33:H40)</f>
        <v>1626.2429999999997</v>
      </c>
      <c r="I32" s="351">
        <f>SUM(I33:I40)</f>
        <v>659</v>
      </c>
      <c r="J32" s="351">
        <f>SUM(J33:J40)</f>
        <v>967.24300000000005</v>
      </c>
    </row>
    <row r="33" spans="1:11" s="80" customFormat="1" ht="58.5" customHeight="1">
      <c r="A33" s="374">
        <v>1</v>
      </c>
      <c r="B33" s="361" t="s">
        <v>767</v>
      </c>
      <c r="C33" s="548"/>
      <c r="D33" s="548"/>
      <c r="E33" s="549"/>
      <c r="F33" s="549"/>
      <c r="G33" s="549"/>
      <c r="H33" s="550">
        <f t="shared" ref="H33:H41" si="6">+I33+J33</f>
        <v>208</v>
      </c>
      <c r="I33" s="550">
        <f>88+120</f>
        <v>208</v>
      </c>
      <c r="J33" s="550"/>
    </row>
    <row r="34" spans="1:11" ht="21.75" customHeight="1">
      <c r="A34" s="34">
        <v>2</v>
      </c>
      <c r="B34" s="361" t="s">
        <v>768</v>
      </c>
      <c r="C34" s="548"/>
      <c r="D34" s="548"/>
      <c r="E34" s="549"/>
      <c r="F34" s="549"/>
      <c r="G34" s="549"/>
      <c r="H34" s="550">
        <f t="shared" si="6"/>
        <v>451</v>
      </c>
      <c r="I34" s="550">
        <v>451</v>
      </c>
      <c r="J34" s="550"/>
      <c r="K34" s="79" t="s">
        <v>769</v>
      </c>
    </row>
    <row r="35" spans="1:11" ht="21.75" customHeight="1">
      <c r="A35" s="374">
        <v>3</v>
      </c>
      <c r="B35" s="361" t="s">
        <v>783</v>
      </c>
      <c r="C35" s="548"/>
      <c r="D35" s="548"/>
      <c r="E35" s="549"/>
      <c r="F35" s="549"/>
      <c r="G35" s="549"/>
      <c r="H35" s="550">
        <f t="shared" si="6"/>
        <v>563.47500000000002</v>
      </c>
      <c r="I35" s="550"/>
      <c r="J35" s="550">
        <v>563.47500000000002</v>
      </c>
    </row>
    <row r="36" spans="1:11" ht="21.75" customHeight="1">
      <c r="A36" s="34">
        <v>4</v>
      </c>
      <c r="B36" s="361" t="s">
        <v>787</v>
      </c>
      <c r="C36" s="548"/>
      <c r="D36" s="548"/>
      <c r="E36" s="549"/>
      <c r="F36" s="549"/>
      <c r="G36" s="549"/>
      <c r="H36" s="550">
        <f t="shared" si="6"/>
        <v>150.19300000000001</v>
      </c>
      <c r="I36" s="550"/>
      <c r="J36" s="550">
        <v>150.19300000000001</v>
      </c>
    </row>
    <row r="37" spans="1:11" ht="21.75" customHeight="1">
      <c r="A37" s="374">
        <v>5</v>
      </c>
      <c r="B37" s="361" t="s">
        <v>784</v>
      </c>
      <c r="C37" s="548"/>
      <c r="D37" s="548"/>
      <c r="E37" s="549"/>
      <c r="F37" s="549"/>
      <c r="G37" s="549"/>
      <c r="H37" s="550">
        <f t="shared" si="6"/>
        <v>96</v>
      </c>
      <c r="I37" s="550"/>
      <c r="J37" s="550">
        <v>96</v>
      </c>
    </row>
    <row r="38" spans="1:11" ht="21.75" customHeight="1">
      <c r="A38" s="34">
        <v>6</v>
      </c>
      <c r="B38" s="361" t="s">
        <v>785</v>
      </c>
      <c r="C38" s="548"/>
      <c r="D38" s="548"/>
      <c r="E38" s="549"/>
      <c r="F38" s="549"/>
      <c r="G38" s="549"/>
      <c r="H38" s="550">
        <f t="shared" si="6"/>
        <v>13.8</v>
      </c>
      <c r="I38" s="550"/>
      <c r="J38" s="550">
        <v>13.8</v>
      </c>
    </row>
    <row r="39" spans="1:11" ht="21.75" customHeight="1">
      <c r="A39" s="374">
        <v>7</v>
      </c>
      <c r="B39" s="361" t="s">
        <v>788</v>
      </c>
      <c r="C39" s="548"/>
      <c r="D39" s="548"/>
      <c r="E39" s="549"/>
      <c r="F39" s="549"/>
      <c r="G39" s="549"/>
      <c r="H39" s="550">
        <f t="shared" si="6"/>
        <v>78.56</v>
      </c>
      <c r="I39" s="550"/>
      <c r="J39" s="550">
        <v>78.56</v>
      </c>
    </row>
    <row r="40" spans="1:11" ht="21.75" customHeight="1">
      <c r="A40" s="34">
        <v>8</v>
      </c>
      <c r="B40" s="361" t="s">
        <v>786</v>
      </c>
      <c r="C40" s="548"/>
      <c r="D40" s="548"/>
      <c r="E40" s="549"/>
      <c r="F40" s="549"/>
      <c r="G40" s="549"/>
      <c r="H40" s="550">
        <f t="shared" si="6"/>
        <v>65.215000000000003</v>
      </c>
      <c r="I40" s="550"/>
      <c r="J40" s="550">
        <v>65.215000000000003</v>
      </c>
    </row>
    <row r="41" spans="1:11" s="80" customFormat="1" ht="21.75" customHeight="1">
      <c r="A41" s="84" t="s">
        <v>295</v>
      </c>
      <c r="B41" s="291" t="s">
        <v>770</v>
      </c>
      <c r="C41" s="558"/>
      <c r="D41" s="558"/>
      <c r="E41" s="558"/>
      <c r="F41" s="558"/>
      <c r="G41" s="558"/>
      <c r="H41" s="351">
        <f t="shared" si="6"/>
        <v>4350.4820000000018</v>
      </c>
      <c r="I41" s="351">
        <f>I7-I8</f>
        <v>3435.6850000000013</v>
      </c>
      <c r="J41" s="351">
        <f>J7-J8</f>
        <v>914.79700000000003</v>
      </c>
    </row>
    <row r="50" spans="3:3" ht="18.75">
      <c r="C50" s="552"/>
    </row>
  </sheetData>
  <mergeCells count="11">
    <mergeCell ref="A2:J2"/>
    <mergeCell ref="A5:A6"/>
    <mergeCell ref="B5:B6"/>
    <mergeCell ref="C5:C6"/>
    <mergeCell ref="D5:D6"/>
    <mergeCell ref="E5:G5"/>
    <mergeCell ref="H5:H6"/>
    <mergeCell ref="I5:I6"/>
    <mergeCell ref="J5:J6"/>
    <mergeCell ref="I4:J4"/>
    <mergeCell ref="A3:J3"/>
  </mergeCells>
  <pageMargins left="0.27559055118110237" right="0.23622047244094491" top="0.31496062992125984" bottom="0.35433070866141736" header="0.23622047244094491"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topLeftCell="A2" workbookViewId="0">
      <selection activeCell="L13" sqref="L13"/>
    </sheetView>
  </sheetViews>
  <sheetFormatPr defaultColWidth="9" defaultRowHeight="15.75"/>
  <cols>
    <col min="1" max="1" width="5.88671875" style="332" customWidth="1"/>
    <col min="2" max="2" width="56.88671875" style="79" customWidth="1"/>
    <col min="3" max="3" width="16.77734375" style="332" customWidth="1"/>
    <col min="4" max="4" width="10.77734375" style="79" customWidth="1"/>
    <col min="5" max="5" width="17.21875" style="79" customWidth="1"/>
    <col min="6" max="6" width="15.44140625" style="79" customWidth="1"/>
    <col min="7" max="7" width="14.109375" style="420" customWidth="1"/>
    <col min="8" max="8" width="9.6640625" style="79" customWidth="1"/>
    <col min="9" max="9" width="9.33203125" style="79" customWidth="1"/>
    <col min="10" max="16384" width="9" style="79"/>
  </cols>
  <sheetData>
    <row r="1" spans="1:12" hidden="1">
      <c r="A1" s="262" t="s">
        <v>674</v>
      </c>
      <c r="G1" s="81"/>
    </row>
    <row r="2" spans="1:12" ht="18" customHeight="1">
      <c r="A2" s="80"/>
      <c r="G2" s="752" t="s">
        <v>662</v>
      </c>
      <c r="H2" s="752"/>
      <c r="I2" s="413"/>
    </row>
    <row r="3" spans="1:12" ht="18.75" customHeight="1">
      <c r="A3" s="767" t="s">
        <v>827</v>
      </c>
      <c r="B3" s="767"/>
      <c r="C3" s="767"/>
      <c r="D3" s="767"/>
      <c r="E3" s="767"/>
      <c r="F3" s="767"/>
      <c r="G3" s="767"/>
      <c r="H3" s="767"/>
      <c r="I3" s="414"/>
    </row>
    <row r="4" spans="1:12" ht="18" customHeight="1">
      <c r="A4" s="768" t="str">
        <f>'Sử dụng DP'!A3:J3</f>
        <v>(Kèm theo Nghị quyết số          /NQ-HĐND ngày          tháng 12 năm 2024 của HĐND huyện Tuần Giáo)</v>
      </c>
      <c r="B4" s="769"/>
      <c r="C4" s="769"/>
      <c r="D4" s="769"/>
      <c r="E4" s="769"/>
      <c r="F4" s="769"/>
      <c r="G4" s="769"/>
      <c r="H4" s="769"/>
      <c r="I4" s="215"/>
      <c r="J4" s="212"/>
      <c r="K4" s="212"/>
      <c r="L4" s="212"/>
    </row>
    <row r="5" spans="1:12" ht="18.75" customHeight="1">
      <c r="A5" s="415"/>
      <c r="B5" s="416"/>
      <c r="C5" s="416"/>
      <c r="D5" s="416"/>
      <c r="E5" s="417"/>
      <c r="F5" s="417"/>
      <c r="G5" s="417"/>
      <c r="H5" s="418" t="s">
        <v>229</v>
      </c>
      <c r="I5" s="418"/>
    </row>
    <row r="6" spans="1:12" ht="16.5" customHeight="1">
      <c r="A6" s="770" t="s">
        <v>675</v>
      </c>
      <c r="B6" s="770" t="s">
        <v>580</v>
      </c>
      <c r="C6" s="770" t="s">
        <v>676</v>
      </c>
      <c r="D6" s="770" t="s">
        <v>581</v>
      </c>
      <c r="E6" s="771" t="s">
        <v>677</v>
      </c>
      <c r="F6" s="772" t="s">
        <v>678</v>
      </c>
      <c r="G6" s="771" t="s">
        <v>829</v>
      </c>
      <c r="H6" s="771" t="s">
        <v>585</v>
      </c>
      <c r="I6" s="262"/>
    </row>
    <row r="7" spans="1:12" ht="33" customHeight="1">
      <c r="A7" s="770"/>
      <c r="B7" s="770"/>
      <c r="C7" s="770"/>
      <c r="D7" s="770"/>
      <c r="E7" s="771"/>
      <c r="F7" s="773"/>
      <c r="G7" s="771"/>
      <c r="H7" s="771"/>
      <c r="I7" s="262"/>
    </row>
    <row r="8" spans="1:12" ht="18.600000000000001" customHeight="1">
      <c r="A8" s="563"/>
      <c r="B8" s="563" t="s">
        <v>615</v>
      </c>
      <c r="C8" s="563"/>
      <c r="D8" s="571">
        <f>D9+D20</f>
        <v>48600</v>
      </c>
      <c r="E8" s="571">
        <f t="shared" ref="E8:G8" si="0">E9+E20</f>
        <v>23728.5</v>
      </c>
      <c r="F8" s="571">
        <f t="shared" si="0"/>
        <v>0</v>
      </c>
      <c r="G8" s="571">
        <f t="shared" si="0"/>
        <v>23579</v>
      </c>
      <c r="H8" s="211"/>
      <c r="I8" s="79" t="s">
        <v>840</v>
      </c>
    </row>
    <row r="9" spans="1:12" s="80" customFormat="1" ht="21.6" customHeight="1">
      <c r="A9" s="563" t="s">
        <v>18</v>
      </c>
      <c r="B9" s="419" t="s">
        <v>828</v>
      </c>
      <c r="C9" s="563"/>
      <c r="D9" s="571">
        <f>SUM(D10:D19)</f>
        <v>24400</v>
      </c>
      <c r="E9" s="571">
        <f t="shared" ref="E9:G9" si="1">SUM(E10:E19)</f>
        <v>23728.5</v>
      </c>
      <c r="F9" s="571">
        <f t="shared" si="1"/>
        <v>0</v>
      </c>
      <c r="G9" s="571">
        <f t="shared" si="1"/>
        <v>11529</v>
      </c>
      <c r="H9" s="571"/>
    </row>
    <row r="10" spans="1:12" ht="18.600000000000001" customHeight="1">
      <c r="A10" s="34">
        <v>1</v>
      </c>
      <c r="B10" s="423" t="s">
        <v>679</v>
      </c>
      <c r="C10" s="304" t="s">
        <v>680</v>
      </c>
      <c r="D10" s="305">
        <v>2500</v>
      </c>
      <c r="E10" s="305">
        <v>2354</v>
      </c>
      <c r="F10" s="572"/>
      <c r="G10" s="88">
        <v>1104</v>
      </c>
      <c r="H10" s="572"/>
      <c r="I10" s="251"/>
    </row>
    <row r="11" spans="1:12" ht="18.600000000000001" customHeight="1">
      <c r="A11" s="34">
        <v>2</v>
      </c>
      <c r="B11" s="423" t="s">
        <v>681</v>
      </c>
      <c r="C11" s="304" t="s">
        <v>265</v>
      </c>
      <c r="D11" s="305">
        <v>2500</v>
      </c>
      <c r="E11" s="305">
        <v>2468.5</v>
      </c>
      <c r="F11" s="572"/>
      <c r="G11" s="88">
        <v>1219</v>
      </c>
      <c r="H11" s="572"/>
      <c r="I11" s="251"/>
    </row>
    <row r="12" spans="1:12" ht="18.600000000000001" customHeight="1">
      <c r="A12" s="34">
        <v>3</v>
      </c>
      <c r="B12" s="423" t="s">
        <v>682</v>
      </c>
      <c r="C12" s="304" t="s">
        <v>271</v>
      </c>
      <c r="D12" s="305">
        <v>2500</v>
      </c>
      <c r="E12" s="305">
        <v>2443</v>
      </c>
      <c r="F12" s="572"/>
      <c r="G12" s="88">
        <v>1193</v>
      </c>
      <c r="H12" s="572"/>
      <c r="I12" s="251"/>
    </row>
    <row r="13" spans="1:12" ht="18.600000000000001" customHeight="1">
      <c r="A13" s="34">
        <v>4</v>
      </c>
      <c r="B13" s="423" t="s">
        <v>683</v>
      </c>
      <c r="C13" s="304" t="s">
        <v>278</v>
      </c>
      <c r="D13" s="305">
        <v>2000</v>
      </c>
      <c r="E13" s="305">
        <v>1945</v>
      </c>
      <c r="F13" s="572"/>
      <c r="G13" s="88">
        <v>945</v>
      </c>
      <c r="H13" s="572"/>
      <c r="I13" s="251"/>
    </row>
    <row r="14" spans="1:12" ht="18.600000000000001" customHeight="1">
      <c r="A14" s="34">
        <v>5</v>
      </c>
      <c r="B14" s="423" t="s">
        <v>684</v>
      </c>
      <c r="C14" s="304" t="s">
        <v>277</v>
      </c>
      <c r="D14" s="305">
        <v>2100</v>
      </c>
      <c r="E14" s="305">
        <v>2013</v>
      </c>
      <c r="F14" s="572"/>
      <c r="G14" s="88">
        <v>913</v>
      </c>
      <c r="H14" s="572"/>
      <c r="I14" s="251"/>
    </row>
    <row r="15" spans="1:12" ht="18.600000000000001" customHeight="1">
      <c r="A15" s="34">
        <v>6</v>
      </c>
      <c r="B15" s="423" t="s">
        <v>685</v>
      </c>
      <c r="C15" s="304" t="s">
        <v>274</v>
      </c>
      <c r="D15" s="305">
        <v>1800</v>
      </c>
      <c r="E15" s="305">
        <v>1791</v>
      </c>
      <c r="F15" s="572"/>
      <c r="G15" s="88">
        <v>891</v>
      </c>
      <c r="H15" s="572"/>
      <c r="I15" s="251"/>
    </row>
    <row r="16" spans="1:12" ht="18.600000000000001" customHeight="1">
      <c r="A16" s="34">
        <v>7</v>
      </c>
      <c r="B16" s="423" t="s">
        <v>686</v>
      </c>
      <c r="C16" s="304" t="s">
        <v>262</v>
      </c>
      <c r="D16" s="305">
        <v>3500</v>
      </c>
      <c r="E16" s="305">
        <v>3403</v>
      </c>
      <c r="F16" s="572"/>
      <c r="G16" s="88">
        <v>1703</v>
      </c>
      <c r="H16" s="572"/>
      <c r="I16" s="251"/>
    </row>
    <row r="17" spans="1:9" ht="18.600000000000001" customHeight="1">
      <c r="A17" s="34">
        <v>8</v>
      </c>
      <c r="B17" s="423" t="s">
        <v>687</v>
      </c>
      <c r="C17" s="304" t="s">
        <v>264</v>
      </c>
      <c r="D17" s="305">
        <v>2500</v>
      </c>
      <c r="E17" s="305">
        <v>2410</v>
      </c>
      <c r="F17" s="572"/>
      <c r="G17" s="88">
        <v>1160</v>
      </c>
      <c r="H17" s="572"/>
      <c r="I17" s="251"/>
    </row>
    <row r="18" spans="1:9" ht="18.600000000000001" customHeight="1">
      <c r="A18" s="34">
        <v>9</v>
      </c>
      <c r="B18" s="423" t="s">
        <v>688</v>
      </c>
      <c r="C18" s="304" t="s">
        <v>269</v>
      </c>
      <c r="D18" s="305">
        <v>2500</v>
      </c>
      <c r="E18" s="305">
        <v>2484</v>
      </c>
      <c r="F18" s="572"/>
      <c r="G18" s="88">
        <v>1234</v>
      </c>
      <c r="H18" s="572"/>
      <c r="I18" s="251"/>
    </row>
    <row r="19" spans="1:9" ht="18.600000000000001" customHeight="1">
      <c r="A19" s="34">
        <v>10</v>
      </c>
      <c r="B19" s="423" t="s">
        <v>689</v>
      </c>
      <c r="C19" s="304" t="s">
        <v>271</v>
      </c>
      <c r="D19" s="305">
        <v>2500</v>
      </c>
      <c r="E19" s="305">
        <v>2417</v>
      </c>
      <c r="F19" s="572"/>
      <c r="G19" s="88">
        <v>1167</v>
      </c>
      <c r="H19" s="572"/>
      <c r="I19" s="251"/>
    </row>
    <row r="20" spans="1:9" s="200" customFormat="1" ht="18.600000000000001" customHeight="1">
      <c r="A20" s="573" t="s">
        <v>19</v>
      </c>
      <c r="B20" s="574" t="s">
        <v>826</v>
      </c>
      <c r="C20" s="573"/>
      <c r="D20" s="575">
        <f>SUM(D21:D31)</f>
        <v>24200</v>
      </c>
      <c r="E20" s="575">
        <f t="shared" ref="E20:G20" si="2">SUM(E21:E31)</f>
        <v>0</v>
      </c>
      <c r="F20" s="575">
        <f t="shared" si="2"/>
        <v>0</v>
      </c>
      <c r="G20" s="575">
        <f t="shared" si="2"/>
        <v>12050</v>
      </c>
      <c r="H20" s="576"/>
    </row>
    <row r="21" spans="1:9" ht="18.600000000000001" customHeight="1">
      <c r="A21" s="304">
        <v>1</v>
      </c>
      <c r="B21" s="423" t="s">
        <v>812</v>
      </c>
      <c r="C21" s="304" t="s">
        <v>813</v>
      </c>
      <c r="D21" s="305">
        <v>1500</v>
      </c>
      <c r="E21" s="211"/>
      <c r="F21" s="211"/>
      <c r="G21" s="305">
        <v>800</v>
      </c>
      <c r="H21" s="211"/>
    </row>
    <row r="22" spans="1:9" ht="18.600000000000001" customHeight="1">
      <c r="A22" s="304">
        <v>2</v>
      </c>
      <c r="B22" s="423" t="s">
        <v>814</v>
      </c>
      <c r="C22" s="304" t="s">
        <v>815</v>
      </c>
      <c r="D22" s="305">
        <v>2500</v>
      </c>
      <c r="E22" s="211"/>
      <c r="F22" s="211"/>
      <c r="G22" s="305">
        <v>1200</v>
      </c>
      <c r="H22" s="211"/>
    </row>
    <row r="23" spans="1:9" ht="18.600000000000001" customHeight="1">
      <c r="A23" s="34">
        <v>3</v>
      </c>
      <c r="B23" s="423" t="s">
        <v>816</v>
      </c>
      <c r="C23" s="304" t="s">
        <v>830</v>
      </c>
      <c r="D23" s="305">
        <v>3500</v>
      </c>
      <c r="E23" s="305"/>
      <c r="F23" s="572"/>
      <c r="G23" s="88">
        <v>1700</v>
      </c>
      <c r="H23" s="572"/>
      <c r="I23" s="251"/>
    </row>
    <row r="24" spans="1:9" ht="18.600000000000001" customHeight="1">
      <c r="A24" s="34">
        <v>4</v>
      </c>
      <c r="B24" s="423" t="s">
        <v>817</v>
      </c>
      <c r="C24" s="304" t="s">
        <v>271</v>
      </c>
      <c r="D24" s="305">
        <v>2000</v>
      </c>
      <c r="E24" s="305"/>
      <c r="F24" s="572"/>
      <c r="G24" s="88">
        <v>1000</v>
      </c>
      <c r="H24" s="572"/>
      <c r="I24" s="251"/>
    </row>
    <row r="25" spans="1:9" ht="18.600000000000001" customHeight="1">
      <c r="A25" s="34">
        <v>5</v>
      </c>
      <c r="B25" s="423" t="s">
        <v>818</v>
      </c>
      <c r="C25" s="304" t="s">
        <v>831</v>
      </c>
      <c r="D25" s="305">
        <v>5000</v>
      </c>
      <c r="E25" s="305"/>
      <c r="F25" s="572"/>
      <c r="G25" s="88">
        <v>2500</v>
      </c>
      <c r="H25" s="572"/>
      <c r="I25" s="251"/>
    </row>
    <row r="26" spans="1:9" ht="18.600000000000001" customHeight="1">
      <c r="A26" s="34">
        <v>6</v>
      </c>
      <c r="B26" s="423" t="s">
        <v>819</v>
      </c>
      <c r="C26" s="304" t="s">
        <v>820</v>
      </c>
      <c r="D26" s="305">
        <v>1500</v>
      </c>
      <c r="E26" s="305"/>
      <c r="F26" s="572"/>
      <c r="G26" s="88">
        <v>700</v>
      </c>
      <c r="H26" s="572"/>
      <c r="I26" s="251"/>
    </row>
    <row r="27" spans="1:9" ht="18.600000000000001" customHeight="1">
      <c r="A27" s="34">
        <v>7</v>
      </c>
      <c r="B27" s="423" t="s">
        <v>821</v>
      </c>
      <c r="C27" s="304" t="s">
        <v>832</v>
      </c>
      <c r="D27" s="305">
        <v>1500</v>
      </c>
      <c r="E27" s="305"/>
      <c r="F27" s="572"/>
      <c r="G27" s="88">
        <v>700</v>
      </c>
      <c r="H27" s="572"/>
      <c r="I27" s="251"/>
    </row>
    <row r="28" spans="1:9" ht="18.600000000000001" customHeight="1">
      <c r="A28" s="34">
        <v>8</v>
      </c>
      <c r="B28" s="423" t="s">
        <v>822</v>
      </c>
      <c r="C28" s="304" t="s">
        <v>262</v>
      </c>
      <c r="D28" s="305">
        <v>1500</v>
      </c>
      <c r="E28" s="305"/>
      <c r="F28" s="572"/>
      <c r="G28" s="88">
        <v>800</v>
      </c>
      <c r="H28" s="572"/>
      <c r="I28" s="251"/>
    </row>
    <row r="29" spans="1:9" ht="18.600000000000001" customHeight="1">
      <c r="A29" s="304">
        <v>9</v>
      </c>
      <c r="B29" s="423" t="s">
        <v>823</v>
      </c>
      <c r="C29" s="304" t="s">
        <v>833</v>
      </c>
      <c r="D29" s="305">
        <v>1200</v>
      </c>
      <c r="E29" s="211"/>
      <c r="F29" s="211"/>
      <c r="G29" s="305">
        <v>600</v>
      </c>
      <c r="H29" s="211"/>
    </row>
    <row r="30" spans="1:9" ht="18.600000000000001" customHeight="1">
      <c r="A30" s="304">
        <v>10</v>
      </c>
      <c r="B30" s="423" t="s">
        <v>824</v>
      </c>
      <c r="C30" s="304" t="s">
        <v>278</v>
      </c>
      <c r="D30" s="305">
        <v>1500</v>
      </c>
      <c r="E30" s="211"/>
      <c r="F30" s="211"/>
      <c r="G30" s="305">
        <v>800</v>
      </c>
      <c r="H30" s="211"/>
    </row>
    <row r="31" spans="1:9" ht="18.600000000000001" customHeight="1">
      <c r="A31" s="304">
        <v>11</v>
      </c>
      <c r="B31" s="423" t="s">
        <v>825</v>
      </c>
      <c r="C31" s="304" t="s">
        <v>266</v>
      </c>
      <c r="D31" s="305">
        <v>2500</v>
      </c>
      <c r="E31" s="572"/>
      <c r="F31" s="85"/>
      <c r="G31" s="305">
        <v>1250</v>
      </c>
      <c r="H31" s="211"/>
    </row>
    <row r="32" spans="1:9">
      <c r="B32" s="424"/>
      <c r="C32" s="422"/>
      <c r="D32" s="80"/>
      <c r="E32" s="421"/>
      <c r="F32" s="80"/>
      <c r="G32" s="251"/>
    </row>
  </sheetData>
  <mergeCells count="11">
    <mergeCell ref="G2:H2"/>
    <mergeCell ref="A3:H3"/>
    <mergeCell ref="A4:H4"/>
    <mergeCell ref="A6:A7"/>
    <mergeCell ref="B6:B7"/>
    <mergeCell ref="C6:C7"/>
    <mergeCell ref="D6:D7"/>
    <mergeCell ref="E6:E7"/>
    <mergeCell ref="F6:F7"/>
    <mergeCell ref="G6:G7"/>
    <mergeCell ref="H6:H7"/>
  </mergeCells>
  <pageMargins left="0.31" right="0.25" top="0.33" bottom="0.57999999999999996" header="0.2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N31"/>
  <sheetViews>
    <sheetView workbookViewId="0">
      <selection activeCell="A3" sqref="A3:G3"/>
    </sheetView>
  </sheetViews>
  <sheetFormatPr defaultColWidth="7.88671875" defaultRowHeight="16.5"/>
  <cols>
    <col min="1" max="1" width="4.44140625" style="296" customWidth="1"/>
    <col min="2" max="2" width="33.109375" style="296" customWidth="1"/>
    <col min="3" max="3" width="10.44140625" style="296" customWidth="1"/>
    <col min="4" max="4" width="14.109375" style="296" customWidth="1"/>
    <col min="5" max="5" width="10.88671875" style="296" customWidth="1"/>
    <col min="6" max="6" width="12.77734375" style="296" customWidth="1"/>
    <col min="7" max="7" width="12" style="363" customWidth="1"/>
    <col min="8" max="8" width="10" style="296" bestFit="1" customWidth="1"/>
    <col min="9" max="9" width="10" style="296" customWidth="1"/>
    <col min="10" max="10" width="7.88671875" style="296"/>
    <col min="11" max="11" width="12.6640625" style="296" customWidth="1"/>
    <col min="12" max="12" width="13.88671875" style="296" customWidth="1"/>
    <col min="13" max="13" width="21.88671875" style="296" customWidth="1"/>
    <col min="14" max="248" width="7.88671875" style="296"/>
    <col min="249" max="249" width="4.44140625" style="296" customWidth="1"/>
    <col min="250" max="250" width="30.109375" style="296" customWidth="1"/>
    <col min="251" max="251" width="9.88671875" style="296" customWidth="1"/>
    <col min="252" max="252" width="11.21875" style="296" customWidth="1"/>
    <col min="253" max="254" width="10.21875" style="296" customWidth="1"/>
    <col min="255" max="255" width="12.21875" style="296" customWidth="1"/>
    <col min="256" max="16384" width="7.88671875" style="296"/>
  </cols>
  <sheetData>
    <row r="1" spans="1:248" ht="18.75" customHeight="1">
      <c r="A1" s="774" t="s">
        <v>608</v>
      </c>
      <c r="B1" s="774"/>
      <c r="C1" s="774"/>
      <c r="D1" s="774"/>
      <c r="E1" s="774"/>
      <c r="F1" s="774"/>
      <c r="G1" s="774"/>
    </row>
    <row r="2" spans="1:248" ht="18.75" customHeight="1">
      <c r="A2" s="775" t="s">
        <v>698</v>
      </c>
      <c r="B2" s="775"/>
      <c r="C2" s="775"/>
      <c r="D2" s="775"/>
      <c r="E2" s="775"/>
      <c r="F2" s="775"/>
      <c r="G2" s="775"/>
    </row>
    <row r="3" spans="1:248" ht="18.75" customHeight="1">
      <c r="A3" s="776" t="str">
        <f>'[4]Chi xã, TT 2024'!A3:V3</f>
        <v>(Kèm theo Quyết đinh số 1929/QĐ-UBND ngày 20 tháng 12 năm 2023 của UBND huyện Tuần Giáo)</v>
      </c>
      <c r="B3" s="776"/>
      <c r="C3" s="776"/>
      <c r="D3" s="776"/>
      <c r="E3" s="776"/>
      <c r="F3" s="776"/>
      <c r="G3" s="776"/>
    </row>
    <row r="4" spans="1:248" ht="27" customHeight="1">
      <c r="A4" s="335"/>
      <c r="B4" s="336"/>
      <c r="C4" s="337"/>
      <c r="D4" s="337"/>
      <c r="E4" s="337"/>
      <c r="F4" s="777" t="s">
        <v>87</v>
      </c>
      <c r="G4" s="777"/>
    </row>
    <row r="5" spans="1:248" ht="57" customHeight="1">
      <c r="A5" s="264" t="s">
        <v>58</v>
      </c>
      <c r="B5" s="264" t="s">
        <v>580</v>
      </c>
      <c r="C5" s="338" t="s">
        <v>581</v>
      </c>
      <c r="D5" s="339" t="s">
        <v>582</v>
      </c>
      <c r="E5" s="339" t="s">
        <v>583</v>
      </c>
      <c r="F5" s="339" t="s">
        <v>584</v>
      </c>
      <c r="G5" s="340" t="s">
        <v>585</v>
      </c>
      <c r="I5" s="335"/>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341"/>
      <c r="CF5" s="341"/>
      <c r="CG5" s="341"/>
      <c r="CH5" s="341"/>
      <c r="CI5" s="341"/>
      <c r="CJ5" s="341"/>
      <c r="CK5" s="341"/>
      <c r="CL5" s="341"/>
      <c r="CM5" s="341"/>
      <c r="CN5" s="341"/>
      <c r="CO5" s="341"/>
      <c r="CP5" s="341"/>
      <c r="CQ5" s="341"/>
      <c r="CR5" s="341"/>
      <c r="CS5" s="341"/>
      <c r="CT5" s="341"/>
      <c r="CU5" s="341"/>
      <c r="CV5" s="341"/>
      <c r="CW5" s="341"/>
      <c r="CX5" s="341"/>
      <c r="CY5" s="341"/>
      <c r="CZ5" s="341"/>
      <c r="DA5" s="341"/>
      <c r="DB5" s="341"/>
      <c r="DC5" s="341"/>
      <c r="DD5" s="341"/>
      <c r="DE5" s="341"/>
      <c r="DF5" s="341"/>
      <c r="DG5" s="341"/>
      <c r="DH5" s="341"/>
      <c r="DI5" s="341"/>
      <c r="DJ5" s="341"/>
      <c r="DK5" s="341"/>
      <c r="DL5" s="341"/>
      <c r="DM5" s="341"/>
      <c r="DN5" s="341"/>
      <c r="DO5" s="341"/>
      <c r="DP5" s="341"/>
      <c r="DQ5" s="341"/>
      <c r="DR5" s="341"/>
      <c r="DS5" s="341"/>
      <c r="DT5" s="341"/>
      <c r="DU5" s="341"/>
      <c r="DV5" s="341"/>
      <c r="DW5" s="341"/>
      <c r="DX5" s="341"/>
      <c r="DY5" s="341"/>
      <c r="DZ5" s="341"/>
      <c r="EA5" s="341"/>
      <c r="EB5" s="341"/>
      <c r="EC5" s="341"/>
      <c r="ED5" s="341"/>
      <c r="EE5" s="341"/>
      <c r="EF5" s="341"/>
      <c r="EG5" s="341"/>
      <c r="EH5" s="341"/>
      <c r="EI5" s="341"/>
      <c r="EJ5" s="341"/>
      <c r="EK5" s="341"/>
      <c r="EL5" s="341"/>
      <c r="EM5" s="341"/>
      <c r="EN5" s="341"/>
      <c r="EO5" s="341"/>
      <c r="EP5" s="341"/>
      <c r="EQ5" s="341"/>
      <c r="ER5" s="341"/>
      <c r="ES5" s="341"/>
      <c r="ET5" s="341"/>
      <c r="EU5" s="341"/>
      <c r="EV5" s="341"/>
      <c r="EW5" s="341"/>
      <c r="EX5" s="341"/>
      <c r="EY5" s="341"/>
      <c r="EZ5" s="341"/>
      <c r="FA5" s="341"/>
      <c r="FB5" s="341"/>
      <c r="FC5" s="341"/>
      <c r="FD5" s="341"/>
      <c r="FE5" s="341"/>
      <c r="FF5" s="341"/>
      <c r="FG5" s="341"/>
      <c r="FH5" s="341"/>
      <c r="FI5" s="341"/>
      <c r="FJ5" s="341"/>
      <c r="FK5" s="341"/>
      <c r="FL5" s="341"/>
      <c r="FM5" s="341"/>
      <c r="FN5" s="341"/>
      <c r="FO5" s="341"/>
      <c r="FP5" s="341"/>
      <c r="FQ5" s="341"/>
      <c r="FR5" s="341"/>
      <c r="FS5" s="341"/>
      <c r="FT5" s="341"/>
      <c r="FU5" s="341"/>
      <c r="FV5" s="341"/>
      <c r="FW5" s="341"/>
      <c r="FX5" s="341"/>
      <c r="FY5" s="341"/>
      <c r="FZ5" s="341"/>
      <c r="GA5" s="341"/>
      <c r="GB5" s="341"/>
      <c r="GC5" s="341"/>
      <c r="GD5" s="341"/>
      <c r="GE5" s="341"/>
      <c r="GF5" s="341"/>
      <c r="GG5" s="341"/>
      <c r="GH5" s="341"/>
      <c r="GI5" s="341"/>
      <c r="GJ5" s="341"/>
      <c r="GK5" s="341"/>
      <c r="GL5" s="341"/>
      <c r="GM5" s="341"/>
      <c r="GN5" s="341"/>
      <c r="GO5" s="341"/>
      <c r="GP5" s="341"/>
      <c r="GQ5" s="341"/>
      <c r="GR5" s="341"/>
      <c r="GS5" s="341"/>
      <c r="GT5" s="341"/>
      <c r="GU5" s="341"/>
      <c r="GV5" s="341"/>
      <c r="GW5" s="341"/>
      <c r="GX5" s="341"/>
      <c r="GY5" s="341"/>
      <c r="GZ5" s="341"/>
      <c r="HA5" s="341"/>
      <c r="HB5" s="341"/>
      <c r="HC5" s="341"/>
      <c r="HD5" s="341"/>
      <c r="HE5" s="341"/>
      <c r="HF5" s="341"/>
      <c r="HG5" s="341"/>
      <c r="HH5" s="341"/>
      <c r="HI5" s="341"/>
      <c r="HJ5" s="341"/>
      <c r="HK5" s="341"/>
      <c r="HL5" s="341"/>
      <c r="HM5" s="341"/>
      <c r="HN5" s="341"/>
      <c r="HO5" s="341"/>
      <c r="HP5" s="341"/>
      <c r="HQ5" s="341"/>
      <c r="HR5" s="341"/>
      <c r="HS5" s="341"/>
      <c r="HT5" s="341"/>
      <c r="HU5" s="341"/>
      <c r="HV5" s="341"/>
      <c r="HW5" s="341"/>
      <c r="HX5" s="341"/>
      <c r="HY5" s="341"/>
      <c r="HZ5" s="341"/>
      <c r="IA5" s="341"/>
      <c r="IB5" s="341"/>
      <c r="IC5" s="341"/>
      <c r="ID5" s="341"/>
      <c r="IE5" s="341"/>
      <c r="IF5" s="341"/>
      <c r="IG5" s="341"/>
      <c r="IH5" s="341"/>
      <c r="II5" s="341"/>
      <c r="IJ5" s="341"/>
      <c r="IK5" s="341"/>
      <c r="IL5" s="341"/>
      <c r="IM5" s="341"/>
      <c r="IN5" s="341"/>
    </row>
    <row r="6" spans="1:248">
      <c r="A6" s="85"/>
      <c r="B6" s="84" t="s">
        <v>458</v>
      </c>
      <c r="C6" s="342">
        <f>C7</f>
        <v>84300</v>
      </c>
      <c r="D6" s="425">
        <f>D7</f>
        <v>66426.41750000001</v>
      </c>
      <c r="E6" s="425">
        <f>E7</f>
        <v>59293.56900000001</v>
      </c>
      <c r="F6" s="343">
        <f>F7</f>
        <v>7526</v>
      </c>
      <c r="G6" s="344"/>
      <c r="I6" s="345"/>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341"/>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c r="CB6" s="341"/>
      <c r="CC6" s="341"/>
      <c r="CD6" s="341"/>
      <c r="CE6" s="341"/>
      <c r="CF6" s="341"/>
      <c r="CG6" s="341"/>
      <c r="CH6" s="341"/>
      <c r="CI6" s="341"/>
      <c r="CJ6" s="341"/>
      <c r="CK6" s="341"/>
      <c r="CL6" s="341"/>
      <c r="CM6" s="341"/>
      <c r="CN6" s="341"/>
      <c r="CO6" s="341"/>
      <c r="CP6" s="341"/>
      <c r="CQ6" s="341"/>
      <c r="CR6" s="341"/>
      <c r="CS6" s="341"/>
      <c r="CT6" s="341"/>
      <c r="CU6" s="341"/>
      <c r="CV6" s="341"/>
      <c r="CW6" s="341"/>
      <c r="CX6" s="341"/>
      <c r="CY6" s="341"/>
      <c r="CZ6" s="341"/>
      <c r="DA6" s="341"/>
      <c r="DB6" s="341"/>
      <c r="DC6" s="341"/>
      <c r="DD6" s="341"/>
      <c r="DE6" s="341"/>
      <c r="DF6" s="341"/>
      <c r="DG6" s="341"/>
      <c r="DH6" s="341"/>
      <c r="DI6" s="341"/>
      <c r="DJ6" s="341"/>
      <c r="DK6" s="341"/>
      <c r="DL6" s="341"/>
      <c r="DM6" s="341"/>
      <c r="DN6" s="341"/>
      <c r="DO6" s="341"/>
      <c r="DP6" s="341"/>
      <c r="DQ6" s="341"/>
      <c r="DR6" s="341"/>
      <c r="DS6" s="341"/>
      <c r="DT6" s="341"/>
      <c r="DU6" s="341"/>
      <c r="DV6" s="341"/>
      <c r="DW6" s="341"/>
      <c r="DX6" s="341"/>
      <c r="DY6" s="341"/>
      <c r="DZ6" s="341"/>
      <c r="EA6" s="341"/>
      <c r="EB6" s="341"/>
      <c r="EC6" s="341"/>
      <c r="ED6" s="341"/>
      <c r="EE6" s="341"/>
      <c r="EF6" s="341"/>
      <c r="EG6" s="341"/>
      <c r="EH6" s="341"/>
      <c r="EI6" s="341"/>
      <c r="EJ6" s="341"/>
      <c r="EK6" s="341"/>
      <c r="EL6" s="341"/>
      <c r="EM6" s="341"/>
      <c r="EN6" s="341"/>
      <c r="EO6" s="341"/>
      <c r="EP6" s="341"/>
      <c r="EQ6" s="341"/>
      <c r="ER6" s="341"/>
      <c r="ES6" s="341"/>
      <c r="ET6" s="341"/>
      <c r="EU6" s="341"/>
      <c r="EV6" s="341"/>
      <c r="EW6" s="341"/>
      <c r="EX6" s="341"/>
      <c r="EY6" s="341"/>
      <c r="EZ6" s="341"/>
      <c r="FA6" s="341"/>
      <c r="FB6" s="341"/>
      <c r="FC6" s="341"/>
      <c r="FD6" s="341"/>
      <c r="FE6" s="341"/>
      <c r="FF6" s="341"/>
      <c r="FG6" s="341"/>
      <c r="FH6" s="341"/>
      <c r="FI6" s="341"/>
      <c r="FJ6" s="341"/>
      <c r="FK6" s="341"/>
      <c r="FL6" s="341"/>
      <c r="FM6" s="341"/>
      <c r="FN6" s="341"/>
      <c r="FO6" s="341"/>
      <c r="FP6" s="341"/>
      <c r="FQ6" s="341"/>
      <c r="FR6" s="341"/>
      <c r="FS6" s="341"/>
      <c r="FT6" s="341"/>
      <c r="FU6" s="341"/>
      <c r="FV6" s="341"/>
      <c r="FW6" s="341"/>
      <c r="FX6" s="341"/>
      <c r="FY6" s="341"/>
      <c r="FZ6" s="341"/>
      <c r="GA6" s="341"/>
      <c r="GB6" s="341"/>
      <c r="GC6" s="341"/>
      <c r="GD6" s="341"/>
      <c r="GE6" s="341"/>
      <c r="GF6" s="341"/>
      <c r="GG6" s="341"/>
      <c r="GH6" s="341"/>
      <c r="GI6" s="341"/>
      <c r="GJ6" s="341"/>
      <c r="GK6" s="341"/>
      <c r="GL6" s="341"/>
      <c r="GM6" s="341"/>
      <c r="GN6" s="341"/>
      <c r="GO6" s="341"/>
      <c r="GP6" s="341"/>
      <c r="GQ6" s="341"/>
      <c r="GR6" s="341"/>
      <c r="GS6" s="341"/>
      <c r="GT6" s="341"/>
      <c r="GU6" s="341"/>
      <c r="GV6" s="341"/>
      <c r="GW6" s="341"/>
      <c r="GX6" s="341"/>
      <c r="GY6" s="341"/>
      <c r="GZ6" s="341"/>
      <c r="HA6" s="341"/>
      <c r="HB6" s="341"/>
      <c r="HC6" s="341"/>
      <c r="HD6" s="341"/>
      <c r="HE6" s="341"/>
      <c r="HF6" s="341"/>
      <c r="HG6" s="341"/>
      <c r="HH6" s="341"/>
      <c r="HI6" s="341"/>
      <c r="HJ6" s="341"/>
      <c r="HK6" s="341"/>
      <c r="HL6" s="341"/>
      <c r="HM6" s="341"/>
      <c r="HN6" s="341"/>
      <c r="HO6" s="341"/>
      <c r="HP6" s="341"/>
      <c r="HQ6" s="341"/>
      <c r="HR6" s="341"/>
      <c r="HS6" s="341"/>
      <c r="HT6" s="341"/>
      <c r="HU6" s="341"/>
      <c r="HV6" s="341"/>
      <c r="HW6" s="341"/>
      <c r="HX6" s="341"/>
      <c r="HY6" s="341"/>
      <c r="HZ6" s="341"/>
      <c r="IA6" s="341"/>
      <c r="IB6" s="341"/>
      <c r="IC6" s="341"/>
      <c r="ID6" s="341"/>
      <c r="IE6" s="341"/>
      <c r="IF6" s="341"/>
      <c r="IG6" s="341"/>
      <c r="IH6" s="341"/>
      <c r="II6" s="341"/>
      <c r="IJ6" s="341"/>
      <c r="IK6" s="341"/>
      <c r="IL6" s="341"/>
      <c r="IM6" s="341"/>
      <c r="IN6" s="341"/>
    </row>
    <row r="7" spans="1:248">
      <c r="A7" s="84" t="s">
        <v>8</v>
      </c>
      <c r="B7" s="346" t="s">
        <v>319</v>
      </c>
      <c r="C7" s="342">
        <f>C8+C21+C27</f>
        <v>84300</v>
      </c>
      <c r="D7" s="425">
        <f>D8+D21+D27</f>
        <v>66426.41750000001</v>
      </c>
      <c r="E7" s="425">
        <f>E8+E21+E27</f>
        <v>59293.56900000001</v>
      </c>
      <c r="F7" s="343">
        <f>F8+F21+F27</f>
        <v>7526</v>
      </c>
      <c r="G7" s="344"/>
      <c r="I7" s="345"/>
      <c r="J7" s="341"/>
      <c r="K7" s="341"/>
      <c r="L7" s="347"/>
      <c r="M7" s="347"/>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41"/>
      <c r="BX7" s="341"/>
      <c r="BY7" s="341"/>
      <c r="BZ7" s="341"/>
      <c r="CA7" s="341"/>
      <c r="CB7" s="341"/>
      <c r="CC7" s="341"/>
      <c r="CD7" s="341"/>
      <c r="CE7" s="341"/>
      <c r="CF7" s="341"/>
      <c r="CG7" s="341"/>
      <c r="CH7" s="341"/>
      <c r="CI7" s="341"/>
      <c r="CJ7" s="341"/>
      <c r="CK7" s="341"/>
      <c r="CL7" s="341"/>
      <c r="CM7" s="341"/>
      <c r="CN7" s="341"/>
      <c r="CO7" s="341"/>
      <c r="CP7" s="341"/>
      <c r="CQ7" s="341"/>
      <c r="CR7" s="341"/>
      <c r="CS7" s="341"/>
      <c r="CT7" s="341"/>
      <c r="CU7" s="341"/>
      <c r="CV7" s="341"/>
      <c r="CW7" s="341"/>
      <c r="CX7" s="341"/>
      <c r="CY7" s="341"/>
      <c r="CZ7" s="341"/>
      <c r="DA7" s="341"/>
      <c r="DB7" s="341"/>
      <c r="DC7" s="341"/>
      <c r="DD7" s="341"/>
      <c r="DE7" s="341"/>
      <c r="DF7" s="341"/>
      <c r="DG7" s="341"/>
      <c r="DH7" s="341"/>
      <c r="DI7" s="341"/>
      <c r="DJ7" s="341"/>
      <c r="DK7" s="341"/>
      <c r="DL7" s="341"/>
      <c r="DM7" s="341"/>
      <c r="DN7" s="341"/>
      <c r="DO7" s="341"/>
      <c r="DP7" s="341"/>
      <c r="DQ7" s="341"/>
      <c r="DR7" s="341"/>
      <c r="DS7" s="341"/>
      <c r="DT7" s="341"/>
      <c r="DU7" s="341"/>
      <c r="DV7" s="341"/>
      <c r="DW7" s="341"/>
      <c r="DX7" s="341"/>
      <c r="DY7" s="341"/>
      <c r="DZ7" s="341"/>
      <c r="EA7" s="341"/>
      <c r="EB7" s="341"/>
      <c r="EC7" s="341"/>
      <c r="ED7" s="341"/>
      <c r="EE7" s="341"/>
      <c r="EF7" s="341"/>
      <c r="EG7" s="341"/>
      <c r="EH7" s="341"/>
      <c r="EI7" s="341"/>
      <c r="EJ7" s="341"/>
      <c r="EK7" s="341"/>
      <c r="EL7" s="341"/>
      <c r="EM7" s="341"/>
      <c r="EN7" s="341"/>
      <c r="EO7" s="341"/>
      <c r="EP7" s="341"/>
      <c r="EQ7" s="341"/>
      <c r="ER7" s="341"/>
      <c r="ES7" s="341"/>
      <c r="ET7" s="341"/>
      <c r="EU7" s="341"/>
      <c r="EV7" s="341"/>
      <c r="EW7" s="341"/>
      <c r="EX7" s="341"/>
      <c r="EY7" s="341"/>
      <c r="EZ7" s="341"/>
      <c r="FA7" s="341"/>
      <c r="FB7" s="341"/>
      <c r="FC7" s="341"/>
      <c r="FD7" s="341"/>
      <c r="FE7" s="341"/>
      <c r="FF7" s="341"/>
      <c r="FG7" s="341"/>
      <c r="FH7" s="341"/>
      <c r="FI7" s="341"/>
      <c r="FJ7" s="341"/>
      <c r="FK7" s="341"/>
      <c r="FL7" s="341"/>
      <c r="FM7" s="341"/>
      <c r="FN7" s="341"/>
      <c r="FO7" s="341"/>
      <c r="FP7" s="341"/>
      <c r="FQ7" s="341"/>
      <c r="FR7" s="341"/>
      <c r="FS7" s="341"/>
      <c r="FT7" s="341"/>
      <c r="FU7" s="341"/>
      <c r="FV7" s="341"/>
      <c r="FW7" s="341"/>
      <c r="FX7" s="341"/>
      <c r="FY7" s="341"/>
      <c r="FZ7" s="341"/>
      <c r="GA7" s="341"/>
      <c r="GB7" s="341"/>
      <c r="GC7" s="341"/>
      <c r="GD7" s="341"/>
      <c r="GE7" s="341"/>
      <c r="GF7" s="341"/>
      <c r="GG7" s="341"/>
      <c r="GH7" s="341"/>
      <c r="GI7" s="341"/>
      <c r="GJ7" s="341"/>
      <c r="GK7" s="341"/>
      <c r="GL7" s="341"/>
      <c r="GM7" s="341"/>
      <c r="GN7" s="341"/>
      <c r="GO7" s="341"/>
      <c r="GP7" s="341"/>
      <c r="GQ7" s="341"/>
      <c r="GR7" s="341"/>
      <c r="GS7" s="341"/>
      <c r="GT7" s="341"/>
      <c r="GU7" s="341"/>
      <c r="GV7" s="341"/>
      <c r="GW7" s="341"/>
      <c r="GX7" s="341"/>
      <c r="GY7" s="341"/>
      <c r="GZ7" s="341"/>
      <c r="HA7" s="341"/>
      <c r="HB7" s="341"/>
      <c r="HC7" s="341"/>
      <c r="HD7" s="341"/>
      <c r="HE7" s="341"/>
      <c r="HF7" s="341"/>
      <c r="HG7" s="341"/>
      <c r="HH7" s="341"/>
      <c r="HI7" s="341"/>
      <c r="HJ7" s="341"/>
      <c r="HK7" s="341"/>
      <c r="HL7" s="341"/>
      <c r="HM7" s="341"/>
      <c r="HN7" s="341"/>
      <c r="HO7" s="341"/>
      <c r="HP7" s="341"/>
      <c r="HQ7" s="341"/>
      <c r="HR7" s="341"/>
      <c r="HS7" s="341"/>
      <c r="HT7" s="341"/>
      <c r="HU7" s="341"/>
      <c r="HV7" s="341"/>
      <c r="HW7" s="341"/>
      <c r="HX7" s="341"/>
      <c r="HY7" s="341"/>
      <c r="HZ7" s="341"/>
      <c r="IA7" s="341"/>
      <c r="IB7" s="341"/>
      <c r="IC7" s="341"/>
      <c r="ID7" s="341"/>
      <c r="IE7" s="341"/>
      <c r="IF7" s="341"/>
      <c r="IG7" s="341"/>
      <c r="IH7" s="341"/>
      <c r="II7" s="341"/>
      <c r="IJ7" s="341"/>
      <c r="IK7" s="341"/>
      <c r="IL7" s="341"/>
      <c r="IM7" s="341"/>
      <c r="IN7" s="341"/>
    </row>
    <row r="8" spans="1:248">
      <c r="A8" s="84" t="s">
        <v>18</v>
      </c>
      <c r="B8" s="291" t="s">
        <v>586</v>
      </c>
      <c r="C8" s="348">
        <f>C9</f>
        <v>46800</v>
      </c>
      <c r="D8" s="351">
        <f>D9</f>
        <v>43280.873500000002</v>
      </c>
      <c r="E8" s="351">
        <f>E9</f>
        <v>41760.67500000001</v>
      </c>
      <c r="F8" s="349">
        <f>F9</f>
        <v>1520.1989999999998</v>
      </c>
      <c r="G8" s="350"/>
      <c r="H8" s="341"/>
      <c r="I8" s="341"/>
      <c r="J8" s="341"/>
      <c r="K8" s="341"/>
      <c r="L8" s="347"/>
      <c r="M8" s="347"/>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c r="AZ8" s="341"/>
      <c r="BA8" s="341"/>
      <c r="BB8" s="341"/>
      <c r="BC8" s="341"/>
      <c r="BD8" s="341"/>
      <c r="BE8" s="341"/>
      <c r="BF8" s="341"/>
      <c r="BG8" s="341"/>
      <c r="BH8" s="341"/>
      <c r="BI8" s="341"/>
      <c r="BJ8" s="341"/>
      <c r="BK8" s="341"/>
      <c r="BL8" s="341"/>
      <c r="BM8" s="341"/>
      <c r="BN8" s="341"/>
      <c r="BO8" s="341"/>
      <c r="BP8" s="341"/>
      <c r="BQ8" s="341"/>
      <c r="BR8" s="341"/>
      <c r="BS8" s="341"/>
      <c r="BT8" s="341"/>
      <c r="BU8" s="341"/>
      <c r="BV8" s="341"/>
      <c r="BW8" s="341"/>
      <c r="BX8" s="341"/>
      <c r="BY8" s="341"/>
      <c r="BZ8" s="341"/>
      <c r="CA8" s="341"/>
      <c r="CB8" s="341"/>
      <c r="CC8" s="341"/>
      <c r="CD8" s="341"/>
      <c r="CE8" s="341"/>
      <c r="CF8" s="341"/>
      <c r="CG8" s="341"/>
      <c r="CH8" s="341"/>
      <c r="CI8" s="341"/>
      <c r="CJ8" s="341"/>
      <c r="CK8" s="341"/>
      <c r="CL8" s="341"/>
      <c r="CM8" s="341"/>
      <c r="CN8" s="341"/>
      <c r="CO8" s="341"/>
      <c r="CP8" s="341"/>
      <c r="CQ8" s="341"/>
      <c r="CR8" s="341"/>
      <c r="CS8" s="341"/>
      <c r="CT8" s="341"/>
      <c r="CU8" s="341"/>
      <c r="CV8" s="341"/>
      <c r="CW8" s="341"/>
      <c r="CX8" s="341"/>
      <c r="CY8" s="341"/>
      <c r="CZ8" s="341"/>
      <c r="DA8" s="341"/>
      <c r="DB8" s="341"/>
      <c r="DC8" s="341"/>
      <c r="DD8" s="341"/>
      <c r="DE8" s="341"/>
      <c r="DF8" s="341"/>
      <c r="DG8" s="341"/>
      <c r="DH8" s="341"/>
      <c r="DI8" s="341"/>
      <c r="DJ8" s="341"/>
      <c r="DK8" s="341"/>
      <c r="DL8" s="341"/>
      <c r="DM8" s="341"/>
      <c r="DN8" s="341"/>
      <c r="DO8" s="341"/>
      <c r="DP8" s="341"/>
      <c r="DQ8" s="341"/>
      <c r="DR8" s="341"/>
      <c r="DS8" s="341"/>
      <c r="DT8" s="341"/>
      <c r="DU8" s="341"/>
      <c r="DV8" s="341"/>
      <c r="DW8" s="341"/>
      <c r="DX8" s="341"/>
      <c r="DY8" s="341"/>
      <c r="DZ8" s="341"/>
      <c r="EA8" s="341"/>
      <c r="EB8" s="341"/>
      <c r="EC8" s="341"/>
      <c r="ED8" s="341"/>
      <c r="EE8" s="341"/>
      <c r="EF8" s="341"/>
      <c r="EG8" s="341"/>
      <c r="EH8" s="341"/>
      <c r="EI8" s="341"/>
      <c r="EJ8" s="341"/>
      <c r="EK8" s="341"/>
      <c r="EL8" s="341"/>
      <c r="EM8" s="341"/>
      <c r="EN8" s="341"/>
      <c r="EO8" s="341"/>
      <c r="EP8" s="341"/>
      <c r="EQ8" s="341"/>
      <c r="ER8" s="341"/>
      <c r="ES8" s="341"/>
      <c r="ET8" s="341"/>
      <c r="EU8" s="341"/>
      <c r="EV8" s="341"/>
      <c r="EW8" s="341"/>
      <c r="EX8" s="341"/>
      <c r="EY8" s="341"/>
      <c r="EZ8" s="341"/>
      <c r="FA8" s="341"/>
      <c r="FB8" s="341"/>
      <c r="FC8" s="341"/>
      <c r="FD8" s="341"/>
      <c r="FE8" s="341"/>
      <c r="FF8" s="341"/>
      <c r="FG8" s="341"/>
      <c r="FH8" s="341"/>
      <c r="FI8" s="341"/>
      <c r="FJ8" s="341"/>
      <c r="FK8" s="341"/>
      <c r="FL8" s="341"/>
      <c r="FM8" s="341"/>
      <c r="FN8" s="341"/>
      <c r="FO8" s="341"/>
      <c r="FP8" s="341"/>
      <c r="FQ8" s="341"/>
      <c r="FR8" s="341"/>
      <c r="FS8" s="341"/>
      <c r="FT8" s="341"/>
      <c r="FU8" s="341"/>
      <c r="FV8" s="341"/>
      <c r="FW8" s="341"/>
      <c r="FX8" s="341"/>
      <c r="FY8" s="341"/>
      <c r="FZ8" s="341"/>
      <c r="GA8" s="341"/>
      <c r="GB8" s="341"/>
      <c r="GC8" s="341"/>
      <c r="GD8" s="341"/>
      <c r="GE8" s="341"/>
      <c r="GF8" s="341"/>
      <c r="GG8" s="341"/>
      <c r="GH8" s="341"/>
      <c r="GI8" s="341"/>
      <c r="GJ8" s="341"/>
      <c r="GK8" s="341"/>
      <c r="GL8" s="341"/>
      <c r="GM8" s="341"/>
      <c r="GN8" s="341"/>
      <c r="GO8" s="341"/>
      <c r="GP8" s="341"/>
      <c r="GQ8" s="341"/>
      <c r="GR8" s="341"/>
      <c r="GS8" s="341"/>
      <c r="GT8" s="341"/>
      <c r="GU8" s="341"/>
      <c r="GV8" s="341"/>
      <c r="GW8" s="341"/>
      <c r="GX8" s="341"/>
      <c r="GY8" s="341"/>
      <c r="GZ8" s="341"/>
      <c r="HA8" s="341"/>
      <c r="HB8" s="341"/>
      <c r="HC8" s="341"/>
      <c r="HD8" s="341"/>
      <c r="HE8" s="341"/>
      <c r="HF8" s="341"/>
      <c r="HG8" s="341"/>
      <c r="HH8" s="341"/>
      <c r="HI8" s="341"/>
      <c r="HJ8" s="341"/>
      <c r="HK8" s="341"/>
      <c r="HL8" s="341"/>
      <c r="HM8" s="341"/>
      <c r="HN8" s="341"/>
      <c r="HO8" s="341"/>
      <c r="HP8" s="341"/>
      <c r="HQ8" s="341"/>
      <c r="HR8" s="341"/>
      <c r="HS8" s="341"/>
      <c r="HT8" s="341"/>
      <c r="HU8" s="341"/>
      <c r="HV8" s="341"/>
      <c r="HW8" s="341"/>
      <c r="HX8" s="341"/>
      <c r="HY8" s="341"/>
      <c r="HZ8" s="341"/>
      <c r="IA8" s="341"/>
      <c r="IB8" s="341"/>
      <c r="IC8" s="341"/>
      <c r="ID8" s="341"/>
      <c r="IE8" s="341"/>
      <c r="IF8" s="341"/>
      <c r="IG8" s="341"/>
      <c r="IH8" s="341"/>
      <c r="II8" s="341"/>
      <c r="IJ8" s="341"/>
      <c r="IK8" s="341"/>
      <c r="IL8" s="341"/>
      <c r="IM8" s="341"/>
      <c r="IN8" s="341"/>
    </row>
    <row r="9" spans="1:248">
      <c r="A9" s="84" t="s">
        <v>451</v>
      </c>
      <c r="B9" s="291" t="s">
        <v>587</v>
      </c>
      <c r="C9" s="348">
        <f>SUM(C10:C20)</f>
        <v>46800</v>
      </c>
      <c r="D9" s="351">
        <f>SUM(D10:D20)</f>
        <v>43280.873500000002</v>
      </c>
      <c r="E9" s="351">
        <f>SUM(E10:E20)</f>
        <v>41760.67500000001</v>
      </c>
      <c r="F9" s="349">
        <f>SUM(F10:F20)</f>
        <v>1520.1989999999998</v>
      </c>
      <c r="G9" s="350"/>
      <c r="H9" s="341"/>
      <c r="I9" s="341"/>
      <c r="J9" s="341"/>
      <c r="K9" s="341"/>
      <c r="L9" s="347"/>
      <c r="M9" s="347"/>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41"/>
      <c r="DF9" s="341"/>
      <c r="DG9" s="341"/>
      <c r="DH9" s="341"/>
      <c r="DI9" s="341"/>
      <c r="DJ9" s="341"/>
      <c r="DK9" s="341"/>
      <c r="DL9" s="341"/>
      <c r="DM9" s="341"/>
      <c r="DN9" s="341"/>
      <c r="DO9" s="341"/>
      <c r="DP9" s="341"/>
      <c r="DQ9" s="341"/>
      <c r="DR9" s="341"/>
      <c r="DS9" s="341"/>
      <c r="DT9" s="341"/>
      <c r="DU9" s="341"/>
      <c r="DV9" s="341"/>
      <c r="DW9" s="341"/>
      <c r="DX9" s="341"/>
      <c r="DY9" s="341"/>
      <c r="DZ9" s="341"/>
      <c r="EA9" s="341"/>
      <c r="EB9" s="341"/>
      <c r="EC9" s="341"/>
      <c r="ED9" s="341"/>
      <c r="EE9" s="341"/>
      <c r="EF9" s="341"/>
      <c r="EG9" s="341"/>
      <c r="EH9" s="341"/>
      <c r="EI9" s="341"/>
      <c r="EJ9" s="341"/>
      <c r="EK9" s="341"/>
      <c r="EL9" s="341"/>
      <c r="EM9" s="341"/>
      <c r="EN9" s="341"/>
      <c r="EO9" s="341"/>
      <c r="EP9" s="341"/>
      <c r="EQ9" s="341"/>
      <c r="ER9" s="341"/>
      <c r="ES9" s="341"/>
      <c r="ET9" s="341"/>
      <c r="EU9" s="341"/>
      <c r="EV9" s="341"/>
      <c r="EW9" s="341"/>
      <c r="EX9" s="341"/>
      <c r="EY9" s="341"/>
      <c r="EZ9" s="341"/>
      <c r="FA9" s="341"/>
      <c r="FB9" s="341"/>
      <c r="FC9" s="341"/>
      <c r="FD9" s="341"/>
      <c r="FE9" s="341"/>
      <c r="FF9" s="341"/>
      <c r="FG9" s="341"/>
      <c r="FH9" s="341"/>
      <c r="FI9" s="341"/>
      <c r="FJ9" s="341"/>
      <c r="FK9" s="341"/>
      <c r="FL9" s="341"/>
      <c r="FM9" s="341"/>
      <c r="FN9" s="341"/>
      <c r="FO9" s="341"/>
      <c r="FP9" s="341"/>
      <c r="FQ9" s="341"/>
      <c r="FR9" s="341"/>
      <c r="FS9" s="341"/>
      <c r="FT9" s="341"/>
      <c r="FU9" s="341"/>
      <c r="FV9" s="341"/>
      <c r="FW9" s="341"/>
      <c r="FX9" s="341"/>
      <c r="FY9" s="341"/>
      <c r="FZ9" s="341"/>
      <c r="GA9" s="341"/>
      <c r="GB9" s="341"/>
      <c r="GC9" s="341"/>
      <c r="GD9" s="341"/>
      <c r="GE9" s="341"/>
      <c r="GF9" s="341"/>
      <c r="GG9" s="341"/>
      <c r="GH9" s="341"/>
      <c r="GI9" s="341"/>
      <c r="GJ9" s="341"/>
      <c r="GK9" s="341"/>
      <c r="GL9" s="341"/>
      <c r="GM9" s="341"/>
      <c r="GN9" s="341"/>
      <c r="GO9" s="341"/>
      <c r="GP9" s="341"/>
      <c r="GQ9" s="341"/>
      <c r="GR9" s="341"/>
      <c r="GS9" s="341"/>
      <c r="GT9" s="341"/>
      <c r="GU9" s="341"/>
      <c r="GV9" s="341"/>
      <c r="GW9" s="341"/>
      <c r="GX9" s="341"/>
      <c r="GY9" s="341"/>
      <c r="GZ9" s="341"/>
      <c r="HA9" s="341"/>
      <c r="HB9" s="341"/>
      <c r="HC9" s="341"/>
      <c r="HD9" s="341"/>
      <c r="HE9" s="341"/>
      <c r="HF9" s="341"/>
      <c r="HG9" s="341"/>
      <c r="HH9" s="341"/>
      <c r="HI9" s="341"/>
      <c r="HJ9" s="341"/>
      <c r="HK9" s="341"/>
      <c r="HL9" s="341"/>
      <c r="HM9" s="341"/>
      <c r="HN9" s="341"/>
      <c r="HO9" s="341"/>
      <c r="HP9" s="341"/>
      <c r="HQ9" s="341"/>
      <c r="HR9" s="341"/>
      <c r="HS9" s="341"/>
      <c r="HT9" s="341"/>
      <c r="HU9" s="341"/>
      <c r="HV9" s="341"/>
      <c r="HW9" s="341"/>
      <c r="HX9" s="341"/>
      <c r="HY9" s="341"/>
      <c r="HZ9" s="341"/>
      <c r="IA9" s="341"/>
      <c r="IB9" s="341"/>
      <c r="IC9" s="341"/>
      <c r="ID9" s="341"/>
      <c r="IE9" s="341"/>
      <c r="IF9" s="341"/>
      <c r="IG9" s="341"/>
      <c r="IH9" s="341"/>
      <c r="II9" s="341"/>
      <c r="IJ9" s="341"/>
      <c r="IK9" s="341"/>
      <c r="IL9" s="341"/>
      <c r="IM9" s="341"/>
      <c r="IN9" s="341"/>
    </row>
    <row r="10" spans="1:248">
      <c r="A10" s="34">
        <v>1</v>
      </c>
      <c r="B10" s="352" t="s">
        <v>588</v>
      </c>
      <c r="C10" s="353">
        <v>4500</v>
      </c>
      <c r="D10" s="354">
        <v>4248.4229999999998</v>
      </c>
      <c r="E10" s="354">
        <v>4049.308</v>
      </c>
      <c r="F10" s="355">
        <v>199.11499999999978</v>
      </c>
      <c r="G10" s="350"/>
      <c r="H10" s="341"/>
      <c r="I10" s="341"/>
      <c r="J10" s="341"/>
      <c r="K10" s="341"/>
      <c r="L10" s="341"/>
      <c r="M10" s="345"/>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341"/>
      <c r="FK10" s="341"/>
      <c r="FL10" s="341"/>
      <c r="FM10" s="341"/>
      <c r="FN10" s="341"/>
      <c r="FO10" s="341"/>
      <c r="FP10" s="341"/>
      <c r="FQ10" s="341"/>
      <c r="FR10" s="341"/>
      <c r="FS10" s="341"/>
      <c r="FT10" s="341"/>
      <c r="FU10" s="341"/>
      <c r="FV10" s="341"/>
      <c r="FW10" s="341"/>
      <c r="FX10" s="341"/>
      <c r="FY10" s="341"/>
      <c r="FZ10" s="341"/>
      <c r="GA10" s="341"/>
      <c r="GB10" s="341"/>
      <c r="GC10" s="341"/>
      <c r="GD10" s="341"/>
      <c r="GE10" s="341"/>
      <c r="GF10" s="341"/>
      <c r="GG10" s="341"/>
      <c r="GH10" s="341"/>
      <c r="GI10" s="341"/>
      <c r="GJ10" s="341"/>
      <c r="GK10" s="341"/>
      <c r="GL10" s="341"/>
      <c r="GM10" s="341"/>
      <c r="GN10" s="341"/>
      <c r="GO10" s="341"/>
      <c r="GP10" s="341"/>
      <c r="GQ10" s="341"/>
      <c r="GR10" s="341"/>
      <c r="GS10" s="341"/>
      <c r="GT10" s="341"/>
      <c r="GU10" s="341"/>
      <c r="GV10" s="341"/>
      <c r="GW10" s="341"/>
      <c r="GX10" s="341"/>
      <c r="GY10" s="341"/>
      <c r="GZ10" s="341"/>
      <c r="HA10" s="341"/>
      <c r="HB10" s="341"/>
      <c r="HC10" s="341"/>
      <c r="HD10" s="341"/>
      <c r="HE10" s="341"/>
      <c r="HF10" s="341"/>
      <c r="HG10" s="341"/>
      <c r="HH10" s="341"/>
      <c r="HI10" s="341"/>
      <c r="HJ10" s="341"/>
      <c r="HK10" s="341"/>
      <c r="HL10" s="341"/>
      <c r="HM10" s="341"/>
      <c r="HN10" s="341"/>
      <c r="HO10" s="341"/>
      <c r="HP10" s="341"/>
      <c r="HQ10" s="341"/>
      <c r="HR10" s="341"/>
      <c r="HS10" s="341"/>
      <c r="HT10" s="341"/>
      <c r="HU10" s="341"/>
      <c r="HV10" s="341"/>
      <c r="HW10" s="341"/>
      <c r="HX10" s="341"/>
      <c r="HY10" s="341"/>
      <c r="HZ10" s="341"/>
      <c r="IA10" s="341"/>
      <c r="IB10" s="341"/>
      <c r="IC10" s="341"/>
      <c r="ID10" s="341"/>
      <c r="IE10" s="341"/>
      <c r="IF10" s="341"/>
      <c r="IG10" s="341"/>
      <c r="IH10" s="341"/>
      <c r="II10" s="341"/>
      <c r="IJ10" s="341"/>
      <c r="IK10" s="341"/>
      <c r="IL10" s="341"/>
      <c r="IM10" s="341"/>
      <c r="IN10" s="341"/>
    </row>
    <row r="11" spans="1:248" ht="35.25" customHeight="1">
      <c r="A11" s="34">
        <v>2</v>
      </c>
      <c r="B11" s="352" t="s">
        <v>589</v>
      </c>
      <c r="C11" s="353">
        <v>5200</v>
      </c>
      <c r="D11" s="354">
        <v>4811.893</v>
      </c>
      <c r="E11" s="354">
        <v>4567.0950000000003</v>
      </c>
      <c r="F11" s="355">
        <v>244.79799999999977</v>
      </c>
      <c r="G11" s="350"/>
      <c r="H11" s="341"/>
      <c r="I11" s="341"/>
      <c r="J11" s="341"/>
      <c r="K11" s="341"/>
      <c r="L11" s="345"/>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row>
    <row r="12" spans="1:248" ht="35.25" customHeight="1">
      <c r="A12" s="34">
        <v>3</v>
      </c>
      <c r="B12" s="352" t="s">
        <v>590</v>
      </c>
      <c r="C12" s="353">
        <v>8000</v>
      </c>
      <c r="D12" s="354">
        <v>7877.4210000000003</v>
      </c>
      <c r="E12" s="354">
        <v>7700</v>
      </c>
      <c r="F12" s="355">
        <v>177.42100000000028</v>
      </c>
      <c r="G12" s="350"/>
      <c r="H12" s="341"/>
      <c r="I12" s="341"/>
      <c r="J12" s="341"/>
      <c r="K12" s="341"/>
      <c r="L12" s="345"/>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c r="BP12" s="341"/>
      <c r="BQ12" s="341"/>
      <c r="BR12" s="341"/>
      <c r="BS12" s="341"/>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1"/>
      <c r="FM12" s="341"/>
      <c r="FN12" s="341"/>
      <c r="FO12" s="341"/>
      <c r="FP12" s="341"/>
      <c r="FQ12" s="341"/>
      <c r="FR12" s="341"/>
      <c r="FS12" s="341"/>
      <c r="FT12" s="341"/>
      <c r="FU12" s="341"/>
      <c r="FV12" s="341"/>
      <c r="FW12" s="341"/>
      <c r="FX12" s="341"/>
      <c r="FY12" s="341"/>
      <c r="FZ12" s="341"/>
      <c r="GA12" s="341"/>
      <c r="GB12" s="341"/>
      <c r="GC12" s="341"/>
      <c r="GD12" s="341"/>
      <c r="GE12" s="341"/>
      <c r="GF12" s="341"/>
      <c r="GG12" s="341"/>
      <c r="GH12" s="341"/>
      <c r="GI12" s="341"/>
      <c r="GJ12" s="341"/>
      <c r="GK12" s="341"/>
      <c r="GL12" s="341"/>
      <c r="GM12" s="341"/>
      <c r="GN12" s="341"/>
      <c r="GO12" s="341"/>
      <c r="GP12" s="341"/>
      <c r="GQ12" s="341"/>
      <c r="GR12" s="341"/>
      <c r="GS12" s="341"/>
      <c r="GT12" s="341"/>
      <c r="GU12" s="341"/>
      <c r="GV12" s="341"/>
      <c r="GW12" s="341"/>
      <c r="GX12" s="341"/>
      <c r="GY12" s="341"/>
      <c r="GZ12" s="341"/>
      <c r="HA12" s="341"/>
      <c r="HB12" s="341"/>
      <c r="HC12" s="341"/>
      <c r="HD12" s="341"/>
      <c r="HE12" s="341"/>
      <c r="HF12" s="341"/>
      <c r="HG12" s="341"/>
      <c r="HH12" s="341"/>
      <c r="HI12" s="341"/>
      <c r="HJ12" s="341"/>
      <c r="HK12" s="341"/>
      <c r="HL12" s="341"/>
      <c r="HM12" s="341"/>
      <c r="HN12" s="341"/>
      <c r="HO12" s="341"/>
      <c r="HP12" s="341"/>
      <c r="HQ12" s="341"/>
      <c r="HR12" s="341"/>
      <c r="HS12" s="341"/>
      <c r="HT12" s="341"/>
      <c r="HU12" s="341"/>
      <c r="HV12" s="341"/>
      <c r="HW12" s="341"/>
      <c r="HX12" s="341"/>
      <c r="HY12" s="341"/>
      <c r="HZ12" s="341"/>
      <c r="IA12" s="341"/>
      <c r="IB12" s="341"/>
      <c r="IC12" s="341"/>
      <c r="ID12" s="341"/>
      <c r="IE12" s="341"/>
      <c r="IF12" s="341"/>
      <c r="IG12" s="341"/>
      <c r="IH12" s="341"/>
      <c r="II12" s="341"/>
      <c r="IJ12" s="341"/>
      <c r="IK12" s="341"/>
      <c r="IL12" s="341"/>
      <c r="IM12" s="341"/>
      <c r="IN12" s="341"/>
    </row>
    <row r="13" spans="1:248" ht="31.5">
      <c r="A13" s="34">
        <v>4</v>
      </c>
      <c r="B13" s="352" t="s">
        <v>591</v>
      </c>
      <c r="C13" s="353">
        <v>5500</v>
      </c>
      <c r="D13" s="354">
        <v>5208.9947000000002</v>
      </c>
      <c r="E13" s="354">
        <v>4995.5839999999998</v>
      </c>
      <c r="F13" s="355">
        <v>213.41070000000036</v>
      </c>
      <c r="G13" s="350"/>
      <c r="H13" s="341"/>
      <c r="I13" s="341"/>
      <c r="J13" s="341"/>
      <c r="K13" s="347"/>
      <c r="L13" s="347"/>
      <c r="M13" s="347"/>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341"/>
      <c r="FQ13" s="341"/>
      <c r="FR13" s="341"/>
      <c r="FS13" s="341"/>
      <c r="FT13" s="341"/>
      <c r="FU13" s="341"/>
      <c r="FV13" s="341"/>
      <c r="FW13" s="341"/>
      <c r="FX13" s="341"/>
      <c r="FY13" s="341"/>
      <c r="FZ13" s="341"/>
      <c r="GA13" s="341"/>
      <c r="GB13" s="341"/>
      <c r="GC13" s="341"/>
      <c r="GD13" s="341"/>
      <c r="GE13" s="341"/>
      <c r="GF13" s="341"/>
      <c r="GG13" s="341"/>
      <c r="GH13" s="341"/>
      <c r="GI13" s="341"/>
      <c r="GJ13" s="341"/>
      <c r="GK13" s="341"/>
      <c r="GL13" s="341"/>
      <c r="GM13" s="341"/>
      <c r="GN13" s="341"/>
      <c r="GO13" s="341"/>
      <c r="GP13" s="341"/>
      <c r="GQ13" s="341"/>
      <c r="GR13" s="341"/>
      <c r="GS13" s="341"/>
      <c r="GT13" s="341"/>
      <c r="GU13" s="341"/>
      <c r="GV13" s="341"/>
      <c r="GW13" s="341"/>
      <c r="GX13" s="341"/>
      <c r="GY13" s="341"/>
      <c r="GZ13" s="341"/>
      <c r="HA13" s="341"/>
      <c r="HB13" s="341"/>
      <c r="HC13" s="341"/>
      <c r="HD13" s="341"/>
      <c r="HE13" s="341"/>
      <c r="HF13" s="341"/>
      <c r="HG13" s="341"/>
      <c r="HH13" s="341"/>
      <c r="HI13" s="341"/>
      <c r="HJ13" s="341"/>
      <c r="HK13" s="341"/>
      <c r="HL13" s="341"/>
      <c r="HM13" s="341"/>
      <c r="HN13" s="341"/>
      <c r="HO13" s="341"/>
      <c r="HP13" s="341"/>
      <c r="HQ13" s="341"/>
      <c r="HR13" s="341"/>
      <c r="HS13" s="341"/>
      <c r="HT13" s="341"/>
      <c r="HU13" s="341"/>
      <c r="HV13" s="341"/>
      <c r="HW13" s="341"/>
      <c r="HX13" s="341"/>
      <c r="HY13" s="341"/>
      <c r="HZ13" s="341"/>
      <c r="IA13" s="341"/>
      <c r="IB13" s="341"/>
      <c r="IC13" s="341"/>
      <c r="ID13" s="341"/>
      <c r="IE13" s="341"/>
      <c r="IF13" s="341"/>
      <c r="IG13" s="341"/>
      <c r="IH13" s="341"/>
      <c r="II13" s="341"/>
      <c r="IJ13" s="341"/>
      <c r="IK13" s="341"/>
      <c r="IL13" s="341"/>
      <c r="IM13" s="341"/>
      <c r="IN13" s="341"/>
    </row>
    <row r="14" spans="1:248" ht="31.5">
      <c r="A14" s="34">
        <v>5</v>
      </c>
      <c r="B14" s="352" t="s">
        <v>592</v>
      </c>
      <c r="C14" s="353">
        <v>3500</v>
      </c>
      <c r="D14" s="354">
        <v>3061.8177999999998</v>
      </c>
      <c r="E14" s="354">
        <v>2951.5790000000002</v>
      </c>
      <c r="F14" s="355">
        <f>110.2388+0.0005</f>
        <v>110.2393</v>
      </c>
      <c r="G14" s="350"/>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c r="BP14" s="341"/>
      <c r="BQ14" s="341"/>
      <c r="BR14" s="341"/>
      <c r="BS14" s="341"/>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c r="DJ14" s="341"/>
      <c r="DK14" s="341"/>
      <c r="DL14" s="341"/>
      <c r="DM14" s="341"/>
      <c r="DN14" s="341"/>
      <c r="DO14" s="341"/>
      <c r="DP14" s="341"/>
      <c r="DQ14" s="341"/>
      <c r="DR14" s="341"/>
      <c r="DS14" s="341"/>
      <c r="DT14" s="341"/>
      <c r="DU14" s="341"/>
      <c r="DV14" s="341"/>
      <c r="DW14" s="341"/>
      <c r="DX14" s="341"/>
      <c r="DY14" s="341"/>
      <c r="DZ14" s="341"/>
      <c r="EA14" s="341"/>
      <c r="EB14" s="341"/>
      <c r="EC14" s="341"/>
      <c r="ED14" s="341"/>
      <c r="EE14" s="341"/>
      <c r="EF14" s="341"/>
      <c r="EG14" s="341"/>
      <c r="EH14" s="341"/>
      <c r="EI14" s="341"/>
      <c r="EJ14" s="341"/>
      <c r="EK14" s="341"/>
      <c r="EL14" s="341"/>
      <c r="EM14" s="341"/>
      <c r="EN14" s="341"/>
      <c r="EO14" s="341"/>
      <c r="EP14" s="341"/>
      <c r="EQ14" s="341"/>
      <c r="ER14" s="341"/>
      <c r="ES14" s="341"/>
      <c r="ET14" s="341"/>
      <c r="EU14" s="341"/>
      <c r="EV14" s="341"/>
      <c r="EW14" s="341"/>
      <c r="EX14" s="341"/>
      <c r="EY14" s="341"/>
      <c r="EZ14" s="341"/>
      <c r="FA14" s="341"/>
      <c r="FB14" s="341"/>
      <c r="FC14" s="341"/>
      <c r="FD14" s="341"/>
      <c r="FE14" s="341"/>
      <c r="FF14" s="341"/>
      <c r="FG14" s="341"/>
      <c r="FH14" s="341"/>
      <c r="FI14" s="341"/>
      <c r="FJ14" s="341"/>
      <c r="FK14" s="341"/>
      <c r="FL14" s="341"/>
      <c r="FM14" s="341"/>
      <c r="FN14" s="341"/>
      <c r="FO14" s="341"/>
      <c r="FP14" s="341"/>
      <c r="FQ14" s="341"/>
      <c r="FR14" s="341"/>
      <c r="FS14" s="341"/>
      <c r="FT14" s="341"/>
      <c r="FU14" s="341"/>
      <c r="FV14" s="341"/>
      <c r="FW14" s="341"/>
      <c r="FX14" s="341"/>
      <c r="FY14" s="341"/>
      <c r="FZ14" s="341"/>
      <c r="GA14" s="341"/>
      <c r="GB14" s="341"/>
      <c r="GC14" s="341"/>
      <c r="GD14" s="341"/>
      <c r="GE14" s="341"/>
      <c r="GF14" s="341"/>
      <c r="GG14" s="341"/>
      <c r="GH14" s="341"/>
      <c r="GI14" s="341"/>
      <c r="GJ14" s="341"/>
      <c r="GK14" s="341"/>
      <c r="GL14" s="341"/>
      <c r="GM14" s="341"/>
      <c r="GN14" s="341"/>
      <c r="GO14" s="341"/>
      <c r="GP14" s="341"/>
      <c r="GQ14" s="341"/>
      <c r="GR14" s="341"/>
      <c r="GS14" s="341"/>
      <c r="GT14" s="341"/>
      <c r="GU14" s="341"/>
      <c r="GV14" s="341"/>
      <c r="GW14" s="341"/>
      <c r="GX14" s="341"/>
      <c r="GY14" s="341"/>
      <c r="GZ14" s="341"/>
      <c r="HA14" s="341"/>
      <c r="HB14" s="341"/>
      <c r="HC14" s="341"/>
      <c r="HD14" s="341"/>
      <c r="HE14" s="341"/>
      <c r="HF14" s="341"/>
      <c r="HG14" s="341"/>
      <c r="HH14" s="341"/>
      <c r="HI14" s="341"/>
      <c r="HJ14" s="341"/>
      <c r="HK14" s="341"/>
      <c r="HL14" s="341"/>
      <c r="HM14" s="341"/>
      <c r="HN14" s="341"/>
      <c r="HO14" s="341"/>
      <c r="HP14" s="341"/>
      <c r="HQ14" s="341"/>
      <c r="HR14" s="341"/>
      <c r="HS14" s="341"/>
      <c r="HT14" s="341"/>
      <c r="HU14" s="341"/>
      <c r="HV14" s="341"/>
      <c r="HW14" s="341"/>
      <c r="HX14" s="341"/>
      <c r="HY14" s="341"/>
      <c r="HZ14" s="341"/>
      <c r="IA14" s="341"/>
      <c r="IB14" s="341"/>
      <c r="IC14" s="341"/>
      <c r="ID14" s="341"/>
      <c r="IE14" s="341"/>
      <c r="IF14" s="341"/>
      <c r="IG14" s="341"/>
      <c r="IH14" s="341"/>
      <c r="II14" s="341"/>
      <c r="IJ14" s="341"/>
      <c r="IK14" s="341"/>
      <c r="IL14" s="341"/>
      <c r="IM14" s="341"/>
      <c r="IN14" s="341"/>
    </row>
    <row r="15" spans="1:248">
      <c r="A15" s="34">
        <v>6</v>
      </c>
      <c r="B15" s="352" t="s">
        <v>593</v>
      </c>
      <c r="C15" s="353">
        <v>2600</v>
      </c>
      <c r="D15" s="354">
        <v>2291.5</v>
      </c>
      <c r="E15" s="354">
        <v>2207.8110000000001</v>
      </c>
      <c r="F15" s="355">
        <v>83.688999999999851</v>
      </c>
      <c r="G15" s="350"/>
    </row>
    <row r="16" spans="1:248">
      <c r="A16" s="34">
        <v>7</v>
      </c>
      <c r="B16" s="352" t="s">
        <v>594</v>
      </c>
      <c r="C16" s="353">
        <v>4100</v>
      </c>
      <c r="D16" s="354">
        <v>4017.6680000000001</v>
      </c>
      <c r="E16" s="354">
        <f>3916.3+54.376</f>
        <v>3970.6760000000004</v>
      </c>
      <c r="F16" s="355">
        <v>46.991999999999734</v>
      </c>
      <c r="G16" s="350"/>
    </row>
    <row r="17" spans="1:248">
      <c r="A17" s="34">
        <v>8</v>
      </c>
      <c r="B17" s="352" t="s">
        <v>595</v>
      </c>
      <c r="C17" s="353">
        <v>3000</v>
      </c>
      <c r="D17" s="354">
        <v>2945.0970000000002</v>
      </c>
      <c r="E17" s="354">
        <v>2786.51</v>
      </c>
      <c r="F17" s="355">
        <v>158.58699999999999</v>
      </c>
      <c r="G17" s="350"/>
    </row>
    <row r="18" spans="1:248">
      <c r="A18" s="34">
        <v>9</v>
      </c>
      <c r="B18" s="352" t="s">
        <v>596</v>
      </c>
      <c r="C18" s="353">
        <v>3600</v>
      </c>
      <c r="D18" s="354">
        <v>2934.5129999999999</v>
      </c>
      <c r="E18" s="354">
        <v>2779.194</v>
      </c>
      <c r="F18" s="355">
        <v>155.31899999999996</v>
      </c>
      <c r="G18" s="350"/>
    </row>
    <row r="19" spans="1:248">
      <c r="A19" s="34">
        <v>10</v>
      </c>
      <c r="B19" s="352" t="s">
        <v>597</v>
      </c>
      <c r="C19" s="353">
        <v>1800</v>
      </c>
      <c r="D19" s="354">
        <v>1418.67</v>
      </c>
      <c r="E19" s="354">
        <v>1410.5329999999999</v>
      </c>
      <c r="F19" s="355">
        <v>8.137000000000171</v>
      </c>
      <c r="G19" s="350"/>
    </row>
    <row r="20" spans="1:248" ht="31.5">
      <c r="A20" s="426">
        <v>11</v>
      </c>
      <c r="B20" s="427" t="s">
        <v>699</v>
      </c>
      <c r="C20" s="428">
        <v>5000</v>
      </c>
      <c r="D20" s="429">
        <v>4464.8760000000002</v>
      </c>
      <c r="E20" s="429">
        <f>3355+987.385</f>
        <v>4342.3850000000002</v>
      </c>
      <c r="F20" s="430">
        <v>122.491</v>
      </c>
      <c r="G20" s="431"/>
    </row>
    <row r="21" spans="1:248" ht="31.5">
      <c r="A21" s="84" t="s">
        <v>19</v>
      </c>
      <c r="B21" s="291" t="s">
        <v>598</v>
      </c>
      <c r="C21" s="356">
        <f>C22+C24</f>
        <v>9500</v>
      </c>
      <c r="D21" s="356">
        <f>D22+D24</f>
        <v>9395.5439999999999</v>
      </c>
      <c r="E21" s="356">
        <f>E22+E24</f>
        <v>8145.92</v>
      </c>
      <c r="F21" s="357">
        <f>F22+F24</f>
        <v>1249.6240000000003</v>
      </c>
      <c r="G21" s="350"/>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c r="CP21" s="341"/>
      <c r="CQ21" s="341"/>
      <c r="CR21" s="341"/>
      <c r="CS21" s="341"/>
      <c r="CT21" s="341"/>
      <c r="CU21" s="341"/>
      <c r="CV21" s="341"/>
      <c r="CW21" s="341"/>
      <c r="CX21" s="341"/>
      <c r="CY21" s="341"/>
      <c r="CZ21" s="341"/>
      <c r="DA21" s="341"/>
      <c r="DB21" s="341"/>
      <c r="DC21" s="341"/>
      <c r="DD21" s="341"/>
      <c r="DE21" s="341"/>
      <c r="DF21" s="341"/>
      <c r="DG21" s="341"/>
      <c r="DH21" s="341"/>
      <c r="DI21" s="341"/>
      <c r="DJ21" s="341"/>
      <c r="DK21" s="341"/>
      <c r="DL21" s="341"/>
      <c r="DM21" s="341"/>
      <c r="DN21" s="341"/>
      <c r="DO21" s="341"/>
      <c r="DP21" s="341"/>
      <c r="DQ21" s="341"/>
      <c r="DR21" s="341"/>
      <c r="DS21" s="341"/>
      <c r="DT21" s="341"/>
      <c r="DU21" s="341"/>
      <c r="DV21" s="341"/>
      <c r="DW21" s="341"/>
      <c r="DX21" s="341"/>
      <c r="DY21" s="341"/>
      <c r="DZ21" s="341"/>
      <c r="EA21" s="341"/>
      <c r="EB21" s="341"/>
      <c r="EC21" s="341"/>
      <c r="ED21" s="341"/>
      <c r="EE21" s="341"/>
      <c r="EF21" s="341"/>
      <c r="EG21" s="341"/>
      <c r="EH21" s="341"/>
      <c r="EI21" s="341"/>
      <c r="EJ21" s="341"/>
      <c r="EK21" s="341"/>
      <c r="EL21" s="341"/>
      <c r="EM21" s="341"/>
      <c r="EN21" s="341"/>
      <c r="EO21" s="341"/>
      <c r="EP21" s="341"/>
      <c r="EQ21" s="341"/>
      <c r="ER21" s="341"/>
      <c r="ES21" s="341"/>
      <c r="ET21" s="341"/>
      <c r="EU21" s="341"/>
      <c r="EV21" s="341"/>
      <c r="EW21" s="341"/>
      <c r="EX21" s="341"/>
      <c r="EY21" s="341"/>
      <c r="EZ21" s="341"/>
      <c r="FA21" s="341"/>
      <c r="FB21" s="341"/>
      <c r="FC21" s="341"/>
      <c r="FD21" s="341"/>
      <c r="FE21" s="341"/>
      <c r="FF21" s="341"/>
      <c r="FG21" s="341"/>
      <c r="FH21" s="341"/>
      <c r="FI21" s="341"/>
      <c r="FJ21" s="341"/>
      <c r="FK21" s="341"/>
      <c r="FL21" s="341"/>
      <c r="FM21" s="341"/>
      <c r="FN21" s="341"/>
      <c r="FO21" s="341"/>
      <c r="FP21" s="341"/>
      <c r="FQ21" s="341"/>
      <c r="FR21" s="341"/>
      <c r="FS21" s="341"/>
      <c r="FT21" s="341"/>
      <c r="FU21" s="341"/>
      <c r="FV21" s="341"/>
      <c r="FW21" s="341"/>
      <c r="FX21" s="341"/>
      <c r="FY21" s="341"/>
      <c r="FZ21" s="341"/>
      <c r="GA21" s="341"/>
      <c r="GB21" s="341"/>
      <c r="GC21" s="341"/>
      <c r="GD21" s="341"/>
      <c r="GE21" s="341"/>
      <c r="GF21" s="341"/>
      <c r="GG21" s="341"/>
      <c r="GH21" s="341"/>
      <c r="GI21" s="341"/>
      <c r="GJ21" s="341"/>
      <c r="GK21" s="341"/>
      <c r="GL21" s="341"/>
      <c r="GM21" s="341"/>
      <c r="GN21" s="341"/>
      <c r="GO21" s="341"/>
      <c r="GP21" s="341"/>
      <c r="GQ21" s="341"/>
      <c r="GR21" s="341"/>
      <c r="GS21" s="341"/>
      <c r="GT21" s="341"/>
      <c r="GU21" s="341"/>
      <c r="GV21" s="341"/>
      <c r="GW21" s="341"/>
      <c r="GX21" s="341"/>
      <c r="GY21" s="341"/>
      <c r="GZ21" s="341"/>
      <c r="HA21" s="341"/>
      <c r="HB21" s="341"/>
      <c r="HC21" s="341"/>
      <c r="HD21" s="341"/>
      <c r="HE21" s="341"/>
      <c r="HF21" s="341"/>
      <c r="HG21" s="341"/>
      <c r="HH21" s="341"/>
      <c r="HI21" s="341"/>
      <c r="HJ21" s="341"/>
      <c r="HK21" s="341"/>
      <c r="HL21" s="341"/>
      <c r="HM21" s="341"/>
      <c r="HN21" s="341"/>
      <c r="HO21" s="341"/>
      <c r="HP21" s="341"/>
      <c r="HQ21" s="341"/>
      <c r="HR21" s="341"/>
      <c r="HS21" s="341"/>
      <c r="HT21" s="341"/>
      <c r="HU21" s="341"/>
      <c r="HV21" s="341"/>
      <c r="HW21" s="341"/>
      <c r="HX21" s="341"/>
      <c r="HY21" s="341"/>
      <c r="HZ21" s="341"/>
      <c r="IA21" s="341"/>
      <c r="IB21" s="341"/>
      <c r="IC21" s="341"/>
      <c r="ID21" s="341"/>
      <c r="IE21" s="341"/>
      <c r="IF21" s="341"/>
      <c r="IG21" s="341"/>
      <c r="IH21" s="341"/>
      <c r="II21" s="341"/>
      <c r="IJ21" s="341"/>
      <c r="IK21" s="341"/>
      <c r="IL21" s="341"/>
      <c r="IM21" s="341"/>
      <c r="IN21" s="341"/>
    </row>
    <row r="22" spans="1:248" ht="19.5" customHeight="1">
      <c r="A22" s="84" t="s">
        <v>451</v>
      </c>
      <c r="B22" s="291" t="s">
        <v>587</v>
      </c>
      <c r="C22" s="356">
        <f>SUM(C23:C23)</f>
        <v>5500</v>
      </c>
      <c r="D22" s="358">
        <f>SUM(D23:D23)</f>
        <v>5492.3050000000003</v>
      </c>
      <c r="E22" s="358">
        <f>SUM(E23:E23)</f>
        <v>4895.366</v>
      </c>
      <c r="F22" s="357">
        <f>SUM(F23:F23)</f>
        <v>596.93900000000031</v>
      </c>
      <c r="G22" s="350"/>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1"/>
      <c r="DI22" s="341"/>
      <c r="DJ22" s="341"/>
      <c r="DK22" s="341"/>
      <c r="DL22" s="341"/>
      <c r="DM22" s="341"/>
      <c r="DN22" s="341"/>
      <c r="DO22" s="341"/>
      <c r="DP22" s="341"/>
      <c r="DQ22" s="341"/>
      <c r="DR22" s="341"/>
      <c r="DS22" s="341"/>
      <c r="DT22" s="341"/>
      <c r="DU22" s="341"/>
      <c r="DV22" s="341"/>
      <c r="DW22" s="341"/>
      <c r="DX22" s="341"/>
      <c r="DY22" s="341"/>
      <c r="DZ22" s="341"/>
      <c r="EA22" s="341"/>
      <c r="EB22" s="341"/>
      <c r="EC22" s="341"/>
      <c r="ED22" s="341"/>
      <c r="EE22" s="341"/>
      <c r="EF22" s="341"/>
      <c r="EG22" s="341"/>
      <c r="EH22" s="341"/>
      <c r="EI22" s="341"/>
      <c r="EJ22" s="341"/>
      <c r="EK22" s="341"/>
      <c r="EL22" s="341"/>
      <c r="EM22" s="341"/>
      <c r="EN22" s="341"/>
      <c r="EO22" s="341"/>
      <c r="EP22" s="341"/>
      <c r="EQ22" s="341"/>
      <c r="ER22" s="341"/>
      <c r="ES22" s="341"/>
      <c r="ET22" s="341"/>
      <c r="EU22" s="341"/>
      <c r="EV22" s="341"/>
      <c r="EW22" s="341"/>
      <c r="EX22" s="341"/>
      <c r="EY22" s="341"/>
      <c r="EZ22" s="341"/>
      <c r="FA22" s="341"/>
      <c r="FB22" s="341"/>
      <c r="FC22" s="341"/>
      <c r="FD22" s="341"/>
      <c r="FE22" s="341"/>
      <c r="FF22" s="341"/>
      <c r="FG22" s="341"/>
      <c r="FH22" s="341"/>
      <c r="FI22" s="341"/>
      <c r="FJ22" s="341"/>
      <c r="FK22" s="341"/>
      <c r="FL22" s="341"/>
      <c r="FM22" s="341"/>
      <c r="FN22" s="341"/>
      <c r="FO22" s="341"/>
      <c r="FP22" s="341"/>
      <c r="FQ22" s="341"/>
      <c r="FR22" s="341"/>
      <c r="FS22" s="341"/>
      <c r="FT22" s="341"/>
      <c r="FU22" s="341"/>
      <c r="FV22" s="341"/>
      <c r="FW22" s="341"/>
      <c r="FX22" s="341"/>
      <c r="FY22" s="341"/>
      <c r="FZ22" s="341"/>
      <c r="GA22" s="341"/>
      <c r="GB22" s="341"/>
      <c r="GC22" s="341"/>
      <c r="GD22" s="341"/>
      <c r="GE22" s="341"/>
      <c r="GF22" s="341"/>
      <c r="GG22" s="341"/>
      <c r="GH22" s="341"/>
      <c r="GI22" s="341"/>
      <c r="GJ22" s="341"/>
      <c r="GK22" s="341"/>
      <c r="GL22" s="341"/>
      <c r="GM22" s="341"/>
      <c r="GN22" s="341"/>
      <c r="GO22" s="341"/>
      <c r="GP22" s="341"/>
      <c r="GQ22" s="341"/>
      <c r="GR22" s="341"/>
      <c r="GS22" s="341"/>
      <c r="GT22" s="341"/>
      <c r="GU22" s="341"/>
      <c r="GV22" s="341"/>
      <c r="GW22" s="341"/>
      <c r="GX22" s="341"/>
      <c r="GY22" s="341"/>
      <c r="GZ22" s="341"/>
      <c r="HA22" s="341"/>
      <c r="HB22" s="341"/>
      <c r="HC22" s="341"/>
      <c r="HD22" s="341"/>
      <c r="HE22" s="341"/>
      <c r="HF22" s="341"/>
      <c r="HG22" s="341"/>
      <c r="HH22" s="341"/>
      <c r="HI22" s="341"/>
      <c r="HJ22" s="341"/>
      <c r="HK22" s="341"/>
      <c r="HL22" s="341"/>
      <c r="HM22" s="341"/>
      <c r="HN22" s="341"/>
      <c r="HO22" s="341"/>
      <c r="HP22" s="341"/>
      <c r="HQ22" s="341"/>
      <c r="HR22" s="341"/>
      <c r="HS22" s="341"/>
      <c r="HT22" s="341"/>
      <c r="HU22" s="341"/>
      <c r="HV22" s="341"/>
      <c r="HW22" s="341"/>
      <c r="HX22" s="341"/>
      <c r="HY22" s="341"/>
      <c r="HZ22" s="341"/>
      <c r="IA22" s="341"/>
      <c r="IB22" s="341"/>
      <c r="IC22" s="341"/>
      <c r="ID22" s="341"/>
      <c r="IE22" s="341"/>
      <c r="IF22" s="341"/>
      <c r="IG22" s="341"/>
      <c r="IH22" s="341"/>
      <c r="II22" s="341"/>
      <c r="IJ22" s="341"/>
      <c r="IK22" s="341"/>
      <c r="IL22" s="341"/>
      <c r="IM22" s="341"/>
      <c r="IN22" s="341"/>
    </row>
    <row r="23" spans="1:248" ht="19.5" customHeight="1">
      <c r="A23" s="34">
        <v>1</v>
      </c>
      <c r="B23" s="352" t="s">
        <v>599</v>
      </c>
      <c r="C23" s="353">
        <v>5500</v>
      </c>
      <c r="D23" s="354">
        <v>5492.3050000000003</v>
      </c>
      <c r="E23" s="354">
        <v>4895.366</v>
      </c>
      <c r="F23" s="359">
        <v>596.93900000000031</v>
      </c>
      <c r="G23" s="350"/>
    </row>
    <row r="24" spans="1:248" ht="19.5" customHeight="1">
      <c r="A24" s="84" t="s">
        <v>451</v>
      </c>
      <c r="B24" s="360" t="s">
        <v>600</v>
      </c>
      <c r="C24" s="356">
        <f>SUM(C25:C26)</f>
        <v>4000</v>
      </c>
      <c r="D24" s="358">
        <f>SUM(D25:D26)</f>
        <v>3903.239</v>
      </c>
      <c r="E24" s="358">
        <f>SUM(E25:E26)</f>
        <v>3250.5540000000001</v>
      </c>
      <c r="F24" s="357">
        <f>SUM(F25:F26)</f>
        <v>652.68499999999995</v>
      </c>
      <c r="G24" s="350"/>
    </row>
    <row r="25" spans="1:248" ht="54" customHeight="1">
      <c r="A25" s="34">
        <v>1</v>
      </c>
      <c r="B25" s="361" t="s">
        <v>601</v>
      </c>
      <c r="C25" s="353">
        <v>1500</v>
      </c>
      <c r="D25" s="354">
        <v>1443.239</v>
      </c>
      <c r="E25" s="354">
        <v>1000</v>
      </c>
      <c r="F25" s="359">
        <v>443.23900000000003</v>
      </c>
      <c r="G25" s="350"/>
    </row>
    <row r="26" spans="1:248" ht="20.25" customHeight="1">
      <c r="A26" s="34">
        <v>2</v>
      </c>
      <c r="B26" s="352" t="s">
        <v>602</v>
      </c>
      <c r="C26" s="353">
        <v>2500</v>
      </c>
      <c r="D26" s="354">
        <v>2460</v>
      </c>
      <c r="E26" s="354">
        <v>2250.5540000000001</v>
      </c>
      <c r="F26" s="359">
        <v>209.44599999999991</v>
      </c>
      <c r="G26" s="350"/>
    </row>
    <row r="27" spans="1:248" ht="19.5" customHeight="1">
      <c r="A27" s="84" t="s">
        <v>20</v>
      </c>
      <c r="B27" s="360" t="s">
        <v>603</v>
      </c>
      <c r="C27" s="356">
        <f>C28</f>
        <v>28000</v>
      </c>
      <c r="D27" s="356">
        <f>D28</f>
        <v>13750</v>
      </c>
      <c r="E27" s="356">
        <f>E28</f>
        <v>9386.9740000000002</v>
      </c>
      <c r="F27" s="357">
        <f>F28</f>
        <v>4756.1769999999997</v>
      </c>
      <c r="G27" s="350"/>
    </row>
    <row r="28" spans="1:248" ht="18.75" customHeight="1">
      <c r="A28" s="84" t="s">
        <v>451</v>
      </c>
      <c r="B28" s="291" t="s">
        <v>587</v>
      </c>
      <c r="C28" s="356">
        <f>SUM(C29:C31)</f>
        <v>28000</v>
      </c>
      <c r="D28" s="358">
        <f>SUM(D29:D31)</f>
        <v>13750</v>
      </c>
      <c r="E28" s="358">
        <f>SUM(E29:E31)</f>
        <v>9386.9740000000002</v>
      </c>
      <c r="F28" s="357">
        <f>SUM(F29:F31)</f>
        <v>4756.1769999999997</v>
      </c>
      <c r="G28" s="350"/>
    </row>
    <row r="29" spans="1:248" s="434" customFormat="1" ht="36.75" customHeight="1">
      <c r="A29" s="426">
        <v>1</v>
      </c>
      <c r="B29" s="432" t="s">
        <v>604</v>
      </c>
      <c r="C29" s="428">
        <v>9800</v>
      </c>
      <c r="D29" s="429">
        <v>9250</v>
      </c>
      <c r="E29" s="429">
        <f>4610+776.974</f>
        <v>5386.9740000000002</v>
      </c>
      <c r="F29" s="433">
        <f>2168.668+180-F20</f>
        <v>2226.1770000000001</v>
      </c>
      <c r="G29" s="431"/>
    </row>
    <row r="30" spans="1:248" ht="36.75" customHeight="1">
      <c r="A30" s="34">
        <v>2</v>
      </c>
      <c r="B30" s="361" t="s">
        <v>605</v>
      </c>
      <c r="C30" s="353">
        <v>9200</v>
      </c>
      <c r="D30" s="354">
        <v>4500</v>
      </c>
      <c r="E30" s="354">
        <v>4000</v>
      </c>
      <c r="F30" s="359">
        <v>2260</v>
      </c>
      <c r="G30" s="350"/>
      <c r="H30" s="362"/>
      <c r="I30" s="362"/>
    </row>
    <row r="31" spans="1:248" ht="45.75" customHeight="1">
      <c r="A31" s="34">
        <v>3</v>
      </c>
      <c r="B31" s="361" t="s">
        <v>606</v>
      </c>
      <c r="C31" s="353">
        <v>9000</v>
      </c>
      <c r="D31" s="354"/>
      <c r="E31" s="354"/>
      <c r="F31" s="359">
        <v>270</v>
      </c>
      <c r="G31" s="53" t="s">
        <v>607</v>
      </c>
    </row>
  </sheetData>
  <mergeCells count="4">
    <mergeCell ref="A1:G1"/>
    <mergeCell ref="A2:G2"/>
    <mergeCell ref="A3:G3"/>
    <mergeCell ref="F4:G4"/>
  </mergeCells>
  <pageMargins left="0.55118110236220474" right="0.27559055118110237" top="0.74803149606299213" bottom="0.74803149606299213" header="0.31496062992125984" footer="0.31496062992125984"/>
  <pageSetup paperSize="9" scale="9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9"/>
  <sheetViews>
    <sheetView workbookViewId="0">
      <selection activeCell="B7" sqref="B7"/>
    </sheetView>
  </sheetViews>
  <sheetFormatPr defaultColWidth="10" defaultRowHeight="15.75"/>
  <cols>
    <col min="1" max="1" width="5.77734375" style="364" customWidth="1"/>
    <col min="2" max="2" width="39.6640625" style="365" customWidth="1"/>
    <col min="3" max="3" width="14.44140625" style="364" customWidth="1"/>
    <col min="4" max="4" width="33.77734375" style="364" hidden="1" customWidth="1"/>
    <col min="5" max="5" width="45.33203125" style="364" hidden="1" customWidth="1"/>
    <col min="6" max="6" width="11.88671875" style="366" customWidth="1"/>
    <col min="7" max="7" width="13.109375" style="366" customWidth="1"/>
    <col min="8" max="8" width="13.6640625" style="364" customWidth="1"/>
    <col min="9" max="16384" width="10" style="364"/>
  </cols>
  <sheetData>
    <row r="1" spans="1:8" ht="19.5" customHeight="1">
      <c r="A1" s="778" t="s">
        <v>662</v>
      </c>
      <c r="B1" s="778"/>
      <c r="C1" s="778"/>
      <c r="D1" s="778"/>
      <c r="E1" s="778"/>
      <c r="F1" s="778"/>
      <c r="G1" s="778"/>
      <c r="H1" s="778"/>
    </row>
    <row r="2" spans="1:8" ht="21" customHeight="1">
      <c r="A2" s="779" t="s">
        <v>609</v>
      </c>
      <c r="B2" s="779"/>
      <c r="C2" s="779"/>
      <c r="D2" s="779"/>
      <c r="E2" s="779"/>
      <c r="F2" s="779"/>
      <c r="G2" s="779"/>
      <c r="H2" s="779"/>
    </row>
    <row r="3" spans="1:8" ht="18" customHeight="1">
      <c r="A3" s="776" t="str">
        <f>'Trả nợ'!A3:G3</f>
        <v>(Kèm theo Quyết đinh số 1929/QĐ-UBND ngày 20 tháng 12 năm 2023 của UBND huyện Tuần Giáo)</v>
      </c>
      <c r="B3" s="776"/>
      <c r="C3" s="776"/>
      <c r="D3" s="776"/>
      <c r="E3" s="776"/>
      <c r="F3" s="776"/>
      <c r="G3" s="776"/>
      <c r="H3" s="776"/>
    </row>
    <row r="4" spans="1:8" ht="24.75" customHeight="1">
      <c r="G4" s="777" t="s">
        <v>87</v>
      </c>
      <c r="H4" s="777"/>
    </row>
    <row r="5" spans="1:8" ht="31.5">
      <c r="A5" s="264" t="s">
        <v>58</v>
      </c>
      <c r="B5" s="264" t="s">
        <v>580</v>
      </c>
      <c r="C5" s="264" t="s">
        <v>610</v>
      </c>
      <c r="D5" s="264" t="s">
        <v>611</v>
      </c>
      <c r="E5" s="264" t="s">
        <v>612</v>
      </c>
      <c r="F5" s="367" t="s">
        <v>581</v>
      </c>
      <c r="G5" s="333" t="s">
        <v>613</v>
      </c>
      <c r="H5" s="264" t="s">
        <v>614</v>
      </c>
    </row>
    <row r="6" spans="1:8" ht="20.25" customHeight="1">
      <c r="A6" s="264"/>
      <c r="B6" s="264" t="s">
        <v>615</v>
      </c>
      <c r="C6" s="264"/>
      <c r="D6" s="264"/>
      <c r="E6" s="264"/>
      <c r="F6" s="368">
        <f>F7+F19</f>
        <v>22900</v>
      </c>
      <c r="G6" s="368">
        <f>G7+G19</f>
        <v>14680</v>
      </c>
      <c r="H6" s="264"/>
    </row>
    <row r="7" spans="1:8" s="308" customFormat="1" ht="20.25" customHeight="1">
      <c r="A7" s="264" t="s">
        <v>18</v>
      </c>
      <c r="B7" s="369" t="s">
        <v>319</v>
      </c>
      <c r="C7" s="264"/>
      <c r="D7" s="264"/>
      <c r="E7" s="264"/>
      <c r="F7" s="368">
        <f>F8+F10+F14+F16</f>
        <v>14100</v>
      </c>
      <c r="G7" s="368">
        <f>G8+G10+G14+G16</f>
        <v>7680</v>
      </c>
      <c r="H7" s="264"/>
    </row>
    <row r="8" spans="1:8" s="308" customFormat="1" ht="20.25" customHeight="1">
      <c r="A8" s="264" t="s">
        <v>451</v>
      </c>
      <c r="B8" s="369" t="s">
        <v>616</v>
      </c>
      <c r="C8" s="264"/>
      <c r="D8" s="264"/>
      <c r="E8" s="264"/>
      <c r="F8" s="368">
        <f>SUM(F9:F9)</f>
        <v>1000</v>
      </c>
      <c r="G8" s="368">
        <f>SUM(G9:G9)</f>
        <v>600</v>
      </c>
      <c r="H8" s="264"/>
    </row>
    <row r="9" spans="1:8" ht="54.75" customHeight="1">
      <c r="A9" s="370">
        <v>1</v>
      </c>
      <c r="B9" s="371" t="s">
        <v>617</v>
      </c>
      <c r="C9" s="372" t="s">
        <v>618</v>
      </c>
      <c r="D9" s="372" t="s">
        <v>619</v>
      </c>
      <c r="E9" s="372" t="s">
        <v>620</v>
      </c>
      <c r="F9" s="373">
        <v>1000</v>
      </c>
      <c r="G9" s="373">
        <v>600</v>
      </c>
      <c r="H9" s="374"/>
    </row>
    <row r="10" spans="1:8" s="308" customFormat="1" ht="21.75" customHeight="1">
      <c r="A10" s="264" t="s">
        <v>451</v>
      </c>
      <c r="B10" s="369" t="s">
        <v>600</v>
      </c>
      <c r="C10" s="264"/>
      <c r="D10" s="264"/>
      <c r="E10" s="264"/>
      <c r="F10" s="368">
        <f>SUM(F11:F13)</f>
        <v>7000</v>
      </c>
      <c r="G10" s="368">
        <f>SUM(G11:G13)</f>
        <v>3300</v>
      </c>
      <c r="H10" s="264"/>
    </row>
    <row r="11" spans="1:8" s="379" customFormat="1" ht="30" customHeight="1">
      <c r="A11" s="375">
        <v>1</v>
      </c>
      <c r="B11" s="376" t="s">
        <v>621</v>
      </c>
      <c r="C11" s="377" t="s">
        <v>276</v>
      </c>
      <c r="D11" s="377" t="s">
        <v>622</v>
      </c>
      <c r="E11" s="377" t="s">
        <v>623</v>
      </c>
      <c r="F11" s="378">
        <v>1500</v>
      </c>
      <c r="G11" s="378">
        <v>800</v>
      </c>
      <c r="H11" s="375"/>
    </row>
    <row r="12" spans="1:8" s="379" customFormat="1" ht="43.5" customHeight="1">
      <c r="A12" s="375">
        <v>2</v>
      </c>
      <c r="B12" s="376" t="s">
        <v>624</v>
      </c>
      <c r="C12" s="377" t="s">
        <v>268</v>
      </c>
      <c r="D12" s="377" t="s">
        <v>625</v>
      </c>
      <c r="E12" s="377" t="s">
        <v>626</v>
      </c>
      <c r="F12" s="378">
        <v>3500</v>
      </c>
      <c r="G12" s="378">
        <v>1600</v>
      </c>
      <c r="H12" s="375"/>
    </row>
    <row r="13" spans="1:8" s="379" customFormat="1" ht="43.5" customHeight="1">
      <c r="A13" s="375">
        <v>3</v>
      </c>
      <c r="B13" s="376" t="s">
        <v>627</v>
      </c>
      <c r="C13" s="377" t="s">
        <v>628</v>
      </c>
      <c r="D13" s="377" t="s">
        <v>625</v>
      </c>
      <c r="E13" s="377" t="s">
        <v>629</v>
      </c>
      <c r="F13" s="378">
        <v>2000</v>
      </c>
      <c r="G13" s="378">
        <v>900</v>
      </c>
      <c r="H13" s="375"/>
    </row>
    <row r="14" spans="1:8" s="308" customFormat="1" ht="24" customHeight="1">
      <c r="A14" s="264" t="s">
        <v>451</v>
      </c>
      <c r="B14" s="369" t="s">
        <v>630</v>
      </c>
      <c r="C14" s="264"/>
      <c r="D14" s="264"/>
      <c r="E14" s="264"/>
      <c r="F14" s="368">
        <f>F15</f>
        <v>600</v>
      </c>
      <c r="G14" s="368">
        <f>G15</f>
        <v>580</v>
      </c>
      <c r="H14" s="264"/>
    </row>
    <row r="15" spans="1:8" s="379" customFormat="1" ht="30" customHeight="1">
      <c r="A15" s="375">
        <v>1</v>
      </c>
      <c r="B15" s="376" t="s">
        <v>631</v>
      </c>
      <c r="C15" s="377" t="s">
        <v>578</v>
      </c>
      <c r="D15" s="377" t="s">
        <v>632</v>
      </c>
      <c r="E15" s="377" t="s">
        <v>633</v>
      </c>
      <c r="F15" s="378">
        <v>600</v>
      </c>
      <c r="G15" s="378">
        <v>580</v>
      </c>
      <c r="H15" s="375"/>
    </row>
    <row r="16" spans="1:8" s="308" customFormat="1" ht="22.5" customHeight="1">
      <c r="A16" s="264" t="s">
        <v>451</v>
      </c>
      <c r="B16" s="369" t="s">
        <v>634</v>
      </c>
      <c r="C16" s="264"/>
      <c r="D16" s="264"/>
      <c r="E16" s="264"/>
      <c r="F16" s="368">
        <f>+F17+F18</f>
        <v>5500</v>
      </c>
      <c r="G16" s="368">
        <f>+G17+G18</f>
        <v>3200</v>
      </c>
      <c r="H16" s="264"/>
    </row>
    <row r="17" spans="1:9" s="384" customFormat="1" ht="45.75" customHeight="1">
      <c r="A17" s="375">
        <v>1</v>
      </c>
      <c r="B17" s="380" t="s">
        <v>635</v>
      </c>
      <c r="C17" s="375" t="s">
        <v>268</v>
      </c>
      <c r="D17" s="375" t="s">
        <v>636</v>
      </c>
      <c r="E17" s="381" t="s">
        <v>637</v>
      </c>
      <c r="F17" s="382">
        <v>2500</v>
      </c>
      <c r="G17" s="382">
        <v>1500</v>
      </c>
      <c r="H17" s="375" t="s">
        <v>638</v>
      </c>
      <c r="I17" s="383"/>
    </row>
    <row r="18" spans="1:9" s="384" customFormat="1" ht="45.75" customHeight="1">
      <c r="A18" s="375">
        <v>2</v>
      </c>
      <c r="B18" s="380" t="s">
        <v>639</v>
      </c>
      <c r="C18" s="375" t="s">
        <v>273</v>
      </c>
      <c r="D18" s="375" t="s">
        <v>640</v>
      </c>
      <c r="E18" s="381" t="s">
        <v>641</v>
      </c>
      <c r="F18" s="382">
        <v>3000</v>
      </c>
      <c r="G18" s="382">
        <v>1700</v>
      </c>
      <c r="H18" s="375" t="s">
        <v>638</v>
      </c>
      <c r="I18" s="383"/>
    </row>
    <row r="19" spans="1:9" s="308" customFormat="1" ht="23.25" customHeight="1">
      <c r="A19" s="264" t="s">
        <v>19</v>
      </c>
      <c r="B19" s="369" t="s">
        <v>642</v>
      </c>
      <c r="C19" s="264"/>
      <c r="D19" s="264"/>
      <c r="E19" s="264"/>
      <c r="F19" s="368">
        <f>+F20+F26+F28</f>
        <v>8800</v>
      </c>
      <c r="G19" s="368">
        <f>+G20+G26+G28</f>
        <v>7000</v>
      </c>
      <c r="H19" s="264"/>
    </row>
    <row r="20" spans="1:9" s="308" customFormat="1" ht="23.25" customHeight="1">
      <c r="A20" s="264" t="s">
        <v>451</v>
      </c>
      <c r="B20" s="369" t="s">
        <v>643</v>
      </c>
      <c r="C20" s="264"/>
      <c r="D20" s="264"/>
      <c r="E20" s="385"/>
      <c r="F20" s="368">
        <f>SUM(F21:F25)</f>
        <v>6750</v>
      </c>
      <c r="G20" s="368">
        <f>SUM(G21:G25)</f>
        <v>5400</v>
      </c>
      <c r="H20" s="264"/>
    </row>
    <row r="21" spans="1:9" s="387" customFormat="1" ht="27.75" customHeight="1">
      <c r="A21" s="374">
        <v>1</v>
      </c>
      <c r="B21" s="386" t="s">
        <v>644</v>
      </c>
      <c r="C21" s="374" t="s">
        <v>276</v>
      </c>
      <c r="D21" s="374" t="s">
        <v>645</v>
      </c>
      <c r="E21" s="374" t="s">
        <v>646</v>
      </c>
      <c r="F21" s="282">
        <v>3000</v>
      </c>
      <c r="G21" s="282">
        <v>2600</v>
      </c>
      <c r="H21" s="374"/>
    </row>
    <row r="22" spans="1:9" s="387" customFormat="1" ht="27.75" customHeight="1">
      <c r="A22" s="374">
        <v>2</v>
      </c>
      <c r="B22" s="386" t="s">
        <v>647</v>
      </c>
      <c r="C22" s="374" t="s">
        <v>263</v>
      </c>
      <c r="D22" s="374" t="s">
        <v>648</v>
      </c>
      <c r="E22" s="374" t="s">
        <v>649</v>
      </c>
      <c r="F22" s="388">
        <v>900</v>
      </c>
      <c r="G22" s="282">
        <v>700</v>
      </c>
      <c r="H22" s="374"/>
    </row>
    <row r="23" spans="1:9" s="387" customFormat="1" ht="34.5" customHeight="1">
      <c r="A23" s="374">
        <v>3</v>
      </c>
      <c r="B23" s="386" t="s">
        <v>650</v>
      </c>
      <c r="C23" s="374" t="s">
        <v>272</v>
      </c>
      <c r="D23" s="374" t="s">
        <v>648</v>
      </c>
      <c r="E23" s="374" t="s">
        <v>651</v>
      </c>
      <c r="F23" s="282">
        <v>1200</v>
      </c>
      <c r="G23" s="282">
        <v>900</v>
      </c>
      <c r="H23" s="374"/>
    </row>
    <row r="24" spans="1:9" s="387" customFormat="1" ht="27.75" customHeight="1">
      <c r="A24" s="374">
        <v>4</v>
      </c>
      <c r="B24" s="386" t="s">
        <v>652</v>
      </c>
      <c r="C24" s="374" t="s">
        <v>278</v>
      </c>
      <c r="D24" s="374" t="s">
        <v>648</v>
      </c>
      <c r="E24" s="374" t="s">
        <v>653</v>
      </c>
      <c r="F24" s="388">
        <v>1000</v>
      </c>
      <c r="G24" s="282">
        <v>800</v>
      </c>
      <c r="H24" s="374"/>
    </row>
    <row r="25" spans="1:9" s="387" customFormat="1" ht="34.5" customHeight="1">
      <c r="A25" s="374">
        <v>5</v>
      </c>
      <c r="B25" s="386" t="s">
        <v>654</v>
      </c>
      <c r="C25" s="374" t="s">
        <v>264</v>
      </c>
      <c r="D25" s="374" t="s">
        <v>648</v>
      </c>
      <c r="E25" s="374" t="s">
        <v>651</v>
      </c>
      <c r="F25" s="282">
        <v>650</v>
      </c>
      <c r="G25" s="282">
        <v>400</v>
      </c>
      <c r="H25" s="374"/>
    </row>
    <row r="26" spans="1:9" s="308" customFormat="1" ht="22.5" customHeight="1">
      <c r="A26" s="264" t="s">
        <v>451</v>
      </c>
      <c r="B26" s="369" t="s">
        <v>600</v>
      </c>
      <c r="C26" s="264"/>
      <c r="D26" s="264"/>
      <c r="E26" s="385"/>
      <c r="F26" s="368">
        <f>F27</f>
        <v>1600</v>
      </c>
      <c r="G26" s="368">
        <f>G27</f>
        <v>1300</v>
      </c>
      <c r="H26" s="264"/>
    </row>
    <row r="27" spans="1:9" s="379" customFormat="1" ht="31.5" customHeight="1">
      <c r="A27" s="375">
        <v>1</v>
      </c>
      <c r="B27" s="376" t="s">
        <v>655</v>
      </c>
      <c r="C27" s="377" t="s">
        <v>266</v>
      </c>
      <c r="D27" s="377" t="s">
        <v>656</v>
      </c>
      <c r="E27" s="377" t="s">
        <v>657</v>
      </c>
      <c r="F27" s="378">
        <v>1600</v>
      </c>
      <c r="G27" s="378">
        <v>1300</v>
      </c>
      <c r="H27" s="375"/>
    </row>
    <row r="28" spans="1:9" s="308" customFormat="1" ht="22.5" customHeight="1">
      <c r="A28" s="264" t="s">
        <v>451</v>
      </c>
      <c r="B28" s="369" t="s">
        <v>658</v>
      </c>
      <c r="C28" s="264"/>
      <c r="D28" s="264"/>
      <c r="E28" s="385"/>
      <c r="F28" s="368">
        <f>F29</f>
        <v>450</v>
      </c>
      <c r="G28" s="368">
        <f>G29</f>
        <v>300</v>
      </c>
      <c r="H28" s="264"/>
    </row>
    <row r="29" spans="1:9" s="393" customFormat="1" ht="30.75" customHeight="1">
      <c r="A29" s="389">
        <v>2</v>
      </c>
      <c r="B29" s="390" t="s">
        <v>659</v>
      </c>
      <c r="C29" s="389" t="s">
        <v>262</v>
      </c>
      <c r="D29" s="389" t="s">
        <v>660</v>
      </c>
      <c r="E29" s="389" t="s">
        <v>661</v>
      </c>
      <c r="F29" s="391">
        <v>450</v>
      </c>
      <c r="G29" s="392">
        <v>300</v>
      </c>
      <c r="H29" s="389"/>
    </row>
  </sheetData>
  <mergeCells count="4">
    <mergeCell ref="A1:H1"/>
    <mergeCell ref="A2:H2"/>
    <mergeCell ref="A3:H3"/>
    <mergeCell ref="G4:H4"/>
  </mergeCells>
  <pageMargins left="0.47244094488188981" right="0.27559055118110237" top="0.57999999999999996" bottom="0.74803149606299213" header="0.31496062992125984" footer="0.31496062992125984"/>
  <pageSetup paperSize="9" scale="9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602B3-7DC2-4FE7-806E-E25055BB2EC3}">
  <ds:schemaRefs>
    <ds:schemaRef ds:uri="http://purl.org/dc/elements/1.1/"/>
    <ds:schemaRef ds:uri="http://schemas.microsoft.com/office/2006/documentManagement/types"/>
    <ds:schemaRef ds:uri="http://schemas.openxmlformats.org/package/2006/metadata/core-properties"/>
    <ds:schemaRef ds:uri="http://purl.org/dc/terms/"/>
    <ds:schemaRef ds:uri="http://www.w3.org/XML/1998/namespace"/>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37</vt:i4>
      </vt:variant>
    </vt:vector>
  </HeadingPairs>
  <TitlesOfParts>
    <vt:vector size="64" baseType="lpstr">
      <vt:lpstr>Thu 2024</vt:lpstr>
      <vt:lpstr>Chi 2024</vt:lpstr>
      <vt:lpstr>Chi 2025</vt:lpstr>
      <vt:lpstr>Chi xã,TT 2025</vt:lpstr>
      <vt:lpstr>Sử dụng DP</vt:lpstr>
      <vt:lpstr>SNGD</vt:lpstr>
      <vt:lpstr>Trả nợ</vt:lpstr>
      <vt:lpstr>SNKT</vt:lpstr>
      <vt:lpstr>Đất lúa</vt:lpstr>
      <vt:lpstr>PL15</vt:lpstr>
      <vt:lpstr>PL16</vt:lpstr>
      <vt:lpstr>PL17</vt:lpstr>
      <vt:lpstr>PL30-H+X</vt:lpstr>
      <vt:lpstr>PL31-NSX</vt:lpstr>
      <vt:lpstr>PL32-NSX</vt:lpstr>
      <vt:lpstr>PL33</vt:lpstr>
      <vt:lpstr>PL34</vt:lpstr>
      <vt:lpstr>PL35</vt:lpstr>
      <vt:lpstr>PL36-ĐT</vt:lpstr>
      <vt:lpstr>PL37</vt:lpstr>
      <vt:lpstr>PL38-H+X</vt:lpstr>
      <vt:lpstr>PL39-NSX</vt:lpstr>
      <vt:lpstr>PL41-NSX</vt:lpstr>
      <vt:lpstr>PL42-NSX</vt:lpstr>
      <vt:lpstr>PL44-NSX</vt:lpstr>
      <vt:lpstr>PL45-Quỹ</vt:lpstr>
      <vt:lpstr>PL47-Thu SN</vt:lpstr>
      <vt:lpstr>'PL31-NSX'!chuong_phuluc_31</vt:lpstr>
      <vt:lpstr>'PL31-NSX'!chuong_phuluc_31_name</vt:lpstr>
      <vt:lpstr>'PL44-NSX'!chuong_phuluc_43</vt:lpstr>
      <vt:lpstr>'PL44-NSX'!chuong_phuluc_43_name</vt:lpstr>
      <vt:lpstr>'PL44-NSX'!chuong_phuluc_44</vt:lpstr>
      <vt:lpstr>'PL44-NSX'!chuong_phuluc_44_name</vt:lpstr>
      <vt:lpstr>'PL44-NSX'!chuong_phuluc_44_name_name</vt:lpstr>
      <vt:lpstr>'Chi 2024'!Print_Area</vt:lpstr>
      <vt:lpstr>'Chi 2025'!Print_Area</vt:lpstr>
      <vt:lpstr>'PL15'!Print_Area</vt:lpstr>
      <vt:lpstr>'PL16'!Print_Area</vt:lpstr>
      <vt:lpstr>'PL17'!Print_Area</vt:lpstr>
      <vt:lpstr>'PL30-H+X'!Print_Area</vt:lpstr>
      <vt:lpstr>'PL31-NSX'!Print_Area</vt:lpstr>
      <vt:lpstr>'PL32-NSX'!Print_Area</vt:lpstr>
      <vt:lpstr>'PL33'!Print_Area</vt:lpstr>
      <vt:lpstr>'PL34'!Print_Area</vt:lpstr>
      <vt:lpstr>'PL35'!Print_Area</vt:lpstr>
      <vt:lpstr>'PL36-ĐT'!Print_Area</vt:lpstr>
      <vt:lpstr>'PL37'!Print_Area</vt:lpstr>
      <vt:lpstr>'PL38-H+X'!Print_Area</vt:lpstr>
      <vt:lpstr>'PL39-NSX'!Print_Area</vt:lpstr>
      <vt:lpstr>'PL41-NSX'!Print_Area</vt:lpstr>
      <vt:lpstr>'PL42-NSX'!Print_Area</vt:lpstr>
      <vt:lpstr>'PL44-NSX'!Print_Area</vt:lpstr>
      <vt:lpstr>'PL45-Quỹ'!Print_Area</vt:lpstr>
      <vt:lpstr>'PL47-Thu SN'!Print_Area</vt:lpstr>
      <vt:lpstr>'Thu 2024'!Print_Area</vt:lpstr>
      <vt:lpstr>'Chi 2024'!Print_Titles</vt:lpstr>
      <vt:lpstr>'PL15'!Print_Titles</vt:lpstr>
      <vt:lpstr>'PL17'!Print_Titles</vt:lpstr>
      <vt:lpstr>'PL30-H+X'!Print_Titles</vt:lpstr>
      <vt:lpstr>'PL33'!Print_Titles</vt:lpstr>
      <vt:lpstr>'PL34'!Print_Titles</vt:lpstr>
      <vt:lpstr>'PL35'!Print_Titles</vt:lpstr>
      <vt:lpstr>'PL37'!Print_Titles</vt:lpstr>
      <vt:lpstr>'PL38-H+X'!Print_Titles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NGA-PC1</cp:lastModifiedBy>
  <cp:lastPrinted>2024-12-12T03:49:11Z</cp:lastPrinted>
  <dcterms:created xsi:type="dcterms:W3CDTF">2001-01-04T01:21:32Z</dcterms:created>
  <dcterms:modified xsi:type="dcterms:W3CDTF">2024-12-14T03:42:51Z</dcterms:modified>
</cp:coreProperties>
</file>