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codeName="ThisWorkbook" defaultThemeVersion="124226"/>
  <mc:AlternateContent xmlns:mc="http://schemas.openxmlformats.org/markup-compatibility/2006">
    <mc:Choice Requires="x15">
      <x15ac:absPath xmlns:x15ac="http://schemas.microsoft.com/office/spreadsheetml/2010/11/ac" url="C:\Users\Admin\AppData\Local\Temp\Tandan JSC\files\"/>
    </mc:Choice>
  </mc:AlternateContent>
  <xr:revisionPtr revIDLastSave="0" documentId="13_ncr:1_{6F9687A4-062A-4564-98F7-FCACB6428AA4}" xr6:coauthVersionLast="36" xr6:coauthVersionMax="36" xr10:uidLastSave="{00000000-0000-0000-0000-000000000000}"/>
  <bookViews>
    <workbookView xWindow="0" yWindow="0" windowWidth="20496" windowHeight="7356" tabRatio="863" firstSheet="7" activeTab="7" xr2:uid="{00000000-000D-0000-FFFF-FFFF00000000}"/>
  </bookViews>
  <sheets>
    <sheet name="biểu 01" sheetId="3" state="hidden" r:id="rId1"/>
    <sheet name="foxz" sheetId="7" state="hidden" r:id="rId2"/>
    <sheet name="foxz_2" sheetId="8" state="veryHidden" r:id="rId3"/>
    <sheet name="foxz_3" sheetId="9" state="veryHidden" r:id="rId4"/>
    <sheet name="foxz_4" sheetId="16" state="veryHidden" r:id="rId5"/>
    <sheet name="foxz_5" sheetId="17" state="veryHidden" r:id="rId6"/>
    <sheet name="foxz_6" sheetId="18" state="veryHidden" r:id="rId7"/>
    <sheet name="PHỤ LỤC 1" sheetId="34" r:id="rId8"/>
    <sheet name="BIỂU TH" sheetId="12" r:id="rId9"/>
    <sheet name="02-CĐNS(TỈNH Q.LÝ)" sheetId="15" r:id="rId10"/>
    <sheet name="03-CĐNS(HUYỆN Q.LÝ)" sheetId="10" r:id="rId11"/>
    <sheet name="04-VỐN ĐTPT CTMT" sheetId="27" r:id="rId12"/>
    <sheet name="05-VỐN ĐẤU GIÁ" sheetId="31" r:id="rId13"/>
    <sheet name="06-VỐN S.NGHIỆP CTMT" sheetId="26" state="hidden" r:id="rId14"/>
    <sheet name="06-S.NGHIỆP KINH TẾ" sheetId="28" r:id="rId15"/>
    <sheet name="08-VỐN S.NGHIỆP GD" sheetId="30" state="hidden" r:id="rId16"/>
    <sheet name="Biểu số 04 (ĐTC huyện)" sheetId="13" state="hidden" r:id="rId17"/>
    <sheet name="Biểu số 04 (SN)" sheetId="14" state="hidden" r:id="rId18"/>
    <sheet name="Biểu số 05 (SNGD)" sheetId="11" state="hidden" r:id="rId19"/>
    <sheet name="Biểu 04 DC trung han  2021-2025" sheetId="22" state="hidden" r:id="rId20"/>
    <sheet name="Biểu 5 ĐC KHV 2022 vốn NSĐP" sheetId="24" state="hidden" r:id="rId21"/>
    <sheet name="Bểu 06 ĐCKHV 2022, CTMTQG" sheetId="23" state="hidden" r:id="rId22"/>
    <sheet name="Bieur 07 Đề xuất KHV" sheetId="25" state="hidden" r:id="rId23"/>
    <sheet name="7-VỐN S.NGHIỆP GD" sheetId="33" r:id="rId24"/>
    <sheet name="8-VỐN S.NGHIỆP CTMT" sheetId="32" r:id="rId25"/>
  </sheets>
  <externalReferences>
    <externalReference r:id="rId26"/>
  </externalReferences>
  <definedNames>
    <definedName name="_xlnm.Print_Area" localSheetId="9">'02-CĐNS(TỈNH Q.LÝ)'!$A$1:$O$26</definedName>
    <definedName name="_xlnm.Print_Area" localSheetId="10">'03-CĐNS(HUYỆN Q.LÝ)'!$A$1:$M$15</definedName>
    <definedName name="_xlnm.Print_Area" localSheetId="11">'04-VỐN ĐTPT CTMT'!$A$1:$O$39</definedName>
    <definedName name="_xlnm.Print_Area" localSheetId="12">'05-VỐN ĐẤU GIÁ'!$A$1:$N$36</definedName>
    <definedName name="_xlnm.Print_Area" localSheetId="14">'06-S.NGHIỆP KINH TẾ'!$A$1:$S$101</definedName>
    <definedName name="_xlnm.Print_Area" localSheetId="13">'06-VỐN S.NGHIỆP CTMT'!$A$1:$K$50</definedName>
    <definedName name="_xlnm.Print_Area" localSheetId="15">'08-VỐN S.NGHIỆP GD'!$A$1:$S$34</definedName>
    <definedName name="_xlnm.Print_Area" localSheetId="23">'7-VỐN S.NGHIỆP GD'!$A$1:$P$34</definedName>
    <definedName name="_xlnm.Print_Area" localSheetId="24">'8-VỐN S.NGHIỆP CTMT'!$A$1:$O$48</definedName>
    <definedName name="_xlnm.Print_Area" localSheetId="20">'Biểu 5 ĐC KHV 2022 vốn NSĐP'!$A$1:$L$24</definedName>
    <definedName name="_xlnm.Print_Area" localSheetId="16">'Biểu số 04 (ĐTC huyện)'!$A$1:$N$36</definedName>
    <definedName name="_xlnm.Print_Area" localSheetId="17">'Biểu số 04 (SN)'!$A$1:$M$83</definedName>
    <definedName name="_xlnm.Print_Area" localSheetId="18">'Biểu số 05 (SNGD)'!$A$1:$L$33</definedName>
    <definedName name="_xlnm.Print_Area" localSheetId="8">'BIỂU TH'!$A$1:$J$32</definedName>
    <definedName name="_xlnm.Print_Titles" localSheetId="9">'02-CĐNS(TỈNH Q.LÝ)'!$5:$6</definedName>
    <definedName name="_xlnm.Print_Titles" localSheetId="10">'03-CĐNS(HUYỆN Q.LÝ)'!$5:$7</definedName>
    <definedName name="_xlnm.Print_Titles" localSheetId="11">'04-VỐN ĐTPT CTMT'!$5:$6</definedName>
    <definedName name="_xlnm.Print_Titles" localSheetId="14">'06-S.NGHIỆP KINH TẾ'!$5:$6</definedName>
    <definedName name="_xlnm.Print_Titles" localSheetId="15">'08-VỐN S.NGHIỆP GD'!$5:$6</definedName>
    <definedName name="_xlnm.Print_Titles" localSheetId="24">'8-VỐN S.NGHIỆP CTMT'!$5:$8</definedName>
    <definedName name="_xlnm.Print_Titles" localSheetId="21">'Bểu 06 ĐCKHV 2022, CTMTQG'!$5:$10</definedName>
    <definedName name="_xlnm.Print_Titles" localSheetId="20">'Biểu 5 ĐC KHV 2022 vốn NSĐP'!$5:$10</definedName>
    <definedName name="_xlnm.Print_Titles" localSheetId="17">'Biểu số 04 (SN)'!$5:$7</definedName>
    <definedName name="_xlnm.Print_Titles" localSheetId="18">'Biểu số 05 (SNGD)'!$5:$7</definedName>
    <definedName name="_xlnm.Print_Titles" localSheetId="8">'BIỂU TH'!$5:$8</definedName>
  </definedNames>
  <calcPr calcId="191029"/>
</workbook>
</file>

<file path=xl/calcChain.xml><?xml version="1.0" encoding="utf-8"?>
<calcChain xmlns="http://schemas.openxmlformats.org/spreadsheetml/2006/main">
  <c r="N9" i="10" l="1"/>
  <c r="V11" i="15"/>
  <c r="V14" i="15"/>
  <c r="V15" i="15"/>
  <c r="U11" i="15"/>
  <c r="U14" i="15"/>
  <c r="U15" i="15"/>
  <c r="U17" i="15"/>
  <c r="U18" i="15"/>
  <c r="U19" i="15"/>
  <c r="U20" i="15"/>
  <c r="U21" i="15"/>
  <c r="U22" i="15"/>
  <c r="U25" i="15"/>
  <c r="U26" i="15"/>
  <c r="AJ12" i="31" l="1"/>
  <c r="AJ13" i="31"/>
  <c r="AJ14" i="31"/>
  <c r="AJ15" i="31"/>
  <c r="AJ16" i="31"/>
  <c r="AJ17" i="31"/>
  <c r="AJ29" i="31"/>
  <c r="AJ32" i="31"/>
  <c r="P26" i="32" l="1"/>
  <c r="E34" i="32"/>
  <c r="E35" i="32"/>
  <c r="E37" i="32"/>
  <c r="E39" i="32"/>
  <c r="E40" i="32"/>
  <c r="E41" i="32"/>
  <c r="E43" i="32"/>
  <c r="E44" i="32"/>
  <c r="E46" i="32"/>
  <c r="E47" i="32"/>
  <c r="D34" i="32"/>
  <c r="D35" i="32"/>
  <c r="D37" i="32"/>
  <c r="D39" i="32"/>
  <c r="D40" i="32"/>
  <c r="D41" i="32"/>
  <c r="D43" i="32"/>
  <c r="D44" i="32"/>
  <c r="D46" i="32"/>
  <c r="D47" i="32"/>
  <c r="R12" i="32" l="1"/>
  <c r="R13" i="32"/>
  <c r="R15" i="32"/>
  <c r="R17" i="32"/>
  <c r="R19" i="32"/>
  <c r="R21" i="32"/>
  <c r="R22" i="32"/>
  <c r="R23" i="32"/>
  <c r="R24" i="32"/>
  <c r="R27" i="32"/>
  <c r="R29" i="32"/>
  <c r="R30" i="32"/>
  <c r="R31" i="32"/>
  <c r="R40" i="32"/>
  <c r="R41" i="32"/>
  <c r="Q48" i="32"/>
  <c r="S11" i="33"/>
  <c r="S12" i="33"/>
  <c r="S13" i="33"/>
  <c r="S14" i="33"/>
  <c r="S15" i="33"/>
  <c r="S16" i="33"/>
  <c r="S17" i="33"/>
  <c r="S18" i="33"/>
  <c r="S19" i="33"/>
  <c r="S20" i="33"/>
  <c r="S21" i="33"/>
  <c r="S34" i="33"/>
  <c r="R34" i="33"/>
  <c r="Q11" i="33"/>
  <c r="Q12" i="33"/>
  <c r="Q13" i="33"/>
  <c r="Q14" i="33"/>
  <c r="Q15" i="33"/>
  <c r="Q16" i="33"/>
  <c r="Q17" i="33"/>
  <c r="Q18" i="33"/>
  <c r="Q19" i="33"/>
  <c r="Q20" i="33"/>
  <c r="Q21" i="33"/>
  <c r="Q34" i="33"/>
  <c r="W25" i="28"/>
  <c r="W14" i="28"/>
  <c r="W15" i="28"/>
  <c r="W18" i="28"/>
  <c r="W19" i="28"/>
  <c r="W20" i="28"/>
  <c r="W23" i="28"/>
  <c r="W35" i="28"/>
  <c r="W54" i="28"/>
  <c r="W55" i="28"/>
  <c r="W57" i="28"/>
  <c r="W58" i="28"/>
  <c r="W59" i="28"/>
  <c r="W70" i="28"/>
  <c r="W71" i="28"/>
  <c r="W75" i="28"/>
  <c r="W76" i="28"/>
  <c r="W95" i="28"/>
  <c r="W101" i="28"/>
  <c r="V70" i="28"/>
  <c r="V71" i="28"/>
  <c r="U14" i="28"/>
  <c r="U15" i="28"/>
  <c r="U18" i="28"/>
  <c r="U19" i="28"/>
  <c r="U20" i="28"/>
  <c r="U23" i="28"/>
  <c r="U25" i="28"/>
  <c r="U35" i="28"/>
  <c r="U54" i="28"/>
  <c r="U55" i="28"/>
  <c r="U57" i="28"/>
  <c r="U58" i="28"/>
  <c r="U59" i="28"/>
  <c r="U70" i="28"/>
  <c r="U71" i="28"/>
  <c r="U75" i="28"/>
  <c r="U76" i="28"/>
  <c r="U95" i="28"/>
  <c r="U101" i="28"/>
  <c r="AI12" i="31"/>
  <c r="AI13" i="31"/>
  <c r="AI14" i="31"/>
  <c r="AI15" i="31"/>
  <c r="AI16" i="31"/>
  <c r="AI17" i="31"/>
  <c r="AH15" i="31"/>
  <c r="AG15" i="31"/>
  <c r="AG16" i="31"/>
  <c r="AH16" i="31" s="1"/>
  <c r="AF12" i="31"/>
  <c r="AG12" i="31" s="1"/>
  <c r="AH12" i="31" s="1"/>
  <c r="AF13" i="31"/>
  <c r="AG13" i="31" s="1"/>
  <c r="AH13" i="31" s="1"/>
  <c r="AF14" i="31"/>
  <c r="AG14" i="31" s="1"/>
  <c r="AH14" i="31" s="1"/>
  <c r="AF15" i="31"/>
  <c r="AF16" i="31"/>
  <c r="AF17" i="31"/>
  <c r="AG17" i="31" s="1"/>
  <c r="AH17" i="31" s="1"/>
  <c r="AF32" i="31"/>
  <c r="AG32" i="31" s="1"/>
  <c r="AH32" i="31" s="1"/>
  <c r="AJ34" i="27"/>
  <c r="AI16" i="27"/>
  <c r="AI17" i="27"/>
  <c r="AI18" i="27"/>
  <c r="AI19" i="27"/>
  <c r="AI20" i="27"/>
  <c r="AI31" i="27"/>
  <c r="AH16" i="27"/>
  <c r="AG16" i="27"/>
  <c r="AF16" i="27"/>
  <c r="AF17" i="27"/>
  <c r="AG17" i="27" s="1"/>
  <c r="AH17" i="27" s="1"/>
  <c r="AF18" i="27"/>
  <c r="AG18" i="27" s="1"/>
  <c r="AH18" i="27" s="1"/>
  <c r="AF19" i="27"/>
  <c r="AG19" i="27" s="1"/>
  <c r="AH19" i="27" s="1"/>
  <c r="AF20" i="27"/>
  <c r="AF31" i="27"/>
  <c r="AG31" i="27" s="1"/>
  <c r="AH31" i="27" s="1"/>
  <c r="P15" i="10"/>
  <c r="O15" i="10"/>
  <c r="T11" i="15"/>
  <c r="T14" i="15"/>
  <c r="T15" i="15"/>
  <c r="S11" i="15"/>
  <c r="P11" i="15"/>
  <c r="Q11" i="15" s="1"/>
  <c r="R11" i="15" s="1"/>
  <c r="P14" i="15"/>
  <c r="Q14" i="15" s="1"/>
  <c r="R14" i="15" s="1"/>
  <c r="P15" i="15"/>
  <c r="Q15" i="15" s="1"/>
  <c r="R15" i="15" s="1"/>
  <c r="P22" i="15"/>
  <c r="P24" i="15"/>
  <c r="E12" i="15" l="1"/>
  <c r="E10" i="15"/>
  <c r="S10" i="15" s="1"/>
  <c r="V101" i="28" l="1"/>
  <c r="G13" i="15"/>
  <c r="H13" i="15"/>
  <c r="G10" i="27" l="1"/>
  <c r="G9" i="27" s="1"/>
  <c r="H10" i="27"/>
  <c r="F21" i="27"/>
  <c r="G21" i="27"/>
  <c r="H21" i="27"/>
  <c r="F36" i="27"/>
  <c r="F35" i="27" s="1"/>
  <c r="G36" i="27"/>
  <c r="G35" i="27" s="1"/>
  <c r="H36" i="27"/>
  <c r="H9" i="27" l="1"/>
  <c r="G8" i="27"/>
  <c r="E35" i="28"/>
  <c r="P35" i="28" l="1"/>
  <c r="V35" i="28" s="1"/>
  <c r="E31" i="32"/>
  <c r="D31" i="32"/>
  <c r="F28" i="32"/>
  <c r="G28" i="32"/>
  <c r="H28" i="32"/>
  <c r="I28" i="32"/>
  <c r="F25" i="32"/>
  <c r="G25" i="32"/>
  <c r="H25" i="32"/>
  <c r="I25" i="32"/>
  <c r="H20" i="32"/>
  <c r="I20" i="32"/>
  <c r="F18" i="32"/>
  <c r="G18" i="32"/>
  <c r="H18" i="32"/>
  <c r="I18" i="32"/>
  <c r="H16" i="32"/>
  <c r="I16" i="32"/>
  <c r="C15" i="32"/>
  <c r="C17" i="32"/>
  <c r="E15" i="32"/>
  <c r="D15" i="32"/>
  <c r="E30" i="32"/>
  <c r="D30" i="32"/>
  <c r="E29" i="32"/>
  <c r="D29" i="32"/>
  <c r="D28" i="32" s="1"/>
  <c r="E26" i="32"/>
  <c r="E25" i="32" s="1"/>
  <c r="E27" i="32"/>
  <c r="D26" i="32"/>
  <c r="C26" i="32" s="1"/>
  <c r="D27" i="32"/>
  <c r="C27" i="32" s="1"/>
  <c r="E24" i="32"/>
  <c r="D24" i="32"/>
  <c r="E23" i="32"/>
  <c r="D23" i="32"/>
  <c r="E22" i="32"/>
  <c r="E21" i="32"/>
  <c r="D22" i="32"/>
  <c r="D21" i="32"/>
  <c r="E19" i="32"/>
  <c r="E18" i="32" s="1"/>
  <c r="D19" i="32"/>
  <c r="D18" i="32" s="1"/>
  <c r="E13" i="32"/>
  <c r="H11" i="32"/>
  <c r="I11" i="32"/>
  <c r="E12" i="32"/>
  <c r="D13" i="32"/>
  <c r="D12" i="32"/>
  <c r="E17" i="32"/>
  <c r="E16" i="32" s="1"/>
  <c r="D17" i="32"/>
  <c r="D16" i="32" s="1"/>
  <c r="G10" i="33"/>
  <c r="G9" i="33" s="1"/>
  <c r="G23" i="33"/>
  <c r="G22" i="33" s="1"/>
  <c r="E25" i="33"/>
  <c r="E26" i="33"/>
  <c r="E27" i="33"/>
  <c r="E28" i="33"/>
  <c r="E29" i="33"/>
  <c r="E30" i="33"/>
  <c r="E31" i="33"/>
  <c r="E32" i="33"/>
  <c r="E33" i="33"/>
  <c r="E24" i="33"/>
  <c r="E12" i="33"/>
  <c r="R12" i="33" s="1"/>
  <c r="E13" i="33"/>
  <c r="R13" i="33" s="1"/>
  <c r="E14" i="33"/>
  <c r="R14" i="33" s="1"/>
  <c r="E15" i="33"/>
  <c r="R15" i="33" s="1"/>
  <c r="E16" i="33"/>
  <c r="R16" i="33" s="1"/>
  <c r="E17" i="33"/>
  <c r="R17" i="33" s="1"/>
  <c r="E18" i="33"/>
  <c r="R18" i="33" s="1"/>
  <c r="E19" i="33"/>
  <c r="R19" i="33" s="1"/>
  <c r="E20" i="33"/>
  <c r="R20" i="33" s="1"/>
  <c r="E21" i="33"/>
  <c r="R21" i="33" s="1"/>
  <c r="E11" i="33"/>
  <c r="R11" i="33" s="1"/>
  <c r="L98" i="28"/>
  <c r="L97" i="28" s="1"/>
  <c r="L96" i="28" s="1"/>
  <c r="J86" i="28"/>
  <c r="J85" i="28" s="1"/>
  <c r="K86" i="28"/>
  <c r="K85" i="28" s="1"/>
  <c r="L86" i="28"/>
  <c r="L85" i="28" s="1"/>
  <c r="L74" i="28"/>
  <c r="L73" i="28" s="1"/>
  <c r="L53" i="28"/>
  <c r="L52" i="28" s="1"/>
  <c r="L51" i="28" s="1"/>
  <c r="L44" i="28"/>
  <c r="L43" i="28" s="1"/>
  <c r="L11" i="28"/>
  <c r="L10" i="28" s="1"/>
  <c r="E94" i="28"/>
  <c r="E93" i="28"/>
  <c r="E92" i="28"/>
  <c r="E89" i="28"/>
  <c r="V89" i="28" s="1"/>
  <c r="E95" i="28"/>
  <c r="V95" i="28" s="1"/>
  <c r="E91" i="28"/>
  <c r="E76" i="28"/>
  <c r="V76" i="28" s="1"/>
  <c r="E77" i="28"/>
  <c r="E78" i="28"/>
  <c r="E79" i="28"/>
  <c r="E80" i="28"/>
  <c r="E81" i="28"/>
  <c r="E82" i="28"/>
  <c r="E83" i="28"/>
  <c r="E84" i="28"/>
  <c r="E75" i="28"/>
  <c r="V75" i="28" s="1"/>
  <c r="E67" i="28"/>
  <c r="E48" i="28"/>
  <c r="E41" i="28"/>
  <c r="V41" i="28" s="1"/>
  <c r="E39" i="28"/>
  <c r="E50" i="28"/>
  <c r="V50" i="28" s="1"/>
  <c r="E45" i="28"/>
  <c r="E22" i="28"/>
  <c r="E27" i="28"/>
  <c r="V27" i="28" s="1"/>
  <c r="L26" i="32"/>
  <c r="K26" i="32"/>
  <c r="R26" i="32" s="1"/>
  <c r="M31" i="33" l="1"/>
  <c r="N31" i="33" s="1"/>
  <c r="M30" i="33"/>
  <c r="N30" i="33" s="1"/>
  <c r="M27" i="33"/>
  <c r="N27" i="33" s="1"/>
  <c r="M26" i="33"/>
  <c r="N26" i="33" s="1"/>
  <c r="M25" i="33"/>
  <c r="N25" i="33" s="1"/>
  <c r="R25" i="33"/>
  <c r="G8" i="33"/>
  <c r="C22" i="32"/>
  <c r="Q22" i="32" s="1"/>
  <c r="M28" i="33"/>
  <c r="N28" i="33" s="1"/>
  <c r="R28" i="33"/>
  <c r="M24" i="33"/>
  <c r="N24" i="33" s="1"/>
  <c r="C21" i="32"/>
  <c r="C20" i="32" s="1"/>
  <c r="M29" i="33"/>
  <c r="N29" i="33" s="1"/>
  <c r="R29" i="33"/>
  <c r="M33" i="33"/>
  <c r="N33" i="33" s="1"/>
  <c r="R33" i="33"/>
  <c r="M32" i="33"/>
  <c r="N32" i="33" s="1"/>
  <c r="R32" i="33"/>
  <c r="C12" i="32"/>
  <c r="C23" i="32"/>
  <c r="H14" i="32"/>
  <c r="H10" i="32" s="1"/>
  <c r="C25" i="32"/>
  <c r="C30" i="32"/>
  <c r="C13" i="32"/>
  <c r="E11" i="32"/>
  <c r="C24" i="32"/>
  <c r="D25" i="32"/>
  <c r="D11" i="32"/>
  <c r="C29" i="32"/>
  <c r="E28" i="32"/>
  <c r="D20" i="32"/>
  <c r="D14" i="32" s="1"/>
  <c r="L72" i="28"/>
  <c r="I14" i="32"/>
  <c r="E20" i="32"/>
  <c r="L9" i="28"/>
  <c r="F23" i="33"/>
  <c r="F22" i="33" s="1"/>
  <c r="F10" i="33"/>
  <c r="F9" i="33" s="1"/>
  <c r="F98" i="28"/>
  <c r="F97" i="28" s="1"/>
  <c r="F96" i="28" s="1"/>
  <c r="G98" i="28"/>
  <c r="G97" i="28" s="1"/>
  <c r="G96" i="28" s="1"/>
  <c r="H98" i="28"/>
  <c r="H97" i="28" s="1"/>
  <c r="H96" i="28" s="1"/>
  <c r="I98" i="28"/>
  <c r="I97" i="28" s="1"/>
  <c r="I96" i="28" s="1"/>
  <c r="J98" i="28"/>
  <c r="J97" i="28" s="1"/>
  <c r="J96" i="28" s="1"/>
  <c r="K98" i="28"/>
  <c r="K97" i="28" s="1"/>
  <c r="K96" i="28" s="1"/>
  <c r="F86" i="28"/>
  <c r="F85" i="28" s="1"/>
  <c r="G86" i="28"/>
  <c r="G85" i="28" s="1"/>
  <c r="H86" i="28"/>
  <c r="H85" i="28" s="1"/>
  <c r="I86" i="28"/>
  <c r="I85" i="28" s="1"/>
  <c r="F74" i="28"/>
  <c r="F73" i="28" s="1"/>
  <c r="G74" i="28"/>
  <c r="G73" i="28" s="1"/>
  <c r="H74" i="28"/>
  <c r="H73" i="28" s="1"/>
  <c r="I74" i="28"/>
  <c r="I73" i="28" s="1"/>
  <c r="J74" i="28"/>
  <c r="J73" i="28" s="1"/>
  <c r="K74" i="28"/>
  <c r="K73" i="28" s="1"/>
  <c r="F53" i="28"/>
  <c r="F52" i="28" s="1"/>
  <c r="G53" i="28"/>
  <c r="G52" i="28" s="1"/>
  <c r="G51" i="28" s="1"/>
  <c r="H53" i="28"/>
  <c r="H52" i="28" s="1"/>
  <c r="H51" i="28" s="1"/>
  <c r="I53" i="28"/>
  <c r="I52" i="28" s="1"/>
  <c r="I51" i="28" s="1"/>
  <c r="J53" i="28"/>
  <c r="J52" i="28" s="1"/>
  <c r="J51" i="28" s="1"/>
  <c r="K53" i="28"/>
  <c r="K52" i="28" s="1"/>
  <c r="K51" i="28" s="1"/>
  <c r="F44" i="28"/>
  <c r="F43" i="28" s="1"/>
  <c r="G44" i="28"/>
  <c r="G43" i="28" s="1"/>
  <c r="H44" i="28"/>
  <c r="H43" i="28" s="1"/>
  <c r="I44" i="28"/>
  <c r="I43" i="28" s="1"/>
  <c r="J44" i="28"/>
  <c r="J43" i="28" s="1"/>
  <c r="K44" i="28"/>
  <c r="K43" i="28" s="1"/>
  <c r="F11" i="28"/>
  <c r="F10" i="28" s="1"/>
  <c r="H11" i="28"/>
  <c r="H10" i="28" s="1"/>
  <c r="I11" i="28"/>
  <c r="I10" i="28" s="1"/>
  <c r="J11" i="28"/>
  <c r="J10" i="28" s="1"/>
  <c r="K11" i="28"/>
  <c r="K10" i="28" s="1"/>
  <c r="E100" i="28"/>
  <c r="E99" i="28"/>
  <c r="E87" i="28"/>
  <c r="E88" i="28"/>
  <c r="V88" i="28" s="1"/>
  <c r="E90" i="28"/>
  <c r="E65" i="28"/>
  <c r="E66" i="28"/>
  <c r="R24" i="33" l="1"/>
  <c r="S24" i="33"/>
  <c r="Q24" i="33"/>
  <c r="S32" i="33"/>
  <c r="Q32" i="33"/>
  <c r="R30" i="33"/>
  <c r="Q27" i="33"/>
  <c r="S27" i="33"/>
  <c r="Q28" i="33"/>
  <c r="S28" i="33"/>
  <c r="Q30" i="33"/>
  <c r="S30" i="33"/>
  <c r="R26" i="33"/>
  <c r="Q26" i="33"/>
  <c r="S26" i="33"/>
  <c r="Q29" i="33"/>
  <c r="S29" i="33"/>
  <c r="Q25" i="33"/>
  <c r="S25" i="33"/>
  <c r="S33" i="33"/>
  <c r="Q33" i="33"/>
  <c r="R31" i="33"/>
  <c r="C11" i="32"/>
  <c r="S31" i="33"/>
  <c r="Q31" i="33"/>
  <c r="R27" i="33"/>
  <c r="E14" i="32"/>
  <c r="L8" i="28"/>
  <c r="J9" i="28"/>
  <c r="J72" i="28"/>
  <c r="F8" i="33"/>
  <c r="H72" i="28"/>
  <c r="G72" i="28"/>
  <c r="F72" i="28"/>
  <c r="K72" i="28"/>
  <c r="I72" i="28"/>
  <c r="C23" i="12" l="1"/>
  <c r="J8" i="28"/>
  <c r="E60" i="28"/>
  <c r="E61" i="28"/>
  <c r="E62" i="28"/>
  <c r="E63" i="28"/>
  <c r="E64" i="28"/>
  <c r="E55" i="28"/>
  <c r="E56" i="28"/>
  <c r="E57" i="28"/>
  <c r="E58" i="28"/>
  <c r="E59" i="28"/>
  <c r="E54" i="28"/>
  <c r="V54" i="28" s="1"/>
  <c r="F51" i="28"/>
  <c r="K9" i="28"/>
  <c r="K8" i="28" s="1"/>
  <c r="I9" i="28"/>
  <c r="I8" i="28" s="1"/>
  <c r="G36" i="28"/>
  <c r="G11" i="28" s="1"/>
  <c r="G10" i="28" s="1"/>
  <c r="E49" i="28" l="1"/>
  <c r="E47" i="28"/>
  <c r="E46" i="28"/>
  <c r="E13" i="28"/>
  <c r="E14" i="28"/>
  <c r="E15" i="28"/>
  <c r="E16" i="28"/>
  <c r="E17" i="28"/>
  <c r="E18" i="28"/>
  <c r="E19" i="28"/>
  <c r="E20" i="28"/>
  <c r="E21" i="28"/>
  <c r="E23" i="28"/>
  <c r="E24" i="28"/>
  <c r="E25" i="28"/>
  <c r="E26" i="28"/>
  <c r="E28" i="28"/>
  <c r="E29" i="28"/>
  <c r="E30" i="28"/>
  <c r="E31" i="28"/>
  <c r="E32" i="28"/>
  <c r="E33" i="28"/>
  <c r="E34" i="28"/>
  <c r="E36" i="28"/>
  <c r="E37" i="28"/>
  <c r="E38" i="28"/>
  <c r="E40" i="28"/>
  <c r="E42" i="28"/>
  <c r="V42" i="28" s="1"/>
  <c r="E12" i="28"/>
  <c r="F9" i="28"/>
  <c r="G9" i="28"/>
  <c r="G8" i="28" s="1"/>
  <c r="H9" i="28"/>
  <c r="H8" i="28" s="1"/>
  <c r="F28" i="31"/>
  <c r="E32" i="31"/>
  <c r="AI32" i="31" s="1"/>
  <c r="F18" i="31"/>
  <c r="F9" i="31" s="1"/>
  <c r="G18" i="31"/>
  <c r="E30" i="31"/>
  <c r="E31" i="31"/>
  <c r="E29" i="31"/>
  <c r="E20" i="31"/>
  <c r="E21" i="31"/>
  <c r="E22" i="31"/>
  <c r="E23" i="31"/>
  <c r="E24" i="31"/>
  <c r="E25" i="31"/>
  <c r="E26" i="31"/>
  <c r="E27" i="31"/>
  <c r="E19" i="31"/>
  <c r="E32" i="27"/>
  <c r="E29" i="27"/>
  <c r="E28" i="27"/>
  <c r="F26" i="27"/>
  <c r="F25" i="27" s="1"/>
  <c r="H26" i="27"/>
  <c r="H25" i="27" s="1"/>
  <c r="F10" i="27"/>
  <c r="F9" i="27" s="1"/>
  <c r="F8" i="27" l="1"/>
  <c r="E18" i="15"/>
  <c r="S18" i="15" s="1"/>
  <c r="E19" i="15"/>
  <c r="S19" i="15" s="1"/>
  <c r="E20" i="15"/>
  <c r="S20" i="15" s="1"/>
  <c r="E21" i="15"/>
  <c r="S21" i="15" s="1"/>
  <c r="E22" i="15"/>
  <c r="S22" i="15" s="1"/>
  <c r="E23" i="15"/>
  <c r="S23" i="15" s="1"/>
  <c r="E24" i="15"/>
  <c r="S24" i="15" s="1"/>
  <c r="E25" i="15"/>
  <c r="S25" i="15" s="1"/>
  <c r="E26" i="15"/>
  <c r="S26" i="15" s="1"/>
  <c r="E17" i="15"/>
  <c r="S17" i="15" s="1"/>
  <c r="G9" i="15"/>
  <c r="G8" i="15" s="1"/>
  <c r="H9" i="15"/>
  <c r="F8" i="28" l="1"/>
  <c r="R14" i="12"/>
  <c r="J29" i="27" l="1"/>
  <c r="AJ29" i="27" s="1"/>
  <c r="J28" i="27"/>
  <c r="AJ28" i="27" s="1"/>
  <c r="M29" i="27"/>
  <c r="M28" i="27"/>
  <c r="J17" i="27"/>
  <c r="AJ17" i="27" s="1"/>
  <c r="J16" i="27"/>
  <c r="AJ16" i="27" s="1"/>
  <c r="J18" i="27"/>
  <c r="AJ18" i="27" s="1"/>
  <c r="J19" i="27"/>
  <c r="AJ19" i="27" s="1"/>
  <c r="AF28" i="27" l="1"/>
  <c r="AG28" i="27" s="1"/>
  <c r="AH28" i="27" s="1"/>
  <c r="AI28" i="27"/>
  <c r="AF29" i="27"/>
  <c r="AG29" i="27" s="1"/>
  <c r="AH29" i="27" s="1"/>
  <c r="AI29" i="27"/>
  <c r="I31" i="31" l="1"/>
  <c r="G13" i="10"/>
  <c r="H13" i="10"/>
  <c r="G12" i="10"/>
  <c r="H12" i="10"/>
  <c r="I10" i="15"/>
  <c r="J10" i="15"/>
  <c r="U10" i="15" s="1"/>
  <c r="N45" i="32" l="1"/>
  <c r="N42" i="32"/>
  <c r="N36" i="32"/>
  <c r="N33" i="32"/>
  <c r="N22" i="32" l="1"/>
  <c r="N11" i="32" l="1"/>
  <c r="F9" i="15" l="1"/>
  <c r="N9" i="15"/>
  <c r="D9" i="15"/>
  <c r="J12" i="15"/>
  <c r="U12" i="15" s="1"/>
  <c r="J9" i="15" l="1"/>
  <c r="K12" i="15"/>
  <c r="N18" i="32"/>
  <c r="N25" i="32"/>
  <c r="N28" i="32"/>
  <c r="N14" i="32" l="1"/>
  <c r="L12" i="15"/>
  <c r="V12" i="15" s="1"/>
  <c r="N10" i="27"/>
  <c r="N9" i="27" s="1"/>
  <c r="M12" i="15" l="1"/>
  <c r="T12" i="15"/>
  <c r="M9" i="15"/>
  <c r="N23" i="33"/>
  <c r="N22" i="33" s="1"/>
  <c r="M23" i="33"/>
  <c r="M22" i="33" s="1"/>
  <c r="L23" i="33"/>
  <c r="L22" i="33" s="1"/>
  <c r="K23" i="33"/>
  <c r="K22" i="33" s="1"/>
  <c r="J23" i="33"/>
  <c r="J22" i="33" s="1"/>
  <c r="I23" i="33"/>
  <c r="S23" i="33" s="1"/>
  <c r="H23" i="33"/>
  <c r="H22" i="33" s="1"/>
  <c r="E23" i="33"/>
  <c r="R23" i="33" s="1"/>
  <c r="D23" i="33"/>
  <c r="O10" i="33"/>
  <c r="O9" i="33" s="1"/>
  <c r="N10" i="33"/>
  <c r="N9" i="33" s="1"/>
  <c r="M10" i="33"/>
  <c r="M9" i="33" s="1"/>
  <c r="L10" i="33"/>
  <c r="K10" i="33"/>
  <c r="K9" i="33" s="1"/>
  <c r="J10" i="33"/>
  <c r="J9" i="33" s="1"/>
  <c r="I10" i="33"/>
  <c r="H10" i="33"/>
  <c r="H9" i="33" s="1"/>
  <c r="E10" i="33"/>
  <c r="D10" i="33"/>
  <c r="L9" i="33"/>
  <c r="L47" i="32"/>
  <c r="K47" i="32"/>
  <c r="C47" i="32"/>
  <c r="L46" i="32"/>
  <c r="K46" i="32"/>
  <c r="R46" i="32" s="1"/>
  <c r="C46" i="32"/>
  <c r="G45" i="32"/>
  <c r="F45" i="32"/>
  <c r="L44" i="32"/>
  <c r="K44" i="32"/>
  <c r="R44" i="32" s="1"/>
  <c r="C44" i="32"/>
  <c r="L43" i="32"/>
  <c r="K43" i="32"/>
  <c r="C43" i="32"/>
  <c r="G42" i="32"/>
  <c r="F42" i="32"/>
  <c r="J41" i="32"/>
  <c r="C41" i="32"/>
  <c r="Q41" i="32" s="1"/>
  <c r="J40" i="32"/>
  <c r="C40" i="32"/>
  <c r="Q40" i="32" s="1"/>
  <c r="L39" i="32"/>
  <c r="L38" i="32" s="1"/>
  <c r="K39" i="32"/>
  <c r="C39" i="32"/>
  <c r="N38" i="32"/>
  <c r="N32" i="32" s="1"/>
  <c r="N10" i="32" s="1"/>
  <c r="G38" i="32"/>
  <c r="E38" i="32" s="1"/>
  <c r="F38" i="32"/>
  <c r="D38" i="32" s="1"/>
  <c r="L37" i="32"/>
  <c r="K37" i="32"/>
  <c r="C37" i="32"/>
  <c r="G36" i="32"/>
  <c r="E36" i="32" s="1"/>
  <c r="F36" i="32"/>
  <c r="D36" i="32" s="1"/>
  <c r="L35" i="32"/>
  <c r="K35" i="32"/>
  <c r="C35" i="32"/>
  <c r="L34" i="32"/>
  <c r="L33" i="32" s="1"/>
  <c r="K34" i="32"/>
  <c r="C34" i="32"/>
  <c r="G33" i="32"/>
  <c r="F33" i="32"/>
  <c r="J31" i="32"/>
  <c r="C31" i="32"/>
  <c r="J30" i="32"/>
  <c r="Q30" i="32" s="1"/>
  <c r="J29" i="32"/>
  <c r="Q29" i="32" s="1"/>
  <c r="L28" i="32"/>
  <c r="K28" i="32"/>
  <c r="R28" i="32" s="1"/>
  <c r="J27" i="32"/>
  <c r="Q27" i="32" s="1"/>
  <c r="J26" i="32"/>
  <c r="Q26" i="32" s="1"/>
  <c r="L25" i="32"/>
  <c r="K25" i="32"/>
  <c r="J24" i="32"/>
  <c r="Q24" i="32" s="1"/>
  <c r="J23" i="32"/>
  <c r="Q23" i="32" s="1"/>
  <c r="M22" i="32"/>
  <c r="J21" i="32"/>
  <c r="Q21" i="32" s="1"/>
  <c r="L20" i="32"/>
  <c r="K20" i="32"/>
  <c r="R20" i="32" s="1"/>
  <c r="G20" i="32"/>
  <c r="F20" i="32"/>
  <c r="J19" i="32"/>
  <c r="C19" i="32"/>
  <c r="L18" i="32"/>
  <c r="K18" i="32"/>
  <c r="J17" i="32"/>
  <c r="Q17" i="32" s="1"/>
  <c r="C16" i="32"/>
  <c r="L16" i="32"/>
  <c r="K16" i="32"/>
  <c r="R16" i="32" s="1"/>
  <c r="G16" i="32"/>
  <c r="F16" i="32"/>
  <c r="J15" i="32"/>
  <c r="Q15" i="32" s="1"/>
  <c r="J13" i="32"/>
  <c r="Q13" i="32" s="1"/>
  <c r="J12" i="32"/>
  <c r="Q12" i="32" s="1"/>
  <c r="L11" i="32"/>
  <c r="K11" i="32"/>
  <c r="R11" i="32" s="1"/>
  <c r="G11" i="32"/>
  <c r="F11" i="32"/>
  <c r="C18" i="32" l="1"/>
  <c r="Q19" i="32"/>
  <c r="J35" i="32"/>
  <c r="R35" i="32"/>
  <c r="K45" i="32"/>
  <c r="D45" i="32"/>
  <c r="Q37" i="32"/>
  <c r="D9" i="33"/>
  <c r="Q9" i="33" s="1"/>
  <c r="Q10" i="33"/>
  <c r="E9" i="33"/>
  <c r="R9" i="33" s="1"/>
  <c r="R10" i="33"/>
  <c r="L45" i="32"/>
  <c r="J45" i="32" s="1"/>
  <c r="E45" i="32"/>
  <c r="C28" i="32"/>
  <c r="Q31" i="32"/>
  <c r="R37" i="32"/>
  <c r="K42" i="32"/>
  <c r="D42" i="32"/>
  <c r="J46" i="32"/>
  <c r="M46" i="32" s="1"/>
  <c r="Q39" i="32"/>
  <c r="Q35" i="32"/>
  <c r="L42" i="32"/>
  <c r="E42" i="32"/>
  <c r="K33" i="32"/>
  <c r="R33" i="32" s="1"/>
  <c r="R34" i="32"/>
  <c r="I9" i="33"/>
  <c r="S9" i="33" s="1"/>
  <c r="S10" i="33"/>
  <c r="Q46" i="32"/>
  <c r="E33" i="32"/>
  <c r="G32" i="32"/>
  <c r="E32" i="32" s="1"/>
  <c r="J47" i="32"/>
  <c r="Q47" i="32" s="1"/>
  <c r="R47" i="32"/>
  <c r="Q44" i="32"/>
  <c r="J39" i="32"/>
  <c r="R39" i="32"/>
  <c r="D33" i="32"/>
  <c r="F32" i="32"/>
  <c r="J18" i="32"/>
  <c r="R18" i="32"/>
  <c r="R25" i="32"/>
  <c r="R43" i="32"/>
  <c r="D22" i="33"/>
  <c r="Q22" i="33" s="1"/>
  <c r="Q23" i="33"/>
  <c r="P12" i="15"/>
  <c r="Q12" i="15" s="1"/>
  <c r="R12" i="15" s="1"/>
  <c r="S12" i="15"/>
  <c r="J37" i="32"/>
  <c r="M37" i="32" s="1"/>
  <c r="C38" i="32"/>
  <c r="F14" i="32"/>
  <c r="C36" i="32"/>
  <c r="M39" i="32"/>
  <c r="G14" i="32"/>
  <c r="M41" i="32"/>
  <c r="C14" i="32"/>
  <c r="C33" i="32"/>
  <c r="Q33" i="32" s="1"/>
  <c r="M35" i="32"/>
  <c r="M30" i="32"/>
  <c r="M31" i="32"/>
  <c r="J44" i="32"/>
  <c r="M44" i="32" s="1"/>
  <c r="J11" i="32"/>
  <c r="M18" i="32"/>
  <c r="M29" i="32"/>
  <c r="M12" i="32"/>
  <c r="M13" i="32"/>
  <c r="N8" i="33"/>
  <c r="I22" i="33"/>
  <c r="S22" i="33" s="1"/>
  <c r="E22" i="33"/>
  <c r="R22" i="33" s="1"/>
  <c r="H8" i="33"/>
  <c r="D31" i="12" s="1"/>
  <c r="L8" i="33"/>
  <c r="J16" i="32"/>
  <c r="M16" i="32" s="1"/>
  <c r="M17" i="32"/>
  <c r="M21" i="32"/>
  <c r="M23" i="32"/>
  <c r="M8" i="33"/>
  <c r="E31" i="12" s="1"/>
  <c r="O23" i="33"/>
  <c r="O22" i="33" s="1"/>
  <c r="O8" i="33" s="1"/>
  <c r="K38" i="32"/>
  <c r="M15" i="32"/>
  <c r="M19" i="32"/>
  <c r="M24" i="32"/>
  <c r="J25" i="32"/>
  <c r="J34" i="32"/>
  <c r="M34" i="32" s="1"/>
  <c r="M40" i="32"/>
  <c r="C42" i="32"/>
  <c r="J43" i="32"/>
  <c r="M43" i="32" s="1"/>
  <c r="J20" i="32"/>
  <c r="Q20" i="32" s="1"/>
  <c r="L14" i="32"/>
  <c r="J28" i="32"/>
  <c r="M28" i="32" s="1"/>
  <c r="K14" i="32"/>
  <c r="J8" i="33"/>
  <c r="K8" i="33"/>
  <c r="J33" i="32"/>
  <c r="K36" i="32"/>
  <c r="M11" i="32"/>
  <c r="L36" i="32"/>
  <c r="C45" i="32"/>
  <c r="E10" i="27"/>
  <c r="Q36" i="28"/>
  <c r="Q37" i="28"/>
  <c r="P37" i="28"/>
  <c r="V37" i="28" s="1"/>
  <c r="P36" i="28"/>
  <c r="V36" i="28" s="1"/>
  <c r="Q29" i="28"/>
  <c r="Q30" i="28"/>
  <c r="Q31" i="28"/>
  <c r="Q32" i="28"/>
  <c r="Q33" i="28"/>
  <c r="Q34" i="28"/>
  <c r="Q28" i="28"/>
  <c r="P34" i="28"/>
  <c r="V34" i="28" s="1"/>
  <c r="P33" i="28"/>
  <c r="V33" i="28" s="1"/>
  <c r="P32" i="28"/>
  <c r="V32" i="28" s="1"/>
  <c r="P31" i="28"/>
  <c r="V31" i="28" s="1"/>
  <c r="P30" i="28"/>
  <c r="V30" i="28" s="1"/>
  <c r="P29" i="28"/>
  <c r="V29" i="28" s="1"/>
  <c r="P28" i="28"/>
  <c r="V28" i="28" s="1"/>
  <c r="C24" i="12" l="1"/>
  <c r="Q34" i="32"/>
  <c r="Q43" i="32"/>
  <c r="U28" i="28"/>
  <c r="W28" i="28"/>
  <c r="W33" i="28"/>
  <c r="U33" i="28"/>
  <c r="W32" i="28"/>
  <c r="U32" i="28"/>
  <c r="Q38" i="32"/>
  <c r="R42" i="32"/>
  <c r="R45" i="32"/>
  <c r="W37" i="28"/>
  <c r="U37" i="28"/>
  <c r="Q45" i="32"/>
  <c r="W34" i="28"/>
  <c r="U34" i="28"/>
  <c r="R36" i="32"/>
  <c r="C32" i="32"/>
  <c r="C25" i="12" s="1"/>
  <c r="D32" i="32"/>
  <c r="W31" i="28"/>
  <c r="U31" i="28"/>
  <c r="J42" i="32"/>
  <c r="U36" i="28"/>
  <c r="W36" i="28"/>
  <c r="M47" i="32"/>
  <c r="E23" i="12"/>
  <c r="Q11" i="32"/>
  <c r="Q16" i="32"/>
  <c r="D8" i="33"/>
  <c r="Q8" i="33" s="1"/>
  <c r="Q28" i="32"/>
  <c r="M42" i="32"/>
  <c r="Q42" i="32"/>
  <c r="L32" i="32"/>
  <c r="L10" i="32" s="1"/>
  <c r="M25" i="32"/>
  <c r="Q25" i="32"/>
  <c r="W30" i="28"/>
  <c r="U30" i="28"/>
  <c r="W29" i="28"/>
  <c r="U29" i="28"/>
  <c r="R14" i="32"/>
  <c r="J38" i="32"/>
  <c r="M38" i="32" s="1"/>
  <c r="R38" i="32"/>
  <c r="Q18" i="32"/>
  <c r="M33" i="32"/>
  <c r="I8" i="33"/>
  <c r="S8" i="33" s="1"/>
  <c r="E8" i="33"/>
  <c r="M45" i="32"/>
  <c r="H31" i="12"/>
  <c r="L31" i="12" s="1"/>
  <c r="J14" i="32"/>
  <c r="E24" i="12" s="1"/>
  <c r="J36" i="32"/>
  <c r="M36" i="32" s="1"/>
  <c r="K32" i="32"/>
  <c r="E86" i="28"/>
  <c r="O86" i="28"/>
  <c r="D86" i="28"/>
  <c r="O74" i="28"/>
  <c r="D74" i="28"/>
  <c r="G23" i="12" l="1"/>
  <c r="D23" i="12"/>
  <c r="Q36" i="32"/>
  <c r="J32" i="32"/>
  <c r="E25" i="12" s="1"/>
  <c r="R32" i="32"/>
  <c r="D24" i="12"/>
  <c r="G24" i="12"/>
  <c r="Q14" i="32"/>
  <c r="C31" i="12"/>
  <c r="F31" i="12" s="1"/>
  <c r="R8" i="33"/>
  <c r="M14" i="32"/>
  <c r="K10" i="32"/>
  <c r="K30" i="27"/>
  <c r="N36" i="27"/>
  <c r="H20" i="31"/>
  <c r="I20" i="31" s="1"/>
  <c r="H23" i="31"/>
  <c r="I23" i="31" s="1"/>
  <c r="H19" i="31"/>
  <c r="I19" i="31" s="1"/>
  <c r="H25" i="31"/>
  <c r="I24" i="31"/>
  <c r="H24" i="12" l="1"/>
  <c r="I24" i="12" s="1"/>
  <c r="F24" i="12"/>
  <c r="I31" i="12"/>
  <c r="G31" i="12"/>
  <c r="K31" i="12"/>
  <c r="G25" i="12"/>
  <c r="D25" i="12"/>
  <c r="H23" i="12"/>
  <c r="F23" i="12"/>
  <c r="Q77" i="28"/>
  <c r="P77" i="28"/>
  <c r="V77" i="28" s="1"/>
  <c r="R95" i="28"/>
  <c r="R93" i="28"/>
  <c r="R92" i="28"/>
  <c r="P80" i="28"/>
  <c r="V80" i="28" s="1"/>
  <c r="N80" i="28"/>
  <c r="H25" i="12" l="1"/>
  <c r="I25" i="12" s="1"/>
  <c r="F25" i="12"/>
  <c r="Q80" i="28"/>
  <c r="U80" i="28" s="1"/>
  <c r="W80" i="28"/>
  <c r="W77" i="28"/>
  <c r="U77" i="28"/>
  <c r="I23" i="12"/>
  <c r="L23" i="12"/>
  <c r="K23" i="12"/>
  <c r="F9" i="10"/>
  <c r="I9" i="10"/>
  <c r="K9" i="10"/>
  <c r="D9" i="10"/>
  <c r="L11" i="10"/>
  <c r="L9" i="10" s="1"/>
  <c r="J24" i="27"/>
  <c r="J23" i="27"/>
  <c r="J22" i="27"/>
  <c r="K24" i="12" l="1"/>
  <c r="L24" i="12"/>
  <c r="G10" i="10"/>
  <c r="H10" i="10" s="1"/>
  <c r="G11" i="10"/>
  <c r="J16" i="15"/>
  <c r="U16" i="15" s="1"/>
  <c r="I9" i="15"/>
  <c r="U9" i="15" s="1"/>
  <c r="G9" i="10" l="1"/>
  <c r="L39" i="27"/>
  <c r="M39" i="27"/>
  <c r="L38" i="27"/>
  <c r="J38" i="27"/>
  <c r="AJ38" i="27" s="1"/>
  <c r="R90" i="28"/>
  <c r="P90" i="28"/>
  <c r="V90" i="28" s="1"/>
  <c r="M90" i="28"/>
  <c r="Q89" i="28"/>
  <c r="Q88" i="28"/>
  <c r="M77" i="28"/>
  <c r="W89" i="28" l="1"/>
  <c r="U89" i="28"/>
  <c r="AF39" i="27"/>
  <c r="AI39" i="27"/>
  <c r="W88" i="28"/>
  <c r="U88" i="28"/>
  <c r="M38" i="27"/>
  <c r="AG39" i="27"/>
  <c r="AH39" i="27" s="1"/>
  <c r="Q90" i="28"/>
  <c r="R75" i="28"/>
  <c r="W90" i="28" l="1"/>
  <c r="U90" i="28"/>
  <c r="AI38" i="27"/>
  <c r="AF38" i="27"/>
  <c r="AG38" i="27" s="1"/>
  <c r="AH38" i="27" s="1"/>
  <c r="M75" i="28"/>
  <c r="M74" i="28" s="1"/>
  <c r="R54" i="28"/>
  <c r="M54" i="28"/>
  <c r="M45" i="28"/>
  <c r="J23" i="15" l="1"/>
  <c r="L24" i="15"/>
  <c r="Q24" i="15" l="1"/>
  <c r="R24" i="15" s="1"/>
  <c r="V24" i="15"/>
  <c r="T23" i="15"/>
  <c r="U23" i="15"/>
  <c r="J24" i="15"/>
  <c r="I14" i="27"/>
  <c r="J14" i="27" s="1"/>
  <c r="I13" i="27"/>
  <c r="J13" i="27" s="1"/>
  <c r="H18" i="31"/>
  <c r="D18" i="31"/>
  <c r="M28" i="31"/>
  <c r="J31" i="31"/>
  <c r="K31" i="31" s="1"/>
  <c r="J30" i="31"/>
  <c r="K30" i="31" s="1"/>
  <c r="J29" i="31"/>
  <c r="U24" i="15" l="1"/>
  <c r="T24" i="15"/>
  <c r="AJ31" i="31"/>
  <c r="AJ30" i="31"/>
  <c r="K13" i="27"/>
  <c r="L13" i="27" s="1"/>
  <c r="AJ13" i="27"/>
  <c r="K14" i="27"/>
  <c r="N66" i="28"/>
  <c r="N65" i="28"/>
  <c r="Q84" i="28"/>
  <c r="P84" i="28"/>
  <c r="V84" i="28" s="1"/>
  <c r="N92" i="28"/>
  <c r="N94" i="28"/>
  <c r="N93" i="28"/>
  <c r="P91" i="28"/>
  <c r="V91" i="28" s="1"/>
  <c r="M91" i="28"/>
  <c r="M86" i="28" s="1"/>
  <c r="P83" i="28"/>
  <c r="V83" i="28" s="1"/>
  <c r="P82" i="28"/>
  <c r="V82" i="28" s="1"/>
  <c r="Q82" i="28"/>
  <c r="Q81" i="28"/>
  <c r="P81" i="28"/>
  <c r="V81" i="28" s="1"/>
  <c r="Q100" i="28"/>
  <c r="U100" i="28" s="1"/>
  <c r="Q99" i="28"/>
  <c r="U99" i="28" s="1"/>
  <c r="P100" i="28"/>
  <c r="V100" i="28" s="1"/>
  <c r="P99" i="28"/>
  <c r="V99" i="28" s="1"/>
  <c r="N100" i="28"/>
  <c r="N99" i="28"/>
  <c r="P87" i="28"/>
  <c r="V87" i="28" s="1"/>
  <c r="P78" i="28"/>
  <c r="V78" i="28" s="1"/>
  <c r="R76" i="28"/>
  <c r="P67" i="28"/>
  <c r="V67" i="28" s="1"/>
  <c r="Q67" i="28"/>
  <c r="P66" i="28"/>
  <c r="V66" i="28" s="1"/>
  <c r="Q66" i="28"/>
  <c r="U66" i="28" s="1"/>
  <c r="P65" i="28"/>
  <c r="V65" i="28" s="1"/>
  <c r="P64" i="28"/>
  <c r="V64" i="28" s="1"/>
  <c r="Q64" i="28"/>
  <c r="Q63" i="28"/>
  <c r="P63" i="28"/>
  <c r="V63" i="28" s="1"/>
  <c r="Q62" i="28"/>
  <c r="P62" i="28"/>
  <c r="V62" i="28" s="1"/>
  <c r="Q61" i="28"/>
  <c r="P61" i="28"/>
  <c r="V61" i="28" s="1"/>
  <c r="Q60" i="28"/>
  <c r="P60" i="28"/>
  <c r="V60" i="28" s="1"/>
  <c r="Q41" i="28"/>
  <c r="P40" i="28"/>
  <c r="V40" i="28" s="1"/>
  <c r="Q40" i="28"/>
  <c r="P39" i="28"/>
  <c r="V39" i="28" s="1"/>
  <c r="Q39" i="28"/>
  <c r="Q38" i="28"/>
  <c r="P38" i="28"/>
  <c r="V38" i="28" s="1"/>
  <c r="W41" i="28" l="1"/>
  <c r="U41" i="28"/>
  <c r="W60" i="28"/>
  <c r="U60" i="28"/>
  <c r="W67" i="28"/>
  <c r="U67" i="28"/>
  <c r="U61" i="28"/>
  <c r="W61" i="28"/>
  <c r="W66" i="28"/>
  <c r="W81" i="28"/>
  <c r="U81" i="28"/>
  <c r="W82" i="28"/>
  <c r="U82" i="28"/>
  <c r="W38" i="28"/>
  <c r="U38" i="28"/>
  <c r="W63" i="28"/>
  <c r="U63" i="28"/>
  <c r="W99" i="28"/>
  <c r="W64" i="28"/>
  <c r="U64" i="28"/>
  <c r="W62" i="28"/>
  <c r="U62" i="28"/>
  <c r="W39" i="28"/>
  <c r="U39" i="28"/>
  <c r="R94" i="28"/>
  <c r="W84" i="28"/>
  <c r="U84" i="28"/>
  <c r="W100" i="28"/>
  <c r="W40" i="28"/>
  <c r="U40" i="28"/>
  <c r="Q65" i="28"/>
  <c r="U65" i="28" s="1"/>
  <c r="Q78" i="28"/>
  <c r="Q83" i="28"/>
  <c r="Q91" i="28"/>
  <c r="P92" i="28"/>
  <c r="V92" i="28" s="1"/>
  <c r="N86" i="28"/>
  <c r="Q87" i="28"/>
  <c r="P79" i="28"/>
  <c r="V79" i="28" s="1"/>
  <c r="E74" i="28"/>
  <c r="P93" i="28"/>
  <c r="V93" i="28" s="1"/>
  <c r="P94" i="28"/>
  <c r="V94" i="28" s="1"/>
  <c r="Q27" i="28"/>
  <c r="W27" i="28" l="1"/>
  <c r="U27" i="28"/>
  <c r="W87" i="28"/>
  <c r="U87" i="28"/>
  <c r="W65" i="28"/>
  <c r="N83" i="28"/>
  <c r="U83" i="28"/>
  <c r="W91" i="28"/>
  <c r="U91" i="28"/>
  <c r="R78" i="28"/>
  <c r="W78" i="28"/>
  <c r="U78" i="28"/>
  <c r="Q93" i="28"/>
  <c r="Q92" i="28"/>
  <c r="Q94" i="28"/>
  <c r="P74" i="28"/>
  <c r="V74" i="28" s="1"/>
  <c r="Q79" i="28"/>
  <c r="P86" i="28"/>
  <c r="V86" i="28" s="1"/>
  <c r="R87" i="28"/>
  <c r="R86" i="28" s="1"/>
  <c r="Q86" i="28"/>
  <c r="U86" i="28" s="1"/>
  <c r="D53" i="28"/>
  <c r="R55" i="28"/>
  <c r="P55" i="28"/>
  <c r="V55" i="28" s="1"/>
  <c r="R59" i="28"/>
  <c r="P59" i="28"/>
  <c r="V59" i="28" s="1"/>
  <c r="R58" i="28"/>
  <c r="P58" i="28"/>
  <c r="V58" i="28" s="1"/>
  <c r="W86" i="28" l="1"/>
  <c r="U94" i="28"/>
  <c r="W94" i="28"/>
  <c r="W79" i="28"/>
  <c r="U79" i="28"/>
  <c r="N74" i="28"/>
  <c r="W74" i="28" s="1"/>
  <c r="W83" i="28"/>
  <c r="U92" i="28"/>
  <c r="W92" i="28"/>
  <c r="U93" i="28"/>
  <c r="W93" i="28"/>
  <c r="R79" i="28"/>
  <c r="R74" i="28" s="1"/>
  <c r="Q74" i="28"/>
  <c r="U74" i="28" s="1"/>
  <c r="R57" i="28"/>
  <c r="P57" i="28"/>
  <c r="V57" i="28" s="1"/>
  <c r="Q56" i="28"/>
  <c r="P56" i="28"/>
  <c r="V56" i="28" s="1"/>
  <c r="W56" i="28" l="1"/>
  <c r="U56" i="28"/>
  <c r="Q50" i="28"/>
  <c r="P49" i="28"/>
  <c r="V49" i="28" s="1"/>
  <c r="W50" i="28" l="1"/>
  <c r="U50" i="28"/>
  <c r="Q49" i="28"/>
  <c r="P48" i="28"/>
  <c r="V48" i="28" s="1"/>
  <c r="P47" i="28"/>
  <c r="V47" i="28" s="1"/>
  <c r="P46" i="28"/>
  <c r="V46" i="28" s="1"/>
  <c r="P45" i="28"/>
  <c r="V45" i="28" s="1"/>
  <c r="Q42" i="28"/>
  <c r="U49" i="28" l="1"/>
  <c r="W49" i="28"/>
  <c r="U42" i="28"/>
  <c r="W42" i="28"/>
  <c r="Q45" i="28"/>
  <c r="Q46" i="28"/>
  <c r="Q47" i="28"/>
  <c r="Q48" i="28"/>
  <c r="Q26" i="28"/>
  <c r="P26" i="28"/>
  <c r="V26" i="28" s="1"/>
  <c r="R25" i="28"/>
  <c r="P25" i="28"/>
  <c r="V25" i="28" s="1"/>
  <c r="Q24" i="28"/>
  <c r="P24" i="28"/>
  <c r="V24" i="28" s="1"/>
  <c r="P23" i="28"/>
  <c r="V23" i="28" s="1"/>
  <c r="Q22" i="28"/>
  <c r="P22" i="28"/>
  <c r="V22" i="28" s="1"/>
  <c r="Q21" i="28"/>
  <c r="P21" i="28"/>
  <c r="V21" i="28" s="1"/>
  <c r="P20" i="28"/>
  <c r="V20" i="28" s="1"/>
  <c r="P19" i="28"/>
  <c r="V19" i="28" s="1"/>
  <c r="W48" i="28" l="1"/>
  <c r="U48" i="28"/>
  <c r="W47" i="28"/>
  <c r="U47" i="28"/>
  <c r="U26" i="28"/>
  <c r="W26" i="28"/>
  <c r="W21" i="28"/>
  <c r="U21" i="28"/>
  <c r="U46" i="28"/>
  <c r="W46" i="28"/>
  <c r="U45" i="28"/>
  <c r="W45" i="28"/>
  <c r="W22" i="28"/>
  <c r="U22" i="28"/>
  <c r="W24" i="28"/>
  <c r="U24" i="28"/>
  <c r="R18" i="28"/>
  <c r="P18" i="28"/>
  <c r="V18" i="28" s="1"/>
  <c r="Q17" i="28"/>
  <c r="P17" i="28"/>
  <c r="V17" i="28" s="1"/>
  <c r="R15" i="28"/>
  <c r="P15" i="28"/>
  <c r="V15" i="28" s="1"/>
  <c r="P16" i="28"/>
  <c r="V16" i="28" s="1"/>
  <c r="Q16" i="28"/>
  <c r="R14" i="28"/>
  <c r="P14" i="28"/>
  <c r="V14" i="28" s="1"/>
  <c r="Q13" i="28"/>
  <c r="P13" i="28"/>
  <c r="V13" i="28" s="1"/>
  <c r="Q12" i="28"/>
  <c r="P12" i="28"/>
  <c r="V12" i="28" s="1"/>
  <c r="W17" i="28" l="1"/>
  <c r="U17" i="28"/>
  <c r="W13" i="28"/>
  <c r="U13" i="28"/>
  <c r="W16" i="28"/>
  <c r="U16" i="28"/>
  <c r="W12" i="28"/>
  <c r="U12" i="28"/>
  <c r="N13" i="15"/>
  <c r="D69" i="28" l="1"/>
  <c r="E69" i="28"/>
  <c r="M69" i="28"/>
  <c r="M68" i="28" s="1"/>
  <c r="N69" i="28"/>
  <c r="O69" i="28"/>
  <c r="O68" i="28" s="1"/>
  <c r="P69" i="28"/>
  <c r="P68" i="28" s="1"/>
  <c r="Q69" i="28"/>
  <c r="Q68" i="28" s="1"/>
  <c r="R69" i="28"/>
  <c r="R68" i="28" s="1"/>
  <c r="E98" i="28"/>
  <c r="V98" i="28" s="1"/>
  <c r="M98" i="28"/>
  <c r="M97" i="28" s="1"/>
  <c r="M96" i="28" s="1"/>
  <c r="D30" i="12" s="1"/>
  <c r="N98" i="28"/>
  <c r="O98" i="28"/>
  <c r="O97" i="28" s="1"/>
  <c r="O96" i="28" s="1"/>
  <c r="P98" i="28"/>
  <c r="P97" i="28" s="1"/>
  <c r="P96" i="28" s="1"/>
  <c r="E30" i="12" s="1"/>
  <c r="Q98" i="28"/>
  <c r="Q97" i="28" s="1"/>
  <c r="Q96" i="28" s="1"/>
  <c r="R98" i="28"/>
  <c r="R97" i="28" s="1"/>
  <c r="R96" i="28" s="1"/>
  <c r="D98" i="28"/>
  <c r="N97" i="28" l="1"/>
  <c r="W98" i="28"/>
  <c r="D97" i="28"/>
  <c r="U98" i="28"/>
  <c r="N68" i="28"/>
  <c r="W68" i="28" s="1"/>
  <c r="W69" i="28"/>
  <c r="V69" i="28"/>
  <c r="D68" i="28"/>
  <c r="U68" i="28" s="1"/>
  <c r="U69" i="28"/>
  <c r="E97" i="28"/>
  <c r="V97" i="28" s="1"/>
  <c r="E68" i="28"/>
  <c r="V68" i="28" s="1"/>
  <c r="H30" i="12"/>
  <c r="L30" i="12" s="1"/>
  <c r="T69" i="28"/>
  <c r="T68" i="28"/>
  <c r="D96" i="28" l="1"/>
  <c r="U96" i="28" s="1"/>
  <c r="U97" i="28"/>
  <c r="N96" i="28"/>
  <c r="W96" i="28" s="1"/>
  <c r="W97" i="28"/>
  <c r="E96" i="28"/>
  <c r="V96" i="28" s="1"/>
  <c r="D11" i="31"/>
  <c r="E11" i="31"/>
  <c r="AI11" i="31" s="1"/>
  <c r="G11" i="31"/>
  <c r="H11" i="31"/>
  <c r="I11" i="31"/>
  <c r="J11" i="31"/>
  <c r="K11" i="31"/>
  <c r="L11" i="31"/>
  <c r="N11" i="31"/>
  <c r="N10" i="31" s="1"/>
  <c r="O12" i="31"/>
  <c r="P12" i="31"/>
  <c r="Q12" i="31"/>
  <c r="R12" i="31"/>
  <c r="S12" i="31"/>
  <c r="T12" i="31" s="1"/>
  <c r="U12" i="31"/>
  <c r="V12" i="31" s="1"/>
  <c r="W12" i="31"/>
  <c r="X12" i="31"/>
  <c r="Y12" i="31"/>
  <c r="AA12" i="31"/>
  <c r="AB12" i="31"/>
  <c r="AC12" i="31"/>
  <c r="AD12" i="31" s="1"/>
  <c r="O13" i="31"/>
  <c r="P13" i="31"/>
  <c r="Q13" i="31"/>
  <c r="R13" i="31"/>
  <c r="S13" i="31"/>
  <c r="T13" i="31" s="1"/>
  <c r="U13" i="31"/>
  <c r="V13" i="31" s="1"/>
  <c r="W13" i="31"/>
  <c r="X13" i="31"/>
  <c r="Y13" i="31"/>
  <c r="AA13" i="31"/>
  <c r="AB13" i="31"/>
  <c r="AC13" i="31"/>
  <c r="AD13" i="31" s="1"/>
  <c r="O14" i="31"/>
  <c r="P14" i="31"/>
  <c r="Q14" i="31"/>
  <c r="R14" i="31"/>
  <c r="S14" i="31"/>
  <c r="T14" i="31" s="1"/>
  <c r="U14" i="31"/>
  <c r="V14" i="31" s="1"/>
  <c r="W14" i="31"/>
  <c r="X14" i="31"/>
  <c r="Y14" i="31"/>
  <c r="AA14" i="31"/>
  <c r="AB14" i="31"/>
  <c r="AC14" i="31"/>
  <c r="AD14" i="31" s="1"/>
  <c r="O15" i="31"/>
  <c r="P15" i="31"/>
  <c r="Q15" i="31"/>
  <c r="R15" i="31"/>
  <c r="S15" i="31"/>
  <c r="T15" i="31" s="1"/>
  <c r="U15" i="31"/>
  <c r="V15" i="31" s="1"/>
  <c r="W15" i="31"/>
  <c r="X15" i="31"/>
  <c r="Y15" i="31"/>
  <c r="AA15" i="31"/>
  <c r="AB15" i="31"/>
  <c r="AC15" i="31"/>
  <c r="AD15" i="31" s="1"/>
  <c r="O16" i="31"/>
  <c r="P16" i="31"/>
  <c r="Q16" i="31"/>
  <c r="R16" i="31"/>
  <c r="S16" i="31"/>
  <c r="T16" i="31" s="1"/>
  <c r="U16" i="31"/>
  <c r="V16" i="31" s="1"/>
  <c r="W16" i="31"/>
  <c r="X16" i="31"/>
  <c r="Y16" i="31"/>
  <c r="AA16" i="31"/>
  <c r="AB16" i="31"/>
  <c r="AC16" i="31"/>
  <c r="AD16" i="31" s="1"/>
  <c r="O17" i="31"/>
  <c r="P17" i="31"/>
  <c r="Q17" i="31"/>
  <c r="R17" i="31"/>
  <c r="S17" i="31"/>
  <c r="T17" i="31" s="1"/>
  <c r="U17" i="31"/>
  <c r="V17" i="31" s="1"/>
  <c r="W17" i="31"/>
  <c r="X17" i="31"/>
  <c r="Y17" i="31"/>
  <c r="AA17" i="31"/>
  <c r="AB17" i="31"/>
  <c r="AC17" i="31"/>
  <c r="AD17" i="31" s="1"/>
  <c r="K19" i="31"/>
  <c r="P21" i="31"/>
  <c r="I21" i="31"/>
  <c r="K21" i="31"/>
  <c r="K22" i="31"/>
  <c r="I22" i="31"/>
  <c r="W22" i="31"/>
  <c r="H10" i="31"/>
  <c r="P25" i="31"/>
  <c r="I25" i="31"/>
  <c r="K25" i="31"/>
  <c r="AA25" i="31"/>
  <c r="P26" i="31"/>
  <c r="I26" i="31"/>
  <c r="K26" i="31"/>
  <c r="AA26" i="31"/>
  <c r="AA27" i="31"/>
  <c r="I27" i="31"/>
  <c r="K27" i="31"/>
  <c r="D28" i="31"/>
  <c r="E28" i="31"/>
  <c r="G28" i="31"/>
  <c r="G9" i="31" s="1"/>
  <c r="H28" i="31"/>
  <c r="I28" i="31"/>
  <c r="J28" i="31"/>
  <c r="K28" i="31"/>
  <c r="L29" i="31"/>
  <c r="AA29" i="31"/>
  <c r="L30" i="31"/>
  <c r="O30" i="31"/>
  <c r="Q30" i="31"/>
  <c r="Y30" i="31"/>
  <c r="AA30" i="31"/>
  <c r="AB30" i="31"/>
  <c r="L31" i="31"/>
  <c r="O31" i="31"/>
  <c r="P31" i="31"/>
  <c r="Q31" i="31"/>
  <c r="W31" i="31"/>
  <c r="Y31" i="31"/>
  <c r="AA31" i="31"/>
  <c r="AB31" i="31"/>
  <c r="AA32" i="31"/>
  <c r="S32" i="31"/>
  <c r="T32" i="31" s="1"/>
  <c r="O32" i="31"/>
  <c r="Q32" i="31"/>
  <c r="W32" i="31"/>
  <c r="Y32" i="31"/>
  <c r="AB32" i="31"/>
  <c r="U33" i="31"/>
  <c r="V33" i="31" s="1"/>
  <c r="W33" i="31"/>
  <c r="X33" i="31"/>
  <c r="Y33" i="31"/>
  <c r="AA33" i="31"/>
  <c r="AB33" i="31"/>
  <c r="AC33" i="31"/>
  <c r="AD33" i="31" s="1"/>
  <c r="G34" i="31"/>
  <c r="U34" i="31"/>
  <c r="V34" i="31" s="1"/>
  <c r="W34" i="31"/>
  <c r="X34" i="31"/>
  <c r="Y34" i="31"/>
  <c r="AA34" i="31"/>
  <c r="AB34" i="31"/>
  <c r="AC34" i="31"/>
  <c r="AD34" i="31" s="1"/>
  <c r="G35" i="31"/>
  <c r="U35" i="31"/>
  <c r="V35" i="31" s="1"/>
  <c r="W35" i="31"/>
  <c r="X35" i="31"/>
  <c r="Y35" i="31"/>
  <c r="AA35" i="31"/>
  <c r="AB35" i="31"/>
  <c r="AC35" i="31"/>
  <c r="AD35" i="31" s="1"/>
  <c r="V36" i="31"/>
  <c r="W36" i="31"/>
  <c r="X36" i="31"/>
  <c r="Y36" i="31"/>
  <c r="AA36" i="31"/>
  <c r="AB36" i="31"/>
  <c r="AC36" i="31"/>
  <c r="AD36" i="31" s="1"/>
  <c r="AJ11" i="31" l="1"/>
  <c r="AC29" i="31"/>
  <c r="AF29" i="31"/>
  <c r="AG29" i="31" s="1"/>
  <c r="AH29" i="31" s="1"/>
  <c r="AI29" i="31"/>
  <c r="AG11" i="31"/>
  <c r="AH11" i="31" s="1"/>
  <c r="AJ28" i="31"/>
  <c r="AC30" i="31"/>
  <c r="AD30" i="31" s="1"/>
  <c r="AF30" i="31"/>
  <c r="AG30" i="31" s="1"/>
  <c r="AH30" i="31" s="1"/>
  <c r="AI30" i="31"/>
  <c r="R31" i="31"/>
  <c r="AF31" i="31"/>
  <c r="AG31" i="31" s="1"/>
  <c r="AH31" i="31" s="1"/>
  <c r="AI31" i="31"/>
  <c r="AF11" i="31"/>
  <c r="AB19" i="31"/>
  <c r="AJ19" i="31"/>
  <c r="L25" i="31"/>
  <c r="X25" i="31" s="1"/>
  <c r="AJ25" i="31"/>
  <c r="AJ27" i="31"/>
  <c r="AJ22" i="31"/>
  <c r="AJ21" i="31"/>
  <c r="L26" i="31"/>
  <c r="AJ26" i="31"/>
  <c r="C30" i="12"/>
  <c r="K30" i="12" s="1"/>
  <c r="AA22" i="31"/>
  <c r="AB11" i="31"/>
  <c r="S26" i="31"/>
  <c r="T26" i="31" s="1"/>
  <c r="P22" i="31"/>
  <c r="S31" i="31"/>
  <c r="T31" i="31" s="1"/>
  <c r="AB25" i="31"/>
  <c r="E18" i="31"/>
  <c r="E10" i="31" s="1"/>
  <c r="P27" i="31"/>
  <c r="Q25" i="31"/>
  <c r="W27" i="31"/>
  <c r="L19" i="31"/>
  <c r="AB21" i="31"/>
  <c r="L21" i="31"/>
  <c r="R26" i="31"/>
  <c r="O25" i="31"/>
  <c r="K24" i="31"/>
  <c r="O27" i="31"/>
  <c r="L27" i="31"/>
  <c r="AB22" i="31"/>
  <c r="L22" i="31"/>
  <c r="M22" i="31"/>
  <c r="W23" i="31"/>
  <c r="AB27" i="31"/>
  <c r="M19" i="31"/>
  <c r="I18" i="31"/>
  <c r="I10" i="31" s="1"/>
  <c r="Q27" i="31"/>
  <c r="AA28" i="31"/>
  <c r="Q11" i="31"/>
  <c r="S11" i="31"/>
  <c r="T11" i="31" s="1"/>
  <c r="R11" i="31"/>
  <c r="AC31" i="31"/>
  <c r="AD31" i="31" s="1"/>
  <c r="X31" i="31"/>
  <c r="L28" i="31"/>
  <c r="W26" i="31"/>
  <c r="Q26" i="31"/>
  <c r="AC21" i="31"/>
  <c r="AD21" i="31" s="1"/>
  <c r="Y11" i="31"/>
  <c r="G10" i="31"/>
  <c r="O11" i="31"/>
  <c r="O26" i="31"/>
  <c r="O22" i="31"/>
  <c r="AC26" i="31"/>
  <c r="AD26" i="31" s="1"/>
  <c r="W25" i="31"/>
  <c r="Y21" i="31"/>
  <c r="W19" i="31"/>
  <c r="D10" i="31"/>
  <c r="U31" i="31"/>
  <c r="V31" i="31" s="1"/>
  <c r="AB26" i="31"/>
  <c r="Q22" i="31"/>
  <c r="Q21" i="31"/>
  <c r="R32" i="31"/>
  <c r="O21" i="31"/>
  <c r="AD29" i="31"/>
  <c r="P32" i="31"/>
  <c r="AB29" i="31"/>
  <c r="R25" i="31"/>
  <c r="W21" i="31"/>
  <c r="Y19" i="31"/>
  <c r="Q19" i="31"/>
  <c r="X32" i="31"/>
  <c r="AB28" i="31"/>
  <c r="Y25" i="31"/>
  <c r="Y22" i="31"/>
  <c r="P19" i="31"/>
  <c r="X11" i="31"/>
  <c r="P11" i="31"/>
  <c r="Y29" i="31"/>
  <c r="U32" i="31"/>
  <c r="Q29" i="31"/>
  <c r="H9" i="31"/>
  <c r="D21" i="12" s="1"/>
  <c r="W11" i="31"/>
  <c r="O29" i="31"/>
  <c r="Y26" i="31"/>
  <c r="U11" i="31"/>
  <c r="V11" i="31" s="1"/>
  <c r="O19" i="31"/>
  <c r="AC32" i="31"/>
  <c r="AD32" i="31" s="1"/>
  <c r="X26" i="31"/>
  <c r="U25" i="31"/>
  <c r="V25" i="31" s="1"/>
  <c r="AA21" i="31"/>
  <c r="AC11" i="31"/>
  <c r="AD11" i="31" s="1"/>
  <c r="D9" i="31"/>
  <c r="Y27" i="31"/>
  <c r="AA19" i="31"/>
  <c r="AA11" i="31"/>
  <c r="AC28" i="31" l="1"/>
  <c r="AD28" i="31" s="1"/>
  <c r="AF28" i="31"/>
  <c r="AG28" i="31" s="1"/>
  <c r="AH28" i="31" s="1"/>
  <c r="AI28" i="31"/>
  <c r="X27" i="31"/>
  <c r="AF27" i="31"/>
  <c r="AG27" i="31" s="1"/>
  <c r="AH27" i="31" s="1"/>
  <c r="AI27" i="31"/>
  <c r="R27" i="31"/>
  <c r="S21" i="31"/>
  <c r="T21" i="31" s="1"/>
  <c r="AF21" i="31"/>
  <c r="AG21" i="31" s="1"/>
  <c r="AH21" i="31" s="1"/>
  <c r="AI21" i="31"/>
  <c r="R22" i="31"/>
  <c r="AF22" i="31"/>
  <c r="AG22" i="31" s="1"/>
  <c r="AH22" i="31" s="1"/>
  <c r="AI22" i="31"/>
  <c r="S25" i="31"/>
  <c r="T25" i="31" s="1"/>
  <c r="AF25" i="31"/>
  <c r="AG25" i="31" s="1"/>
  <c r="AH25" i="31" s="1"/>
  <c r="AI25" i="31"/>
  <c r="X19" i="31"/>
  <c r="AI19" i="31"/>
  <c r="AF19" i="31"/>
  <c r="AG19" i="31" s="1"/>
  <c r="AH19" i="31" s="1"/>
  <c r="AJ24" i="31"/>
  <c r="AC25" i="31"/>
  <c r="AD25" i="31" s="1"/>
  <c r="U26" i="31"/>
  <c r="V26" i="31" s="1"/>
  <c r="AF26" i="31"/>
  <c r="AG26" i="31" s="1"/>
  <c r="AH26" i="31" s="1"/>
  <c r="AI26" i="31"/>
  <c r="Q24" i="31"/>
  <c r="G30" i="12"/>
  <c r="F30" i="12"/>
  <c r="I30" i="12"/>
  <c r="X21" i="31"/>
  <c r="R21" i="31"/>
  <c r="U21" i="31"/>
  <c r="V21" i="31" s="1"/>
  <c r="X22" i="31"/>
  <c r="P24" i="31"/>
  <c r="U22" i="31"/>
  <c r="V22" i="31" s="1"/>
  <c r="AA24" i="31"/>
  <c r="Y24" i="31"/>
  <c r="AB24" i="31"/>
  <c r="W24" i="31"/>
  <c r="R19" i="31"/>
  <c r="U19" i="31"/>
  <c r="V19" i="31" s="1"/>
  <c r="AC19" i="31"/>
  <c r="AD19" i="31" s="1"/>
  <c r="S19" i="31"/>
  <c r="T19" i="31" s="1"/>
  <c r="J18" i="31"/>
  <c r="W18" i="31" s="1"/>
  <c r="W20" i="31"/>
  <c r="K20" i="31"/>
  <c r="AA20" i="31"/>
  <c r="S27" i="31"/>
  <c r="T27" i="31" s="1"/>
  <c r="AC27" i="31"/>
  <c r="AD27" i="31" s="1"/>
  <c r="P20" i="31"/>
  <c r="P23" i="31"/>
  <c r="AA23" i="31"/>
  <c r="K23" i="31"/>
  <c r="S22" i="31"/>
  <c r="T22" i="31" s="1"/>
  <c r="AC22" i="31"/>
  <c r="AD22" i="31" s="1"/>
  <c r="O24" i="31"/>
  <c r="L24" i="31"/>
  <c r="U27" i="31"/>
  <c r="V27" i="31" s="1"/>
  <c r="I9" i="31"/>
  <c r="E9" i="31"/>
  <c r="C21" i="12" s="1"/>
  <c r="AJ20" i="31" l="1"/>
  <c r="AF24" i="31"/>
  <c r="AG24" i="31" s="1"/>
  <c r="AH24" i="31" s="1"/>
  <c r="AI24" i="31"/>
  <c r="AJ23" i="31"/>
  <c r="AA18" i="31"/>
  <c r="P18" i="31"/>
  <c r="O20" i="31"/>
  <c r="L20" i="31"/>
  <c r="M20" i="31"/>
  <c r="AB20" i="31"/>
  <c r="Q20" i="31"/>
  <c r="Y20" i="31"/>
  <c r="K18" i="31"/>
  <c r="U24" i="31"/>
  <c r="V24" i="31" s="1"/>
  <c r="AC24" i="31"/>
  <c r="AD24" i="31" s="1"/>
  <c r="S24" i="31"/>
  <c r="T24" i="31" s="1"/>
  <c r="R24" i="31"/>
  <c r="X24" i="31"/>
  <c r="O23" i="31"/>
  <c r="L23" i="31"/>
  <c r="M23" i="31"/>
  <c r="AB23" i="31"/>
  <c r="Q23" i="31"/>
  <c r="Y23" i="31"/>
  <c r="J9" i="31"/>
  <c r="E21" i="12" s="1"/>
  <c r="J10" i="31"/>
  <c r="F21" i="12"/>
  <c r="W9" i="31"/>
  <c r="AF23" i="31" l="1"/>
  <c r="AG23" i="31" s="1"/>
  <c r="AH23" i="31" s="1"/>
  <c r="AI23" i="31"/>
  <c r="AF20" i="31"/>
  <c r="AG20" i="31" s="1"/>
  <c r="AH20" i="31" s="1"/>
  <c r="AI20" i="31"/>
  <c r="P21" i="12"/>
  <c r="AJ18" i="31"/>
  <c r="P9" i="31"/>
  <c r="G21" i="12"/>
  <c r="AA9" i="31"/>
  <c r="K9" i="31"/>
  <c r="K10" i="31"/>
  <c r="Q18" i="31"/>
  <c r="Y18" i="31"/>
  <c r="O18" i="31"/>
  <c r="AB18" i="31"/>
  <c r="M18" i="31"/>
  <c r="P10" i="31"/>
  <c r="W10" i="31"/>
  <c r="AA10" i="31"/>
  <c r="U23" i="31"/>
  <c r="V23" i="31" s="1"/>
  <c r="AC23" i="31"/>
  <c r="AD23" i="31" s="1"/>
  <c r="R23" i="31"/>
  <c r="X23" i="31"/>
  <c r="S23" i="31"/>
  <c r="T23" i="31" s="1"/>
  <c r="U20" i="31"/>
  <c r="V20" i="31" s="1"/>
  <c r="L18" i="31"/>
  <c r="AC20" i="31"/>
  <c r="AD20" i="31" s="1"/>
  <c r="S20" i="31"/>
  <c r="T20" i="31" s="1"/>
  <c r="R20" i="31"/>
  <c r="X20" i="31"/>
  <c r="D10" i="30"/>
  <c r="E10" i="30"/>
  <c r="E9" i="30" s="1"/>
  <c r="F10" i="30"/>
  <c r="F9" i="30" s="1"/>
  <c r="H10" i="30"/>
  <c r="H9" i="30" s="1"/>
  <c r="I10" i="30"/>
  <c r="I9" i="30" s="1"/>
  <c r="J10" i="30"/>
  <c r="J9" i="30" s="1"/>
  <c r="K10" i="30"/>
  <c r="K9" i="30" s="1"/>
  <c r="L10" i="30"/>
  <c r="M10" i="30"/>
  <c r="M9" i="30" s="1"/>
  <c r="N10" i="30"/>
  <c r="N9" i="30" s="1"/>
  <c r="O10" i="30"/>
  <c r="O9" i="30" s="1"/>
  <c r="P10" i="30"/>
  <c r="P9" i="30" s="1"/>
  <c r="G10" i="30"/>
  <c r="D23" i="30"/>
  <c r="D22" i="30" s="1"/>
  <c r="E23" i="30"/>
  <c r="E22" i="30" s="1"/>
  <c r="F23" i="30"/>
  <c r="F22" i="30" s="1"/>
  <c r="H23" i="30"/>
  <c r="H22" i="30" s="1"/>
  <c r="I23" i="30"/>
  <c r="I22" i="30" s="1"/>
  <c r="J23" i="30"/>
  <c r="J22" i="30" s="1"/>
  <c r="K23" i="30"/>
  <c r="K22" i="30" s="1"/>
  <c r="M23" i="30"/>
  <c r="M22" i="30" s="1"/>
  <c r="N23" i="30"/>
  <c r="N22" i="30" s="1"/>
  <c r="O23" i="30"/>
  <c r="O22" i="30" s="1"/>
  <c r="P23" i="30"/>
  <c r="P22" i="30" s="1"/>
  <c r="Q23" i="30"/>
  <c r="Q22" i="30" s="1"/>
  <c r="G23" i="30"/>
  <c r="D11" i="28"/>
  <c r="M11" i="28"/>
  <c r="M10" i="28" s="1"/>
  <c r="N11" i="28"/>
  <c r="O11" i="28"/>
  <c r="O10" i="28" s="1"/>
  <c r="P11" i="28"/>
  <c r="Q11" i="28"/>
  <c r="R11" i="28"/>
  <c r="R10" i="28" s="1"/>
  <c r="E11" i="28"/>
  <c r="V11" i="28" s="1"/>
  <c r="D44" i="28"/>
  <c r="M44" i="28"/>
  <c r="M43" i="28" s="1"/>
  <c r="N44" i="28"/>
  <c r="O44" i="28"/>
  <c r="O43" i="28" s="1"/>
  <c r="P44" i="28"/>
  <c r="Q44" i="28"/>
  <c r="Q43" i="28" s="1"/>
  <c r="R44" i="28"/>
  <c r="R43" i="28" s="1"/>
  <c r="T45" i="28"/>
  <c r="T46" i="28"/>
  <c r="T47" i="28"/>
  <c r="T48" i="28"/>
  <c r="T49" i="28"/>
  <c r="T50" i="28"/>
  <c r="S51" i="28"/>
  <c r="D52" i="28"/>
  <c r="M53" i="28"/>
  <c r="M52" i="28" s="1"/>
  <c r="N53" i="28"/>
  <c r="O53" i="28"/>
  <c r="O52" i="28" s="1"/>
  <c r="P53" i="28"/>
  <c r="P52" i="28" s="1"/>
  <c r="R53" i="28"/>
  <c r="R52" i="28" s="1"/>
  <c r="D85" i="28"/>
  <c r="M85" i="28"/>
  <c r="M73" i="28" s="1"/>
  <c r="O85" i="28"/>
  <c r="O73" i="28" s="1"/>
  <c r="P85" i="28"/>
  <c r="Q85" i="28"/>
  <c r="R85" i="28"/>
  <c r="R73" i="28" s="1"/>
  <c r="F13" i="26"/>
  <c r="F12" i="26"/>
  <c r="H11" i="26"/>
  <c r="G11" i="26"/>
  <c r="E11" i="26"/>
  <c r="D11" i="26"/>
  <c r="C13" i="26"/>
  <c r="C12" i="26"/>
  <c r="N43" i="28" l="1"/>
  <c r="W43" i="28" s="1"/>
  <c r="W44" i="28"/>
  <c r="N52" i="28"/>
  <c r="W53" i="28"/>
  <c r="U44" i="28"/>
  <c r="D73" i="28"/>
  <c r="U73" i="28" s="1"/>
  <c r="U85" i="28"/>
  <c r="AJ9" i="31"/>
  <c r="AI18" i="31"/>
  <c r="AF18" i="31"/>
  <c r="AG18" i="31" s="1"/>
  <c r="AH18" i="31" s="1"/>
  <c r="AJ10" i="31"/>
  <c r="N10" i="28"/>
  <c r="W11" i="28"/>
  <c r="D10" i="28"/>
  <c r="U11" i="28"/>
  <c r="P10" i="28"/>
  <c r="P43" i="28"/>
  <c r="P73" i="28"/>
  <c r="O10" i="31"/>
  <c r="AB10" i="31"/>
  <c r="Q10" i="31"/>
  <c r="Y10" i="31"/>
  <c r="M9" i="31"/>
  <c r="M10" i="31"/>
  <c r="X18" i="31"/>
  <c r="U18" i="31"/>
  <c r="V18" i="31" s="1"/>
  <c r="AC18" i="31"/>
  <c r="AD18" i="31" s="1"/>
  <c r="L9" i="31"/>
  <c r="L10" i="31"/>
  <c r="R18" i="31"/>
  <c r="S18" i="31"/>
  <c r="T18" i="31" s="1"/>
  <c r="Y9" i="31"/>
  <c r="AB9" i="31"/>
  <c r="Q9" i="31"/>
  <c r="O9" i="31"/>
  <c r="E8" i="30"/>
  <c r="T44" i="28"/>
  <c r="O8" i="30"/>
  <c r="K8" i="30"/>
  <c r="J8" i="30"/>
  <c r="I8" i="30"/>
  <c r="P8" i="30"/>
  <c r="H8" i="30"/>
  <c r="N8" i="30"/>
  <c r="F8" i="30"/>
  <c r="R23" i="30"/>
  <c r="R22" i="30" s="1"/>
  <c r="R10" i="30"/>
  <c r="R9" i="30" s="1"/>
  <c r="M8" i="30"/>
  <c r="G9" i="30"/>
  <c r="G22" i="30"/>
  <c r="Q10" i="30"/>
  <c r="L9" i="30"/>
  <c r="D9" i="30"/>
  <c r="D8" i="30" s="1"/>
  <c r="L23" i="30"/>
  <c r="N85" i="28"/>
  <c r="W85" i="28" s="1"/>
  <c r="M72" i="28"/>
  <c r="N73" i="28"/>
  <c r="W73" i="28" s="1"/>
  <c r="E44" i="28"/>
  <c r="T86" i="28"/>
  <c r="Q73" i="28"/>
  <c r="Q72" i="28" s="1"/>
  <c r="E53" i="28"/>
  <c r="V53" i="28" s="1"/>
  <c r="R51" i="28"/>
  <c r="M9" i="28"/>
  <c r="D27" i="12" s="1"/>
  <c r="O72" i="28"/>
  <c r="P51" i="28"/>
  <c r="E28" i="12" s="1"/>
  <c r="E85" i="28"/>
  <c r="V85" i="28" s="1"/>
  <c r="D72" i="28"/>
  <c r="U72" i="28" s="1"/>
  <c r="P9" i="28"/>
  <c r="R72" i="28"/>
  <c r="O9" i="28"/>
  <c r="T11" i="28"/>
  <c r="O51" i="28"/>
  <c r="M51" i="28"/>
  <c r="D28" i="12" s="1"/>
  <c r="E10" i="28"/>
  <c r="T52" i="28"/>
  <c r="R9" i="28"/>
  <c r="N9" i="28"/>
  <c r="W9" i="28" s="1"/>
  <c r="P72" i="28"/>
  <c r="D43" i="28"/>
  <c r="D51" i="28"/>
  <c r="T53" i="28"/>
  <c r="Q53" i="28"/>
  <c r="U53" i="28" s="1"/>
  <c r="T43" i="28"/>
  <c r="Q10" i="28"/>
  <c r="Q9" i="28" s="1"/>
  <c r="C11" i="26"/>
  <c r="F11" i="26"/>
  <c r="D9" i="28" l="1"/>
  <c r="U9" i="28" s="1"/>
  <c r="U43" i="28"/>
  <c r="E43" i="28"/>
  <c r="V43" i="28" s="1"/>
  <c r="V44" i="28"/>
  <c r="U10" i="28"/>
  <c r="V10" i="28"/>
  <c r="N51" i="28"/>
  <c r="AF10" i="31"/>
  <c r="AG10" i="31" s="1"/>
  <c r="AH10" i="31" s="1"/>
  <c r="AI10" i="31"/>
  <c r="AI9" i="31"/>
  <c r="AF9" i="31"/>
  <c r="AG9" i="31" s="1"/>
  <c r="AH9" i="31" s="1"/>
  <c r="W10" i="28"/>
  <c r="E27" i="12"/>
  <c r="H27" i="12" s="1"/>
  <c r="L27" i="12" s="1"/>
  <c r="O8" i="28"/>
  <c r="H28" i="12"/>
  <c r="L28" i="12" s="1"/>
  <c r="H21" i="12"/>
  <c r="S9" i="31"/>
  <c r="T9" i="31" s="1"/>
  <c r="X9" i="31"/>
  <c r="U9" i="31"/>
  <c r="V9" i="31" s="1"/>
  <c r="R9" i="31"/>
  <c r="AC9" i="31"/>
  <c r="AD9" i="31" s="1"/>
  <c r="X10" i="31"/>
  <c r="S10" i="31"/>
  <c r="T10" i="31" s="1"/>
  <c r="AC10" i="31"/>
  <c r="AD10" i="31" s="1"/>
  <c r="R10" i="31"/>
  <c r="U10" i="31"/>
  <c r="V10" i="31" s="1"/>
  <c r="R8" i="28"/>
  <c r="D8" i="28"/>
  <c r="E29" i="12"/>
  <c r="P8" i="28"/>
  <c r="D29" i="12"/>
  <c r="M8" i="28"/>
  <c r="T85" i="28"/>
  <c r="R8" i="30"/>
  <c r="U6" i="30" s="1"/>
  <c r="L22" i="30"/>
  <c r="G8" i="30"/>
  <c r="Q9" i="30"/>
  <c r="Q8" i="30" s="1"/>
  <c r="E52" i="28"/>
  <c r="V52" i="28" s="1"/>
  <c r="E9" i="28"/>
  <c r="E73" i="28"/>
  <c r="V73" i="28" s="1"/>
  <c r="T10" i="28"/>
  <c r="T51" i="28"/>
  <c r="Q52" i="28"/>
  <c r="U52" i="28" s="1"/>
  <c r="N72" i="28"/>
  <c r="W52" i="28" l="1"/>
  <c r="N8" i="28"/>
  <c r="W72" i="28"/>
  <c r="C27" i="12"/>
  <c r="G27" i="12" s="1"/>
  <c r="V9" i="28"/>
  <c r="I21" i="12"/>
  <c r="L21" i="12"/>
  <c r="K21" i="12"/>
  <c r="F27" i="12"/>
  <c r="K27" i="12"/>
  <c r="D26" i="12"/>
  <c r="E51" i="28"/>
  <c r="V51" i="28" s="1"/>
  <c r="H29" i="12"/>
  <c r="H26" i="12" s="1"/>
  <c r="I27" i="12"/>
  <c r="E26" i="12"/>
  <c r="T74" i="28"/>
  <c r="Y6" i="30"/>
  <c r="L8" i="30"/>
  <c r="E72" i="28"/>
  <c r="V72" i="28" s="1"/>
  <c r="T9" i="28"/>
  <c r="Q51" i="28"/>
  <c r="W51" i="28" s="1"/>
  <c r="F47" i="26"/>
  <c r="F46" i="26"/>
  <c r="H45" i="26"/>
  <c r="G45" i="26"/>
  <c r="F44" i="26"/>
  <c r="F43" i="26"/>
  <c r="H42" i="26"/>
  <c r="G42" i="26"/>
  <c r="F41" i="26"/>
  <c r="F40" i="26"/>
  <c r="F39" i="26"/>
  <c r="H38" i="26"/>
  <c r="G38" i="26"/>
  <c r="F37" i="26"/>
  <c r="H36" i="26"/>
  <c r="G36" i="26"/>
  <c r="F35" i="26"/>
  <c r="F34" i="26"/>
  <c r="H33" i="26"/>
  <c r="G33" i="26"/>
  <c r="C47" i="26"/>
  <c r="C46" i="26"/>
  <c r="E45" i="26"/>
  <c r="D45" i="26"/>
  <c r="C43" i="26"/>
  <c r="C44" i="26"/>
  <c r="E42" i="26"/>
  <c r="D42" i="26"/>
  <c r="C34" i="26"/>
  <c r="E33" i="26"/>
  <c r="D33" i="26"/>
  <c r="C35" i="26"/>
  <c r="C37" i="26"/>
  <c r="E38" i="26"/>
  <c r="D38" i="26"/>
  <c r="C40" i="26"/>
  <c r="C41" i="26"/>
  <c r="C39" i="26"/>
  <c r="E36" i="26"/>
  <c r="D36" i="26"/>
  <c r="F31" i="26"/>
  <c r="F30" i="26"/>
  <c r="F29" i="26"/>
  <c r="H28" i="26"/>
  <c r="G28" i="26"/>
  <c r="F27" i="26"/>
  <c r="F26" i="26"/>
  <c r="H25" i="26"/>
  <c r="G25" i="26"/>
  <c r="F24" i="26"/>
  <c r="F23" i="26"/>
  <c r="F22" i="26"/>
  <c r="F21" i="26"/>
  <c r="H20" i="26"/>
  <c r="G20" i="26"/>
  <c r="F19" i="26"/>
  <c r="H18" i="26"/>
  <c r="G18" i="26"/>
  <c r="F17" i="26"/>
  <c r="F16" i="26" s="1"/>
  <c r="H16" i="26"/>
  <c r="G16" i="26"/>
  <c r="F15" i="26"/>
  <c r="C30" i="26"/>
  <c r="C31" i="26"/>
  <c r="C29" i="26"/>
  <c r="E28" i="26"/>
  <c r="D28" i="26"/>
  <c r="E25" i="26"/>
  <c r="D25" i="26"/>
  <c r="C27" i="26"/>
  <c r="C26" i="26"/>
  <c r="C24" i="26"/>
  <c r="C23" i="26"/>
  <c r="E20" i="26"/>
  <c r="D20" i="26"/>
  <c r="C22" i="26"/>
  <c r="C21" i="26"/>
  <c r="C19" i="26"/>
  <c r="E18" i="26"/>
  <c r="D18" i="26"/>
  <c r="D16" i="26"/>
  <c r="E16" i="26"/>
  <c r="C17" i="26"/>
  <c r="C16" i="26" s="1"/>
  <c r="C15" i="26"/>
  <c r="Q8" i="28" l="1"/>
  <c r="U51" i="28"/>
  <c r="W8" i="28"/>
  <c r="U8" i="28"/>
  <c r="L26" i="12"/>
  <c r="L29" i="12"/>
  <c r="F18" i="26"/>
  <c r="F28" i="26"/>
  <c r="C28" i="12"/>
  <c r="K28" i="12" s="1"/>
  <c r="F20" i="26"/>
  <c r="F25" i="26"/>
  <c r="C38" i="26"/>
  <c r="E14" i="26"/>
  <c r="C25" i="26"/>
  <c r="C36" i="26"/>
  <c r="C29" i="12"/>
  <c r="E8" i="28"/>
  <c r="V8" i="28" s="1"/>
  <c r="T73" i="28"/>
  <c r="E32" i="26"/>
  <c r="C28" i="26"/>
  <c r="C42" i="26"/>
  <c r="F42" i="26"/>
  <c r="C33" i="26"/>
  <c r="C20" i="26"/>
  <c r="D14" i="26"/>
  <c r="D32" i="26"/>
  <c r="F36" i="26"/>
  <c r="F38" i="26"/>
  <c r="F33" i="26"/>
  <c r="F45" i="26"/>
  <c r="G32" i="26"/>
  <c r="H32" i="26"/>
  <c r="C45" i="26"/>
  <c r="H14" i="26"/>
  <c r="G14" i="26"/>
  <c r="C18" i="26"/>
  <c r="D10" i="26" l="1"/>
  <c r="C26" i="12"/>
  <c r="I26" i="12" s="1"/>
  <c r="K29" i="12"/>
  <c r="F28" i="12"/>
  <c r="I28" i="12"/>
  <c r="G28" i="12"/>
  <c r="C32" i="26"/>
  <c r="E10" i="26"/>
  <c r="G26" i="12"/>
  <c r="F29" i="12"/>
  <c r="G29" i="12"/>
  <c r="I29" i="12"/>
  <c r="T72" i="28"/>
  <c r="T8" i="28"/>
  <c r="C14" i="26"/>
  <c r="F32" i="26"/>
  <c r="H10" i="26"/>
  <c r="F14" i="26"/>
  <c r="G10" i="26"/>
  <c r="F26" i="12" l="1"/>
  <c r="K26" i="12"/>
  <c r="C10" i="26"/>
  <c r="F10" i="26"/>
  <c r="A3" i="15" l="1"/>
  <c r="A3" i="27"/>
  <c r="A3" i="26" l="1"/>
  <c r="A3" i="28" s="1"/>
  <c r="A3" i="31"/>
  <c r="A3" i="32" s="1"/>
  <c r="A3" i="10"/>
  <c r="A3" i="30" l="1"/>
  <c r="A3" i="33"/>
  <c r="D10" i="27"/>
  <c r="I10" i="27"/>
  <c r="L11" i="27"/>
  <c r="M11" i="27"/>
  <c r="AA11" i="27"/>
  <c r="L12" i="27"/>
  <c r="M12" i="27"/>
  <c r="AA12" i="27"/>
  <c r="M13" i="27"/>
  <c r="AA13" i="27"/>
  <c r="AB13" i="27"/>
  <c r="K10" i="27"/>
  <c r="L15" i="27"/>
  <c r="M15" i="27"/>
  <c r="AA15" i="27"/>
  <c r="AA16" i="27"/>
  <c r="AB16" i="27"/>
  <c r="AC16" i="27"/>
  <c r="AD16" i="27" s="1"/>
  <c r="AA17" i="27"/>
  <c r="AB17" i="27"/>
  <c r="AC17" i="27"/>
  <c r="AD17" i="27" s="1"/>
  <c r="AA18" i="27"/>
  <c r="AB18" i="27"/>
  <c r="AC18" i="27"/>
  <c r="AD18" i="27" s="1"/>
  <c r="AA19" i="27"/>
  <c r="AB19" i="27"/>
  <c r="AC19" i="27"/>
  <c r="AD19" i="27" s="1"/>
  <c r="L20" i="27"/>
  <c r="AA20" i="27"/>
  <c r="AC20" i="27"/>
  <c r="D21" i="27"/>
  <c r="E21" i="27"/>
  <c r="K21" i="27"/>
  <c r="L22" i="27"/>
  <c r="AA22" i="27"/>
  <c r="L23" i="27"/>
  <c r="AA23" i="27"/>
  <c r="L24" i="27"/>
  <c r="AA24" i="27"/>
  <c r="D26" i="27"/>
  <c r="E26" i="27"/>
  <c r="I26" i="27"/>
  <c r="I25" i="27" s="1"/>
  <c r="D19" i="12" s="1"/>
  <c r="K26" i="27"/>
  <c r="L27" i="27"/>
  <c r="M27" i="27"/>
  <c r="AA27" i="27"/>
  <c r="AA28" i="27"/>
  <c r="AC28" i="27"/>
  <c r="AB29" i="27"/>
  <c r="AA29" i="27"/>
  <c r="AC29" i="27"/>
  <c r="L30" i="27"/>
  <c r="M30" i="27"/>
  <c r="AA30" i="27"/>
  <c r="J31" i="27"/>
  <c r="AJ31" i="27" s="1"/>
  <c r="AA31" i="27"/>
  <c r="AB31" i="27"/>
  <c r="AC31" i="27"/>
  <c r="AD31" i="27" s="1"/>
  <c r="L32" i="27"/>
  <c r="M32" i="27"/>
  <c r="AA32" i="27"/>
  <c r="L33" i="27"/>
  <c r="AA33" i="27"/>
  <c r="M34" i="27"/>
  <c r="AA34" i="27"/>
  <c r="AB34" i="27"/>
  <c r="N35" i="27"/>
  <c r="N8" i="27" s="1"/>
  <c r="D36" i="27"/>
  <c r="E36" i="27"/>
  <c r="H35" i="27"/>
  <c r="H8" i="27" s="1"/>
  <c r="I36" i="27"/>
  <c r="I35" i="27" s="1"/>
  <c r="D20" i="12" s="1"/>
  <c r="J37" i="27"/>
  <c r="AC38" i="27"/>
  <c r="AD38" i="27" s="1"/>
  <c r="AA38" i="27"/>
  <c r="AB38" i="27"/>
  <c r="J39" i="27"/>
  <c r="AJ39" i="27" s="1"/>
  <c r="D35" i="27" l="1"/>
  <c r="AC13" i="27"/>
  <c r="AD13" i="27" s="1"/>
  <c r="AF13" i="27"/>
  <c r="AG13" i="27" s="1"/>
  <c r="AH13" i="27" s="1"/>
  <c r="AI13" i="27"/>
  <c r="AB27" i="27"/>
  <c r="AG27" i="27"/>
  <c r="AH27" i="27" s="1"/>
  <c r="AJ27" i="27"/>
  <c r="AC12" i="27"/>
  <c r="AD12" i="27" s="1"/>
  <c r="AI12" i="27"/>
  <c r="AF12" i="27"/>
  <c r="AG12" i="27" s="1"/>
  <c r="AH12" i="27" s="1"/>
  <c r="AB12" i="27"/>
  <c r="AJ12" i="27"/>
  <c r="D25" i="27"/>
  <c r="AG20" i="27"/>
  <c r="AH20" i="27" s="1"/>
  <c r="AJ20" i="27"/>
  <c r="AC11" i="27"/>
  <c r="AI11" i="27"/>
  <c r="AF11" i="27"/>
  <c r="AG11" i="27" s="1"/>
  <c r="AH11" i="27" s="1"/>
  <c r="E35" i="27"/>
  <c r="AC27" i="27"/>
  <c r="AF27" i="27"/>
  <c r="AI27" i="27"/>
  <c r="AC34" i="27"/>
  <c r="AD34" i="27" s="1"/>
  <c r="AF34" i="27"/>
  <c r="AG34" i="27" s="1"/>
  <c r="AH34" i="27" s="1"/>
  <c r="AI34" i="27"/>
  <c r="AB11" i="27"/>
  <c r="AJ11" i="27"/>
  <c r="AJ22" i="27"/>
  <c r="AC30" i="27"/>
  <c r="AD30" i="27" s="1"/>
  <c r="AF30" i="27"/>
  <c r="AI30" i="27"/>
  <c r="AB33" i="27"/>
  <c r="AJ33" i="27"/>
  <c r="AJ24" i="27"/>
  <c r="AB15" i="27"/>
  <c r="AM15" i="27"/>
  <c r="AJ15" i="27"/>
  <c r="AA37" i="27"/>
  <c r="AJ37" i="27"/>
  <c r="E9" i="27"/>
  <c r="E25" i="27"/>
  <c r="AB30" i="27"/>
  <c r="AG30" i="27"/>
  <c r="AH30" i="27" s="1"/>
  <c r="AJ30" i="27"/>
  <c r="AC32" i="27"/>
  <c r="AD32" i="27" s="1"/>
  <c r="AF32" i="27"/>
  <c r="AG32" i="27" s="1"/>
  <c r="AH32" i="27" s="1"/>
  <c r="AI32" i="27"/>
  <c r="AJ23" i="27"/>
  <c r="AB32" i="27"/>
  <c r="AJ32" i="27"/>
  <c r="AF15" i="27"/>
  <c r="AG15" i="27" s="1"/>
  <c r="AH15" i="27" s="1"/>
  <c r="AI15" i="27"/>
  <c r="AA21" i="27"/>
  <c r="AB24" i="27"/>
  <c r="M24" i="27"/>
  <c r="AB23" i="27"/>
  <c r="M23" i="27"/>
  <c r="AB22" i="27"/>
  <c r="M22" i="27"/>
  <c r="I21" i="27"/>
  <c r="I9" i="27" s="1"/>
  <c r="K9" i="27"/>
  <c r="E18" i="12" s="1"/>
  <c r="J21" i="27"/>
  <c r="AJ21" i="27" s="1"/>
  <c r="AD20" i="27"/>
  <c r="AA14" i="27"/>
  <c r="C18" i="12"/>
  <c r="AD11" i="27"/>
  <c r="L37" i="27"/>
  <c r="M37" i="27" s="1"/>
  <c r="J36" i="27"/>
  <c r="AD27" i="27"/>
  <c r="AA26" i="27"/>
  <c r="L21" i="27"/>
  <c r="L14" i="27"/>
  <c r="J10" i="27"/>
  <c r="K36" i="27"/>
  <c r="K35" i="27" s="1"/>
  <c r="E20" i="12" s="1"/>
  <c r="AC39" i="27"/>
  <c r="AA39" i="27"/>
  <c r="AB20" i="27"/>
  <c r="AC15" i="27"/>
  <c r="AD15" i="27" s="1"/>
  <c r="M33" i="27"/>
  <c r="AA10" i="27"/>
  <c r="AD29" i="27"/>
  <c r="D9" i="27"/>
  <c r="K25" i="27"/>
  <c r="I14" i="26"/>
  <c r="J35" i="27" l="1"/>
  <c r="C20" i="12"/>
  <c r="F20" i="12" s="1"/>
  <c r="AF33" i="27"/>
  <c r="AG33" i="27" s="1"/>
  <c r="AH33" i="27" s="1"/>
  <c r="AI33" i="27"/>
  <c r="AC23" i="27"/>
  <c r="AD23" i="27" s="1"/>
  <c r="AF23" i="27"/>
  <c r="AG23" i="27" s="1"/>
  <c r="AH23" i="27" s="1"/>
  <c r="AI23" i="27"/>
  <c r="C19" i="12"/>
  <c r="F19" i="12" s="1"/>
  <c r="AC24" i="27"/>
  <c r="AD24" i="27" s="1"/>
  <c r="AI24" i="27"/>
  <c r="AF24" i="27"/>
  <c r="AG24" i="27" s="1"/>
  <c r="AH24" i="27" s="1"/>
  <c r="AJ10" i="27"/>
  <c r="AJ14" i="27"/>
  <c r="AB21" i="27"/>
  <c r="AC22" i="27"/>
  <c r="AD22" i="27" s="1"/>
  <c r="AF22" i="27"/>
  <c r="AG22" i="27" s="1"/>
  <c r="AH22" i="27" s="1"/>
  <c r="AI22" i="27"/>
  <c r="AC37" i="27"/>
  <c r="AD37" i="27" s="1"/>
  <c r="AI37" i="27"/>
  <c r="AF37" i="27"/>
  <c r="AG37" i="27" s="1"/>
  <c r="AH37" i="27" s="1"/>
  <c r="G20" i="12"/>
  <c r="M36" i="27"/>
  <c r="I8" i="27"/>
  <c r="D18" i="12"/>
  <c r="AB14" i="27"/>
  <c r="M14" i="27"/>
  <c r="M21" i="27"/>
  <c r="E19" i="12"/>
  <c r="G19" i="12" s="1"/>
  <c r="AA35" i="27"/>
  <c r="AA9" i="27"/>
  <c r="L10" i="27"/>
  <c r="L9" i="27" s="1"/>
  <c r="AB9" i="27" s="1"/>
  <c r="E8" i="27"/>
  <c r="J9" i="27"/>
  <c r="AJ9" i="27" s="1"/>
  <c r="G18" i="12"/>
  <c r="AA36" i="27"/>
  <c r="AB37" i="27"/>
  <c r="K8" i="27"/>
  <c r="AO8" i="27" s="1"/>
  <c r="AA25" i="27"/>
  <c r="D8" i="27"/>
  <c r="AC33" i="27"/>
  <c r="AD33" i="27" s="1"/>
  <c r="M26" i="27"/>
  <c r="L36" i="27"/>
  <c r="AB39" i="27"/>
  <c r="AD39" i="27"/>
  <c r="AF14" i="27" l="1"/>
  <c r="AG14" i="27" s="1"/>
  <c r="AH14" i="27" s="1"/>
  <c r="AI14" i="27"/>
  <c r="AC21" i="27"/>
  <c r="AD21" i="27" s="1"/>
  <c r="AF21" i="27"/>
  <c r="AG21" i="27" s="1"/>
  <c r="AH21" i="27" s="1"/>
  <c r="AI21" i="27"/>
  <c r="AJ36" i="27"/>
  <c r="AF26" i="27"/>
  <c r="AI26" i="27"/>
  <c r="AF36" i="27"/>
  <c r="AG36" i="27" s="1"/>
  <c r="AH36" i="27" s="1"/>
  <c r="AI36" i="27"/>
  <c r="M35" i="27"/>
  <c r="AC36" i="27"/>
  <c r="C17" i="12"/>
  <c r="D17" i="12"/>
  <c r="X8" i="27"/>
  <c r="F18" i="12"/>
  <c r="E17" i="12"/>
  <c r="G17" i="12" s="1"/>
  <c r="F17" i="12"/>
  <c r="M10" i="27"/>
  <c r="AC14" i="27"/>
  <c r="AD14" i="27" s="1"/>
  <c r="Q8" i="27"/>
  <c r="AA8" i="27"/>
  <c r="AB10" i="27"/>
  <c r="I10" i="26"/>
  <c r="AC26" i="27"/>
  <c r="M25" i="27"/>
  <c r="AB36" i="27"/>
  <c r="L35" i="27"/>
  <c r="AD36" i="27"/>
  <c r="D18" i="25"/>
  <c r="H20" i="12" l="1"/>
  <c r="AF35" i="27"/>
  <c r="AI35" i="27"/>
  <c r="AG35" i="27"/>
  <c r="AH35" i="27" s="1"/>
  <c r="AJ35" i="27"/>
  <c r="AC35" i="27"/>
  <c r="H19" i="12"/>
  <c r="L19" i="12" s="1"/>
  <c r="AF25" i="27"/>
  <c r="AI25" i="27"/>
  <c r="AF10" i="27"/>
  <c r="AG10" i="27" s="1"/>
  <c r="AH10" i="27" s="1"/>
  <c r="AI10" i="27"/>
  <c r="I19" i="12"/>
  <c r="AC10" i="27"/>
  <c r="AD10" i="27" s="1"/>
  <c r="M9" i="27"/>
  <c r="AC25" i="27"/>
  <c r="AB35" i="27"/>
  <c r="AD35" i="27"/>
  <c r="C18" i="25"/>
  <c r="K20" i="25"/>
  <c r="K21" i="25"/>
  <c r="K22" i="25"/>
  <c r="K19" i="25"/>
  <c r="I18" i="25"/>
  <c r="K17" i="25"/>
  <c r="K16" i="25"/>
  <c r="K13" i="25"/>
  <c r="K12" i="25" s="1"/>
  <c r="J18" i="25"/>
  <c r="H18" i="25"/>
  <c r="G18" i="25"/>
  <c r="F18" i="25"/>
  <c r="E18" i="25"/>
  <c r="J15" i="25"/>
  <c r="J14" i="25" s="1"/>
  <c r="I15" i="25"/>
  <c r="I14" i="25" s="1"/>
  <c r="H15" i="25"/>
  <c r="H14" i="25" s="1"/>
  <c r="G15" i="25"/>
  <c r="G14" i="25" s="1"/>
  <c r="F15" i="25"/>
  <c r="F14" i="25" s="1"/>
  <c r="E15" i="25"/>
  <c r="E14" i="25" s="1"/>
  <c r="D15" i="25"/>
  <c r="D14" i="25" s="1"/>
  <c r="C15" i="25"/>
  <c r="C14" i="25" s="1"/>
  <c r="H12" i="25"/>
  <c r="F12" i="25"/>
  <c r="I12" i="25"/>
  <c r="E12" i="25"/>
  <c r="D12" i="25"/>
  <c r="C12" i="25"/>
  <c r="F6" i="25"/>
  <c r="K19" i="12" l="1"/>
  <c r="I20" i="12"/>
  <c r="K20" i="12"/>
  <c r="L20" i="12"/>
  <c r="M8" i="27"/>
  <c r="AE8" i="27" s="1"/>
  <c r="AI9" i="27"/>
  <c r="AF9" i="27"/>
  <c r="AG9" i="27" s="1"/>
  <c r="AH9" i="27" s="1"/>
  <c r="K15" i="25"/>
  <c r="K14" i="25" s="1"/>
  <c r="K18" i="25"/>
  <c r="AC9" i="27"/>
  <c r="AD9" i="27" s="1"/>
  <c r="H18" i="12"/>
  <c r="AC8" i="27"/>
  <c r="C11" i="25"/>
  <c r="I11" i="25"/>
  <c r="F11" i="25"/>
  <c r="G12" i="25"/>
  <c r="G11" i="25" s="1"/>
  <c r="D11" i="25"/>
  <c r="E11" i="25"/>
  <c r="J12" i="25"/>
  <c r="J11" i="25" s="1"/>
  <c r="S8" i="27" l="1"/>
  <c r="Y8" i="27"/>
  <c r="T8" i="27"/>
  <c r="V8" i="27"/>
  <c r="W8" i="27" s="1"/>
  <c r="AF8" i="27"/>
  <c r="AI8" i="27"/>
  <c r="K18" i="12"/>
  <c r="L18" i="12"/>
  <c r="I18" i="12"/>
  <c r="H17" i="12"/>
  <c r="H11" i="25"/>
  <c r="K11" i="25"/>
  <c r="I17" i="12" l="1"/>
  <c r="K17" i="12"/>
  <c r="L17" i="12"/>
  <c r="D22" i="23"/>
  <c r="E22" i="23"/>
  <c r="F22" i="23"/>
  <c r="G22" i="23"/>
  <c r="H22" i="23"/>
  <c r="I22" i="23"/>
  <c r="J22" i="23"/>
  <c r="I37" i="23"/>
  <c r="J37" i="23"/>
  <c r="E10" i="22" l="1"/>
  <c r="F10" i="22"/>
  <c r="G10" i="22"/>
  <c r="H10" i="22"/>
  <c r="I10" i="22"/>
  <c r="J10" i="22"/>
  <c r="K10" i="22"/>
  <c r="D10" i="22"/>
  <c r="D33" i="23" l="1"/>
  <c r="D21" i="23" s="1"/>
  <c r="G33" i="23"/>
  <c r="G21" i="23" s="1"/>
  <c r="I33" i="23"/>
  <c r="I21" i="23" s="1"/>
  <c r="J33" i="23"/>
  <c r="J21" i="23" s="1"/>
  <c r="C33" i="23"/>
  <c r="C22" i="23"/>
  <c r="C21" i="23" l="1"/>
  <c r="L38" i="23"/>
  <c r="C11" i="24" l="1"/>
  <c r="F11" i="24"/>
  <c r="H11" i="24"/>
  <c r="J11" i="24"/>
  <c r="E13" i="24"/>
  <c r="D13" i="24" s="1"/>
  <c r="E12" i="24"/>
  <c r="D12" i="24" s="1"/>
  <c r="D11" i="24" s="1"/>
  <c r="E6" i="24"/>
  <c r="G13" i="24"/>
  <c r="I13" i="24" s="1"/>
  <c r="G12" i="24"/>
  <c r="I12" i="24" s="1"/>
  <c r="D37" i="23"/>
  <c r="E37" i="23"/>
  <c r="F37" i="23"/>
  <c r="G37" i="23"/>
  <c r="H37" i="23"/>
  <c r="C37" i="23"/>
  <c r="K24" i="23"/>
  <c r="K25" i="23"/>
  <c r="I12" i="23"/>
  <c r="E12" i="23"/>
  <c r="D12" i="23"/>
  <c r="C12" i="23"/>
  <c r="K12" i="23"/>
  <c r="K38" i="23"/>
  <c r="K37" i="23" s="1"/>
  <c r="K36" i="23"/>
  <c r="K35" i="23"/>
  <c r="F34" i="23"/>
  <c r="E34" i="23"/>
  <c r="E33" i="23" s="1"/>
  <c r="E21" i="23" s="1"/>
  <c r="L23" i="23"/>
  <c r="K23" i="23"/>
  <c r="F15" i="23"/>
  <c r="H15" i="23" s="1"/>
  <c r="F13" i="23"/>
  <c r="F6" i="23"/>
  <c r="K22" i="23" l="1"/>
  <c r="I11" i="24"/>
  <c r="G11" i="24"/>
  <c r="E11" i="24"/>
  <c r="H34" i="23"/>
  <c r="F33" i="23"/>
  <c r="F21" i="23" s="1"/>
  <c r="F12" i="23"/>
  <c r="F11" i="23" s="1"/>
  <c r="C11" i="23"/>
  <c r="D11" i="23"/>
  <c r="I11" i="23"/>
  <c r="E11" i="23"/>
  <c r="G13" i="23"/>
  <c r="G15" i="23"/>
  <c r="K34" i="23" l="1"/>
  <c r="H33" i="23"/>
  <c r="H21" i="23" s="1"/>
  <c r="G12" i="23"/>
  <c r="G11" i="23" s="1"/>
  <c r="H13" i="23"/>
  <c r="H12" i="23" s="1"/>
  <c r="K33" i="23" l="1"/>
  <c r="K21" i="23" s="1"/>
  <c r="H11" i="23"/>
  <c r="J13" i="23"/>
  <c r="K11" i="23" l="1"/>
  <c r="J12" i="23"/>
  <c r="J11" i="23" s="1"/>
  <c r="B16" i="12" l="1"/>
  <c r="AC12" i="13" l="1"/>
  <c r="AD12" i="13" s="1"/>
  <c r="AC13" i="13"/>
  <c r="AD13" i="13" s="1"/>
  <c r="AC14" i="13"/>
  <c r="AD14" i="13" s="1"/>
  <c r="AC15" i="13"/>
  <c r="AD15" i="13" s="1"/>
  <c r="AC16" i="13"/>
  <c r="AD16" i="13" s="1"/>
  <c r="AC17" i="13"/>
  <c r="AD17" i="13" s="1"/>
  <c r="AC33" i="13"/>
  <c r="AD33" i="13" s="1"/>
  <c r="AC34" i="13"/>
  <c r="AD34" i="13" s="1"/>
  <c r="AC35" i="13"/>
  <c r="AD35" i="13" s="1"/>
  <c r="AC36" i="13"/>
  <c r="AD36" i="13" s="1"/>
  <c r="AB12" i="13"/>
  <c r="AB13" i="13"/>
  <c r="AB14" i="13"/>
  <c r="AB15" i="13"/>
  <c r="AB16" i="13"/>
  <c r="AB17" i="13"/>
  <c r="AB30" i="13"/>
  <c r="AB31" i="13"/>
  <c r="AB32" i="13"/>
  <c r="AB33" i="13"/>
  <c r="AB34" i="13"/>
  <c r="AB35" i="13"/>
  <c r="AB36" i="13"/>
  <c r="AA12" i="13"/>
  <c r="AA13" i="13"/>
  <c r="AA14" i="13"/>
  <c r="AA15" i="13"/>
  <c r="AA16" i="13"/>
  <c r="AA17" i="13"/>
  <c r="AA29" i="13"/>
  <c r="AA30" i="13"/>
  <c r="AA31" i="13"/>
  <c r="AA33" i="13"/>
  <c r="AA34" i="13"/>
  <c r="AA35" i="13"/>
  <c r="AA36" i="13"/>
  <c r="E19" i="13" l="1"/>
  <c r="AA19" i="13" s="1"/>
  <c r="E20" i="13"/>
  <c r="AA20" i="13" s="1"/>
  <c r="E21" i="13"/>
  <c r="AA21" i="13" s="1"/>
  <c r="E22" i="13"/>
  <c r="AA22" i="13" s="1"/>
  <c r="E23" i="13"/>
  <c r="AA23" i="13" s="1"/>
  <c r="E24" i="13"/>
  <c r="AA24" i="13" s="1"/>
  <c r="E25" i="13"/>
  <c r="AA25" i="13" s="1"/>
  <c r="E26" i="13"/>
  <c r="AA26" i="13" s="1"/>
  <c r="E27" i="13"/>
  <c r="AA27" i="13" s="1"/>
  <c r="E32" i="13"/>
  <c r="AA32" i="13" s="1"/>
  <c r="H11" i="10" l="1"/>
  <c r="H20" i="13"/>
  <c r="H21" i="13"/>
  <c r="H22" i="13"/>
  <c r="H24" i="13"/>
  <c r="H25" i="13"/>
  <c r="H26" i="13"/>
  <c r="H27" i="13"/>
  <c r="H19" i="13"/>
  <c r="G23" i="13"/>
  <c r="H23" i="13" s="1"/>
  <c r="E28" i="13" l="1"/>
  <c r="F28" i="13"/>
  <c r="G28" i="13"/>
  <c r="H28" i="13"/>
  <c r="I28" i="13"/>
  <c r="D28" i="13"/>
  <c r="E18" i="13"/>
  <c r="F18" i="13"/>
  <c r="G18" i="13"/>
  <c r="H18" i="13"/>
  <c r="I18" i="13"/>
  <c r="D18" i="13"/>
  <c r="AA28" i="13" l="1"/>
  <c r="E9" i="13"/>
  <c r="AA18" i="13"/>
  <c r="G9" i="13"/>
  <c r="F9" i="13"/>
  <c r="D9" i="13"/>
  <c r="I9" i="13"/>
  <c r="H9" i="13"/>
  <c r="K31" i="13"/>
  <c r="AC31" i="13" s="1"/>
  <c r="AD31" i="13" s="1"/>
  <c r="K30" i="13"/>
  <c r="AC30" i="13" s="1"/>
  <c r="AD30" i="13" s="1"/>
  <c r="O30" i="13"/>
  <c r="K29" i="13"/>
  <c r="J29" i="13"/>
  <c r="K28" i="13" l="1"/>
  <c r="AC28" i="13" s="1"/>
  <c r="AC29" i="13"/>
  <c r="AD29" i="13" s="1"/>
  <c r="AB29" i="13"/>
  <c r="AA9" i="13"/>
  <c r="O29" i="13"/>
  <c r="J28" i="13"/>
  <c r="Y29" i="13"/>
  <c r="Y30" i="13"/>
  <c r="Q30" i="13"/>
  <c r="Q29" i="13"/>
  <c r="AD28" i="13" l="1"/>
  <c r="AB28" i="13"/>
  <c r="L27" i="13"/>
  <c r="M27" i="13" s="1"/>
  <c r="K27" i="13"/>
  <c r="X27" i="13" s="1"/>
  <c r="J27" i="13"/>
  <c r="Y27" i="13" l="1"/>
  <c r="AB27" i="13"/>
  <c r="U27" i="13"/>
  <c r="V27" i="13" s="1"/>
  <c r="AC27" i="13"/>
  <c r="AD27" i="13" s="1"/>
  <c r="O27" i="13"/>
  <c r="S27" i="13"/>
  <c r="T27" i="13" s="1"/>
  <c r="W27" i="13"/>
  <c r="R27" i="13"/>
  <c r="P27" i="13"/>
  <c r="Q27" i="13"/>
  <c r="Y12" i="13" l="1"/>
  <c r="Y13" i="13"/>
  <c r="Y14" i="13"/>
  <c r="Y15" i="13"/>
  <c r="Y16" i="13"/>
  <c r="Y17" i="13"/>
  <c r="Y32" i="13"/>
  <c r="Y33" i="13"/>
  <c r="Y34" i="13"/>
  <c r="Y35" i="13"/>
  <c r="Y36" i="13"/>
  <c r="X12" i="13"/>
  <c r="X13" i="13"/>
  <c r="X14" i="13"/>
  <c r="X15" i="13"/>
  <c r="X16" i="13"/>
  <c r="X17" i="13"/>
  <c r="X33" i="13"/>
  <c r="X34" i="13"/>
  <c r="X35" i="13"/>
  <c r="X36" i="13"/>
  <c r="W12" i="13"/>
  <c r="W13" i="13"/>
  <c r="W14" i="13"/>
  <c r="W15" i="13"/>
  <c r="W16" i="13"/>
  <c r="W17" i="13"/>
  <c r="W33" i="13"/>
  <c r="W34" i="13"/>
  <c r="W35" i="13"/>
  <c r="W36" i="13"/>
  <c r="V36" i="13"/>
  <c r="U12" i="13"/>
  <c r="V12" i="13" s="1"/>
  <c r="U13" i="13"/>
  <c r="V13" i="13" s="1"/>
  <c r="U14" i="13"/>
  <c r="V14" i="13" s="1"/>
  <c r="U15" i="13"/>
  <c r="V15" i="13" s="1"/>
  <c r="U16" i="13"/>
  <c r="V16" i="13" s="1"/>
  <c r="U17" i="13"/>
  <c r="V17" i="13" s="1"/>
  <c r="U33" i="13"/>
  <c r="V33" i="13" s="1"/>
  <c r="U34" i="13"/>
  <c r="V34" i="13" s="1"/>
  <c r="U35" i="13"/>
  <c r="V35" i="13" s="1"/>
  <c r="A3" i="13" l="1"/>
  <c r="A3" i="11" s="1"/>
  <c r="A3" i="22"/>
  <c r="D10" i="11"/>
  <c r="D9" i="11" s="1"/>
  <c r="E10" i="11"/>
  <c r="E9" i="11" s="1"/>
  <c r="F10" i="11"/>
  <c r="F9" i="11" s="1"/>
  <c r="G10" i="11"/>
  <c r="G9" i="11" s="1"/>
  <c r="H10" i="11"/>
  <c r="H9" i="11" s="1"/>
  <c r="I10" i="11"/>
  <c r="I9" i="11" s="1"/>
  <c r="J10" i="11"/>
  <c r="K10" i="11"/>
  <c r="M11" i="11"/>
  <c r="N11" i="11"/>
  <c r="O11" i="11"/>
  <c r="P11" i="11"/>
  <c r="Q11" i="11" s="1"/>
  <c r="M12" i="11"/>
  <c r="N12" i="11"/>
  <c r="O12" i="11"/>
  <c r="P12" i="11"/>
  <c r="Q12" i="11" s="1"/>
  <c r="M13" i="11"/>
  <c r="N13" i="11"/>
  <c r="O13" i="11"/>
  <c r="P13" i="11"/>
  <c r="Q13" i="11" s="1"/>
  <c r="M14" i="11"/>
  <c r="N14" i="11"/>
  <c r="O14" i="11"/>
  <c r="P14" i="11"/>
  <c r="Q14" i="11" s="1"/>
  <c r="M15" i="11"/>
  <c r="N15" i="11"/>
  <c r="O15" i="11"/>
  <c r="P15" i="11"/>
  <c r="Q15" i="11" s="1"/>
  <c r="M16" i="11"/>
  <c r="N16" i="11"/>
  <c r="O16" i="11"/>
  <c r="P16" i="11"/>
  <c r="Q16" i="11" s="1"/>
  <c r="M17" i="11"/>
  <c r="N17" i="11"/>
  <c r="O17" i="11"/>
  <c r="P17" i="11"/>
  <c r="Q17" i="11" s="1"/>
  <c r="M18" i="11"/>
  <c r="N18" i="11"/>
  <c r="O18" i="11"/>
  <c r="P18" i="11"/>
  <c r="Q18" i="11" s="1"/>
  <c r="M19" i="11"/>
  <c r="N19" i="11"/>
  <c r="O19" i="11"/>
  <c r="P19" i="11"/>
  <c r="Q19" i="11" s="1"/>
  <c r="M20" i="11"/>
  <c r="N20" i="11"/>
  <c r="O20" i="11"/>
  <c r="P20" i="11"/>
  <c r="Q20" i="11" s="1"/>
  <c r="M21" i="11"/>
  <c r="N21" i="11"/>
  <c r="O21" i="11"/>
  <c r="P21" i="11"/>
  <c r="Q21" i="11" s="1"/>
  <c r="D23" i="11"/>
  <c r="D22" i="11" s="1"/>
  <c r="E23" i="11"/>
  <c r="E22" i="11" s="1"/>
  <c r="F23" i="11"/>
  <c r="F22" i="11" s="1"/>
  <c r="G23" i="11"/>
  <c r="G22" i="11" s="1"/>
  <c r="H23" i="11"/>
  <c r="H22" i="11" s="1"/>
  <c r="I23" i="11"/>
  <c r="I22" i="11" s="1"/>
  <c r="J23" i="11"/>
  <c r="J22" i="11" s="1"/>
  <c r="K23" i="11"/>
  <c r="K22" i="11" s="1"/>
  <c r="M24" i="11"/>
  <c r="N24" i="11"/>
  <c r="O24" i="11"/>
  <c r="P24" i="11"/>
  <c r="Q24" i="11" s="1"/>
  <c r="M25" i="11"/>
  <c r="N25" i="11"/>
  <c r="O25" i="11"/>
  <c r="P25" i="11"/>
  <c r="Q25" i="11" s="1"/>
  <c r="M26" i="11"/>
  <c r="N26" i="11"/>
  <c r="O26" i="11"/>
  <c r="P26" i="11"/>
  <c r="Q26" i="11" s="1"/>
  <c r="M27" i="11"/>
  <c r="N27" i="11"/>
  <c r="O27" i="11"/>
  <c r="P27" i="11"/>
  <c r="Q27" i="11" s="1"/>
  <c r="M28" i="11"/>
  <c r="N28" i="11"/>
  <c r="O28" i="11"/>
  <c r="P28" i="11"/>
  <c r="Q28" i="11" s="1"/>
  <c r="M29" i="11"/>
  <c r="N29" i="11"/>
  <c r="O29" i="11"/>
  <c r="P29" i="11"/>
  <c r="Q29" i="11" s="1"/>
  <c r="M30" i="11"/>
  <c r="N30" i="11"/>
  <c r="O30" i="11"/>
  <c r="P30" i="11"/>
  <c r="Q30" i="11" s="1"/>
  <c r="M31" i="11"/>
  <c r="N31" i="11"/>
  <c r="O31" i="11"/>
  <c r="P31" i="11"/>
  <c r="Q31" i="11" s="1"/>
  <c r="M32" i="11"/>
  <c r="N32" i="11"/>
  <c r="O32" i="11"/>
  <c r="P32" i="11"/>
  <c r="Q32" i="11" s="1"/>
  <c r="M33" i="11"/>
  <c r="N33" i="11"/>
  <c r="O33" i="11"/>
  <c r="P33" i="11"/>
  <c r="Q33" i="11" s="1"/>
  <c r="M10" i="11" l="1"/>
  <c r="A3" i="25"/>
  <c r="A3" i="23"/>
  <c r="A3" i="24"/>
  <c r="P22" i="11"/>
  <c r="Q22" i="11" s="1"/>
  <c r="N22" i="11"/>
  <c r="P10" i="11"/>
  <c r="Q10" i="11" s="1"/>
  <c r="I8" i="11"/>
  <c r="D8" i="11"/>
  <c r="K9" i="11"/>
  <c r="P9" i="11" s="1"/>
  <c r="P23" i="11"/>
  <c r="Q23" i="11" s="1"/>
  <c r="O10" i="11"/>
  <c r="F8" i="11"/>
  <c r="N10" i="11"/>
  <c r="O22" i="11"/>
  <c r="O23" i="11"/>
  <c r="G8" i="11"/>
  <c r="O9" i="11"/>
  <c r="E8" i="11"/>
  <c r="M22" i="11"/>
  <c r="H8" i="11"/>
  <c r="N23" i="11"/>
  <c r="M23" i="11"/>
  <c r="J9" i="11"/>
  <c r="N15" i="14"/>
  <c r="K8" i="11" l="1"/>
  <c r="P8" i="11" s="1"/>
  <c r="O8" i="11"/>
  <c r="Q9" i="11"/>
  <c r="J8" i="11"/>
  <c r="N8" i="11" s="1"/>
  <c r="N9" i="11"/>
  <c r="M9" i="11"/>
  <c r="R27" i="14"/>
  <c r="S27" i="14" s="1"/>
  <c r="R35" i="14"/>
  <c r="S35" i="14" s="1"/>
  <c r="R60" i="14"/>
  <c r="R61" i="14"/>
  <c r="S61" i="14" s="1"/>
  <c r="R62" i="14"/>
  <c r="S62" i="14" s="1"/>
  <c r="R76" i="14"/>
  <c r="S12" i="13"/>
  <c r="T12" i="13" s="1"/>
  <c r="S13" i="13"/>
  <c r="T13" i="13" s="1"/>
  <c r="S14" i="13"/>
  <c r="T14" i="13" s="1"/>
  <c r="S15" i="13"/>
  <c r="T15" i="13" s="1"/>
  <c r="S16" i="13"/>
  <c r="T16" i="13" s="1"/>
  <c r="S17" i="13"/>
  <c r="T17" i="13" s="1"/>
  <c r="Q61" i="14"/>
  <c r="Q62" i="14"/>
  <c r="P12" i="14"/>
  <c r="P13" i="14"/>
  <c r="P14" i="14"/>
  <c r="P15" i="14"/>
  <c r="P16" i="14"/>
  <c r="P17" i="14"/>
  <c r="P18" i="14"/>
  <c r="P19" i="14"/>
  <c r="P20" i="14"/>
  <c r="P21" i="14"/>
  <c r="P22" i="14"/>
  <c r="P23" i="14"/>
  <c r="P24" i="14"/>
  <c r="P25" i="14"/>
  <c r="P26" i="14"/>
  <c r="P27" i="14"/>
  <c r="P28" i="14"/>
  <c r="P29" i="14"/>
  <c r="P30" i="14"/>
  <c r="P31" i="14"/>
  <c r="P32" i="14"/>
  <c r="P33" i="14"/>
  <c r="P34" i="14"/>
  <c r="P35" i="14"/>
  <c r="P36" i="14"/>
  <c r="P37" i="14"/>
  <c r="P40" i="14"/>
  <c r="P50" i="14"/>
  <c r="P52" i="14"/>
  <c r="P53" i="14"/>
  <c r="P54" i="14"/>
  <c r="P60" i="14"/>
  <c r="P61" i="14"/>
  <c r="P62" i="14"/>
  <c r="O61" i="14"/>
  <c r="O62" i="14"/>
  <c r="N12" i="14"/>
  <c r="N13" i="14"/>
  <c r="N14" i="14"/>
  <c r="N16" i="14"/>
  <c r="N17" i="14"/>
  <c r="N18" i="14"/>
  <c r="N19" i="14"/>
  <c r="N20" i="14"/>
  <c r="N21" i="14"/>
  <c r="N22" i="14"/>
  <c r="N23" i="14"/>
  <c r="N24" i="14"/>
  <c r="N25" i="14"/>
  <c r="N26" i="14"/>
  <c r="N27" i="14"/>
  <c r="N28" i="14"/>
  <c r="N29" i="14"/>
  <c r="N30" i="14"/>
  <c r="N31" i="14"/>
  <c r="N32" i="14"/>
  <c r="N33" i="14"/>
  <c r="N34" i="14"/>
  <c r="N35" i="14"/>
  <c r="N36" i="14"/>
  <c r="N37" i="14"/>
  <c r="N40" i="14"/>
  <c r="N45" i="14"/>
  <c r="N50" i="14"/>
  <c r="N51" i="14"/>
  <c r="N52" i="14"/>
  <c r="N53" i="14"/>
  <c r="N54" i="14"/>
  <c r="N61" i="14"/>
  <c r="N62" i="14"/>
  <c r="N69" i="14"/>
  <c r="N70" i="14"/>
  <c r="R12" i="13"/>
  <c r="R13" i="13"/>
  <c r="R14" i="13"/>
  <c r="R15" i="13"/>
  <c r="R16" i="13"/>
  <c r="R17" i="13"/>
  <c r="Q12" i="13"/>
  <c r="Q13" i="13"/>
  <c r="Q14" i="13"/>
  <c r="Q15" i="13"/>
  <c r="Q16" i="13"/>
  <c r="Q17" i="13"/>
  <c r="Q32" i="13"/>
  <c r="P12" i="13"/>
  <c r="P13" i="13"/>
  <c r="P14" i="13"/>
  <c r="P15" i="13"/>
  <c r="P16" i="13"/>
  <c r="P17" i="13"/>
  <c r="O12" i="13"/>
  <c r="O13" i="13"/>
  <c r="O14" i="13"/>
  <c r="O15" i="13"/>
  <c r="O16" i="13"/>
  <c r="O17" i="13"/>
  <c r="O32" i="13"/>
  <c r="M8" i="11" l="1"/>
  <c r="Q8" i="11"/>
  <c r="H8" i="15" l="1"/>
  <c r="E82" i="14" l="1"/>
  <c r="F83" i="14"/>
  <c r="F81" i="14" s="1"/>
  <c r="F73" i="14"/>
  <c r="F72" i="14" s="1"/>
  <c r="E75" i="14"/>
  <c r="E76" i="14"/>
  <c r="E77" i="14"/>
  <c r="E78" i="14"/>
  <c r="E74" i="14"/>
  <c r="F65" i="14"/>
  <c r="E65" i="14" s="1"/>
  <c r="E67" i="14"/>
  <c r="E68" i="14"/>
  <c r="E69" i="14"/>
  <c r="E70" i="14"/>
  <c r="E71" i="14"/>
  <c r="E66" i="14"/>
  <c r="F48" i="14"/>
  <c r="F47" i="14" s="1"/>
  <c r="G48" i="14"/>
  <c r="G47" i="14" s="1"/>
  <c r="G46" i="14" s="1"/>
  <c r="E50" i="14"/>
  <c r="E51" i="14"/>
  <c r="E52" i="14"/>
  <c r="E53" i="14"/>
  <c r="E54" i="14"/>
  <c r="E55" i="14"/>
  <c r="E56" i="14"/>
  <c r="E57" i="14"/>
  <c r="E58" i="14"/>
  <c r="E59" i="14"/>
  <c r="E49" i="14"/>
  <c r="F39" i="14"/>
  <c r="E39" i="14" s="1"/>
  <c r="E41" i="14"/>
  <c r="E42" i="14"/>
  <c r="E43" i="14"/>
  <c r="E44" i="14"/>
  <c r="E45" i="14"/>
  <c r="E40" i="14"/>
  <c r="G11" i="14"/>
  <c r="G10" i="14" s="1"/>
  <c r="G9" i="14" s="1"/>
  <c r="E13" i="14"/>
  <c r="E15" i="14"/>
  <c r="E16" i="14"/>
  <c r="E17" i="14"/>
  <c r="E18" i="14"/>
  <c r="E20" i="14"/>
  <c r="E21" i="14"/>
  <c r="E22" i="14"/>
  <c r="E23" i="14"/>
  <c r="E24" i="14"/>
  <c r="E25" i="14"/>
  <c r="E26" i="14"/>
  <c r="E27" i="14"/>
  <c r="E28" i="14"/>
  <c r="E29" i="14"/>
  <c r="E30" i="14"/>
  <c r="E31" i="14"/>
  <c r="E32" i="14"/>
  <c r="E33" i="14"/>
  <c r="E34" i="14"/>
  <c r="E35" i="14"/>
  <c r="E36" i="14"/>
  <c r="E37" i="14"/>
  <c r="E12" i="14"/>
  <c r="F19" i="14"/>
  <c r="E19" i="14" s="1"/>
  <c r="F14" i="14"/>
  <c r="E11" i="13"/>
  <c r="E11" i="10"/>
  <c r="E12" i="10"/>
  <c r="E13" i="10"/>
  <c r="E14" i="10"/>
  <c r="E10" i="10"/>
  <c r="O10" i="10" s="1"/>
  <c r="E14" i="15"/>
  <c r="S14" i="15" s="1"/>
  <c r="E15" i="15"/>
  <c r="S15" i="15" s="1"/>
  <c r="E16" i="15"/>
  <c r="S16" i="15" s="1"/>
  <c r="O14" i="10" l="1"/>
  <c r="O13" i="10"/>
  <c r="O12" i="10"/>
  <c r="O11" i="10"/>
  <c r="E13" i="15"/>
  <c r="K26" i="15"/>
  <c r="P26" i="15" s="1"/>
  <c r="K20" i="15"/>
  <c r="P20" i="15" s="1"/>
  <c r="K19" i="15"/>
  <c r="P19" i="15" s="1"/>
  <c r="K21" i="15"/>
  <c r="P21" i="15" s="1"/>
  <c r="K17" i="15"/>
  <c r="P17" i="15" s="1"/>
  <c r="K10" i="15"/>
  <c r="P10" i="15" s="1"/>
  <c r="E9" i="15"/>
  <c r="S9" i="15" s="1"/>
  <c r="E9" i="10"/>
  <c r="O9" i="10" s="1"/>
  <c r="K16" i="15"/>
  <c r="P16" i="15" s="1"/>
  <c r="K23" i="15"/>
  <c r="W26" i="13"/>
  <c r="F11" i="14"/>
  <c r="F10" i="14" s="1"/>
  <c r="W24" i="13"/>
  <c r="W23" i="13"/>
  <c r="W32" i="13"/>
  <c r="W25" i="13"/>
  <c r="W22" i="13"/>
  <c r="W21" i="13"/>
  <c r="W31" i="13"/>
  <c r="W19" i="13"/>
  <c r="W20" i="13"/>
  <c r="O28" i="14"/>
  <c r="O27" i="14"/>
  <c r="Q27" i="14"/>
  <c r="O71" i="14"/>
  <c r="O77" i="14"/>
  <c r="P24" i="13"/>
  <c r="O69" i="14"/>
  <c r="O82" i="14"/>
  <c r="O66" i="14"/>
  <c r="P25" i="13"/>
  <c r="O24" i="14"/>
  <c r="O70" i="14"/>
  <c r="Q35" i="14"/>
  <c r="O35" i="14"/>
  <c r="O23" i="14"/>
  <c r="P23" i="13"/>
  <c r="O22" i="14"/>
  <c r="O40" i="14"/>
  <c r="F64" i="14"/>
  <c r="E64" i="14" s="1"/>
  <c r="O49" i="14"/>
  <c r="K18" i="15"/>
  <c r="P18" i="15" s="1"/>
  <c r="K25" i="15"/>
  <c r="P25" i="15" s="1"/>
  <c r="O21" i="14"/>
  <c r="O45" i="14"/>
  <c r="O54" i="14"/>
  <c r="E14" i="14"/>
  <c r="P31" i="13"/>
  <c r="O13" i="14"/>
  <c r="P26" i="13"/>
  <c r="P21" i="13"/>
  <c r="O20" i="14"/>
  <c r="O44" i="14"/>
  <c r="O53" i="14"/>
  <c r="F38" i="14"/>
  <c r="E38" i="14" s="1"/>
  <c r="Q76" i="14"/>
  <c r="O76" i="14"/>
  <c r="O26" i="14"/>
  <c r="O25" i="14"/>
  <c r="P20" i="13"/>
  <c r="O18" i="14"/>
  <c r="O43" i="14"/>
  <c r="O52" i="14"/>
  <c r="P22" i="13"/>
  <c r="P32" i="13"/>
  <c r="O42" i="14"/>
  <c r="O51" i="14"/>
  <c r="O74" i="14"/>
  <c r="P19" i="13"/>
  <c r="O12" i="14"/>
  <c r="O16" i="14"/>
  <c r="O41" i="14"/>
  <c r="O50" i="14"/>
  <c r="O78" i="14"/>
  <c r="G8" i="14"/>
  <c r="F46" i="14"/>
  <c r="E46" i="14" s="1"/>
  <c r="E47" i="14"/>
  <c r="F80" i="14"/>
  <c r="E81" i="14"/>
  <c r="E48" i="14"/>
  <c r="E73" i="14"/>
  <c r="E83" i="14"/>
  <c r="J20" i="13"/>
  <c r="J21" i="13"/>
  <c r="J22" i="13"/>
  <c r="J23" i="13"/>
  <c r="J24" i="13"/>
  <c r="J25" i="13"/>
  <c r="J26" i="13"/>
  <c r="Y31" i="13"/>
  <c r="J19" i="13"/>
  <c r="P23" i="15" l="1"/>
  <c r="Q23" i="15" s="1"/>
  <c r="R23" i="15" s="1"/>
  <c r="V23" i="15"/>
  <c r="K9" i="15"/>
  <c r="P9" i="15" s="1"/>
  <c r="C16" i="12"/>
  <c r="L16" i="15"/>
  <c r="V16" i="15" s="1"/>
  <c r="E11" i="14"/>
  <c r="Y25" i="13"/>
  <c r="AB25" i="13"/>
  <c r="Y20" i="13"/>
  <c r="AB20" i="13"/>
  <c r="Y21" i="13"/>
  <c r="AB21" i="13"/>
  <c r="Y26" i="13"/>
  <c r="AB26" i="13"/>
  <c r="Y24" i="13"/>
  <c r="AB24" i="13"/>
  <c r="Y23" i="13"/>
  <c r="AB23" i="13"/>
  <c r="Y22" i="13"/>
  <c r="AB22" i="13"/>
  <c r="AB19" i="13"/>
  <c r="Y19" i="13"/>
  <c r="J18" i="13"/>
  <c r="E10" i="13"/>
  <c r="Q31" i="13"/>
  <c r="O31" i="13"/>
  <c r="Q19" i="13"/>
  <c r="O19" i="13"/>
  <c r="O25" i="13"/>
  <c r="Q25" i="13"/>
  <c r="O24" i="13"/>
  <c r="Q24" i="13"/>
  <c r="O23" i="13"/>
  <c r="Q23" i="13"/>
  <c r="O83" i="14"/>
  <c r="Q26" i="13"/>
  <c r="O26" i="13"/>
  <c r="F63" i="14"/>
  <c r="E63" i="14" s="1"/>
  <c r="Q22" i="13"/>
  <c r="O22" i="13"/>
  <c r="O21" i="13"/>
  <c r="Q21" i="13"/>
  <c r="O20" i="13"/>
  <c r="Q20" i="13"/>
  <c r="F9" i="14"/>
  <c r="E9" i="14" s="1"/>
  <c r="E80" i="14"/>
  <c r="F79" i="14"/>
  <c r="E79" i="14" s="1"/>
  <c r="L20" i="13"/>
  <c r="M20" i="13" s="1"/>
  <c r="L21" i="13"/>
  <c r="M21" i="13" s="1"/>
  <c r="L22" i="13"/>
  <c r="M22" i="13" s="1"/>
  <c r="L23" i="13"/>
  <c r="M23" i="13" s="1"/>
  <c r="L24" i="13"/>
  <c r="M24" i="13" s="1"/>
  <c r="L25" i="13"/>
  <c r="M25" i="13" s="1"/>
  <c r="L26" i="13"/>
  <c r="M26" i="13" s="1"/>
  <c r="L31" i="13"/>
  <c r="M31" i="13" s="1"/>
  <c r="L19" i="13"/>
  <c r="M19" i="13" s="1"/>
  <c r="K32" i="13"/>
  <c r="AC32" i="13" s="1"/>
  <c r="AD32" i="13" s="1"/>
  <c r="N8" i="15"/>
  <c r="Q16" i="15" l="1"/>
  <c r="R16" i="15" s="1"/>
  <c r="T16" i="15"/>
  <c r="C15" i="12"/>
  <c r="J9" i="13"/>
  <c r="AB18" i="13"/>
  <c r="U32" i="13"/>
  <c r="X32" i="13"/>
  <c r="F8" i="14"/>
  <c r="E8" i="14" s="1"/>
  <c r="S32" i="13"/>
  <c r="T32" i="13" s="1"/>
  <c r="R32" i="13"/>
  <c r="L18" i="13"/>
  <c r="L10" i="13" s="1"/>
  <c r="L9" i="13" s="1"/>
  <c r="M18" i="13"/>
  <c r="M10" i="13" s="1"/>
  <c r="M9" i="13" s="1"/>
  <c r="AB9" i="13" l="1"/>
  <c r="K71" i="14"/>
  <c r="J68" i="14"/>
  <c r="O68" i="14" s="1"/>
  <c r="I68" i="14"/>
  <c r="N71" i="14" l="1"/>
  <c r="P71" i="14"/>
  <c r="L22" i="14"/>
  <c r="R22" i="14" l="1"/>
  <c r="S22" i="14" s="1"/>
  <c r="Q22" i="14"/>
  <c r="L59" i="14"/>
  <c r="L58" i="14"/>
  <c r="L57" i="14"/>
  <c r="L56" i="14"/>
  <c r="L37" i="14"/>
  <c r="L36" i="14"/>
  <c r="L34" i="14"/>
  <c r="L33" i="14"/>
  <c r="L32" i="14"/>
  <c r="L31" i="14"/>
  <c r="L30" i="14"/>
  <c r="L29" i="14"/>
  <c r="L28" i="14"/>
  <c r="L26" i="14"/>
  <c r="L25" i="14"/>
  <c r="L24" i="14"/>
  <c r="L23" i="14"/>
  <c r="L21" i="14"/>
  <c r="L20" i="14"/>
  <c r="L18" i="14"/>
  <c r="L17" i="14"/>
  <c r="L16" i="14"/>
  <c r="L15" i="14"/>
  <c r="L13" i="14"/>
  <c r="L12" i="14"/>
  <c r="L45" i="14"/>
  <c r="L44" i="14"/>
  <c r="L43" i="14"/>
  <c r="L42" i="14"/>
  <c r="L41" i="14"/>
  <c r="L40" i="14"/>
  <c r="L55" i="14"/>
  <c r="L54" i="14"/>
  <c r="L53" i="14"/>
  <c r="L52" i="14"/>
  <c r="L51" i="14"/>
  <c r="L50" i="14"/>
  <c r="L49" i="14"/>
  <c r="L71" i="14"/>
  <c r="L70" i="14"/>
  <c r="L69" i="14"/>
  <c r="L68" i="14"/>
  <c r="L67" i="14"/>
  <c r="L66" i="14"/>
  <c r="L78" i="14"/>
  <c r="L77" i="14"/>
  <c r="L75" i="14"/>
  <c r="L74" i="14"/>
  <c r="L82" i="14"/>
  <c r="J14" i="10"/>
  <c r="N14" i="10" s="1"/>
  <c r="J12" i="10"/>
  <c r="J13" i="10"/>
  <c r="K26" i="13"/>
  <c r="AC26" i="13" s="1"/>
  <c r="AD26" i="13" s="1"/>
  <c r="K25" i="13"/>
  <c r="AC25" i="13" s="1"/>
  <c r="AD25" i="13" s="1"/>
  <c r="K24" i="13"/>
  <c r="AC24" i="13" s="1"/>
  <c r="AD24" i="13" s="1"/>
  <c r="K23" i="13"/>
  <c r="AC23" i="13" s="1"/>
  <c r="AD23" i="13" s="1"/>
  <c r="K22" i="13"/>
  <c r="AC22" i="13" s="1"/>
  <c r="AD22" i="13" s="1"/>
  <c r="K21" i="13"/>
  <c r="AC21" i="13" s="1"/>
  <c r="AD21" i="13" s="1"/>
  <c r="K20" i="13"/>
  <c r="AC20" i="13" s="1"/>
  <c r="AD20" i="13" s="1"/>
  <c r="K19" i="13"/>
  <c r="AC19" i="13" s="1"/>
  <c r="AD19" i="13" s="1"/>
  <c r="K11" i="13"/>
  <c r="I49" i="14"/>
  <c r="I45" i="14"/>
  <c r="P45" i="14" s="1"/>
  <c r="I44" i="14"/>
  <c r="H83" i="14"/>
  <c r="H82" i="14"/>
  <c r="N12" i="10" l="1"/>
  <c r="P12" i="10"/>
  <c r="N13" i="10"/>
  <c r="P13" i="10"/>
  <c r="K18" i="13"/>
  <c r="U31" i="13"/>
  <c r="V31" i="13" s="1"/>
  <c r="X31" i="13"/>
  <c r="U21" i="13"/>
  <c r="V21" i="13" s="1"/>
  <c r="X21" i="13"/>
  <c r="U20" i="13"/>
  <c r="V20" i="13" s="1"/>
  <c r="X20" i="13"/>
  <c r="U24" i="13"/>
  <c r="V24" i="13" s="1"/>
  <c r="X24" i="13"/>
  <c r="U19" i="13"/>
  <c r="V19" i="13" s="1"/>
  <c r="X19" i="13"/>
  <c r="U25" i="13"/>
  <c r="V25" i="13" s="1"/>
  <c r="X25" i="13"/>
  <c r="U22" i="13"/>
  <c r="V22" i="13" s="1"/>
  <c r="X22" i="13"/>
  <c r="U23" i="13"/>
  <c r="V23" i="13" s="1"/>
  <c r="X23" i="13"/>
  <c r="X11" i="13"/>
  <c r="U26" i="13"/>
  <c r="V26" i="13" s="1"/>
  <c r="X26" i="13"/>
  <c r="R77" i="14"/>
  <c r="Q77" i="14"/>
  <c r="Q31" i="14"/>
  <c r="R54" i="14"/>
  <c r="S54" i="14" s="1"/>
  <c r="Q54" i="14"/>
  <c r="R18" i="14"/>
  <c r="S18" i="14" s="1"/>
  <c r="Q18" i="14"/>
  <c r="R40" i="14"/>
  <c r="S40" i="14" s="1"/>
  <c r="Q40" i="14"/>
  <c r="R68" i="14"/>
  <c r="Q68" i="14"/>
  <c r="R41" i="14"/>
  <c r="Q41" i="14"/>
  <c r="R21" i="14"/>
  <c r="S21" i="14" s="1"/>
  <c r="Q21" i="14"/>
  <c r="Q36" i="14"/>
  <c r="Q32" i="14"/>
  <c r="Q37" i="14"/>
  <c r="S26" i="13"/>
  <c r="T26" i="13" s="1"/>
  <c r="R26" i="13"/>
  <c r="R24" i="14"/>
  <c r="S24" i="14" s="1"/>
  <c r="Q24" i="14"/>
  <c r="Q56" i="14"/>
  <c r="R53" i="14"/>
  <c r="S53" i="14" s="1"/>
  <c r="Q53" i="14"/>
  <c r="Q17" i="14"/>
  <c r="S31" i="13"/>
  <c r="T31" i="13" s="1"/>
  <c r="R31" i="13"/>
  <c r="R69" i="14"/>
  <c r="S69" i="14" s="1"/>
  <c r="Q69" i="14"/>
  <c r="R23" i="14"/>
  <c r="S23" i="14" s="1"/>
  <c r="Q23" i="14"/>
  <c r="S19" i="13"/>
  <c r="T19" i="13" s="1"/>
  <c r="R19" i="13"/>
  <c r="R70" i="14"/>
  <c r="S70" i="14" s="1"/>
  <c r="Q70" i="14"/>
  <c r="S20" i="13"/>
  <c r="T20" i="13" s="1"/>
  <c r="R20" i="13"/>
  <c r="R71" i="14"/>
  <c r="S71" i="14" s="1"/>
  <c r="Q71" i="14"/>
  <c r="R44" i="14"/>
  <c r="Q44" i="14"/>
  <c r="R25" i="14"/>
  <c r="S25" i="14" s="1"/>
  <c r="Q25" i="14"/>
  <c r="Q57" i="14"/>
  <c r="S21" i="13"/>
  <c r="T21" i="13" s="1"/>
  <c r="R21" i="13"/>
  <c r="E14" i="12"/>
  <c r="R49" i="14"/>
  <c r="Q49" i="14"/>
  <c r="R45" i="14"/>
  <c r="S45" i="14" s="1"/>
  <c r="Q45" i="14"/>
  <c r="R26" i="14"/>
  <c r="S26" i="14" s="1"/>
  <c r="Q26" i="14"/>
  <c r="Q58" i="14"/>
  <c r="R16" i="14"/>
  <c r="S16" i="14" s="1"/>
  <c r="Q16" i="14"/>
  <c r="Q55" i="14"/>
  <c r="Q34" i="14"/>
  <c r="R42" i="14"/>
  <c r="Q42" i="14"/>
  <c r="R43" i="14"/>
  <c r="Q43" i="14"/>
  <c r="S22" i="13"/>
  <c r="T22" i="13" s="1"/>
  <c r="R22" i="13"/>
  <c r="R82" i="14"/>
  <c r="Q82" i="14"/>
  <c r="R50" i="14"/>
  <c r="S50" i="14" s="1"/>
  <c r="Q50" i="14"/>
  <c r="R12" i="14"/>
  <c r="S12" i="14" s="1"/>
  <c r="Q12" i="14"/>
  <c r="R28" i="14"/>
  <c r="S28" i="14" s="1"/>
  <c r="Q28" i="14"/>
  <c r="Q59" i="14"/>
  <c r="R11" i="13"/>
  <c r="S25" i="13"/>
  <c r="T25" i="13" s="1"/>
  <c r="R25" i="13"/>
  <c r="R78" i="14"/>
  <c r="Q78" i="14"/>
  <c r="R66" i="14"/>
  <c r="Q66" i="14"/>
  <c r="Q33" i="14"/>
  <c r="Q67" i="14"/>
  <c r="R20" i="14"/>
  <c r="S20" i="14" s="1"/>
  <c r="Q20" i="14"/>
  <c r="S23" i="13"/>
  <c r="T23" i="13" s="1"/>
  <c r="R23" i="13"/>
  <c r="R74" i="14"/>
  <c r="Q74" i="14"/>
  <c r="R51" i="14"/>
  <c r="S51" i="14" s="1"/>
  <c r="Q51" i="14"/>
  <c r="R13" i="14"/>
  <c r="S13" i="14" s="1"/>
  <c r="Q13" i="14"/>
  <c r="Q29" i="14"/>
  <c r="S24" i="13"/>
  <c r="T24" i="13" s="1"/>
  <c r="R24" i="13"/>
  <c r="Q75" i="14"/>
  <c r="R52" i="14"/>
  <c r="S52" i="14" s="1"/>
  <c r="Q52" i="14"/>
  <c r="Q15" i="14"/>
  <c r="Q30" i="14"/>
  <c r="L47" i="14"/>
  <c r="L73" i="14"/>
  <c r="L65" i="14"/>
  <c r="L48" i="14"/>
  <c r="L39" i="14"/>
  <c r="L64" i="14"/>
  <c r="K9" i="13" l="1"/>
  <c r="AC9" i="13" s="1"/>
  <c r="AD9" i="13" s="1"/>
  <c r="AC18" i="13"/>
  <c r="AD18" i="13" s="1"/>
  <c r="X18" i="13"/>
  <c r="Q64" i="14"/>
  <c r="L72" i="14"/>
  <c r="Q73" i="14"/>
  <c r="L46" i="14"/>
  <c r="Q47" i="14"/>
  <c r="Q48" i="14"/>
  <c r="L38" i="14"/>
  <c r="Q39" i="14"/>
  <c r="Q65" i="14"/>
  <c r="K10" i="13"/>
  <c r="R18" i="13"/>
  <c r="F13" i="15"/>
  <c r="I13" i="15"/>
  <c r="D13" i="12" s="1"/>
  <c r="J13" i="15"/>
  <c r="U13" i="15" s="1"/>
  <c r="D13" i="15"/>
  <c r="D16" i="12"/>
  <c r="E16" i="12"/>
  <c r="H16" i="12"/>
  <c r="K16" i="12" s="1"/>
  <c r="M13" i="15"/>
  <c r="S13" i="15" l="1"/>
  <c r="L16" i="12"/>
  <c r="D15" i="12"/>
  <c r="F16" i="12"/>
  <c r="H15" i="12"/>
  <c r="K15" i="12" s="1"/>
  <c r="I16" i="12"/>
  <c r="E15" i="12"/>
  <c r="G15" i="12" s="1"/>
  <c r="G16" i="12"/>
  <c r="H13" i="12"/>
  <c r="L13" i="12" s="1"/>
  <c r="H14" i="12"/>
  <c r="X10" i="13"/>
  <c r="C13" i="12"/>
  <c r="R10" i="13"/>
  <c r="Q38" i="14"/>
  <c r="Q46" i="14"/>
  <c r="L63" i="14"/>
  <c r="M8" i="15"/>
  <c r="J10" i="10"/>
  <c r="L10" i="15"/>
  <c r="V10" i="15" s="1"/>
  <c r="Q10" i="15" l="1"/>
  <c r="R10" i="15" s="1"/>
  <c r="T10" i="15"/>
  <c r="N10" i="10"/>
  <c r="P10" i="10"/>
  <c r="K13" i="12"/>
  <c r="F15" i="12"/>
  <c r="L15" i="12"/>
  <c r="I15" i="12"/>
  <c r="Q19" i="12"/>
  <c r="L9" i="15"/>
  <c r="V9" i="15" s="1"/>
  <c r="F13" i="12"/>
  <c r="H12" i="12"/>
  <c r="E8" i="15"/>
  <c r="S8" i="15" s="1"/>
  <c r="I13" i="12"/>
  <c r="X9" i="13"/>
  <c r="Q63" i="14"/>
  <c r="R9" i="13"/>
  <c r="J17" i="14"/>
  <c r="Q9" i="15" l="1"/>
  <c r="R9" i="15" s="1"/>
  <c r="T9" i="15"/>
  <c r="H11" i="12"/>
  <c r="L11" i="12" s="1"/>
  <c r="Q8" i="12"/>
  <c r="Q13" i="12"/>
  <c r="O17" i="14"/>
  <c r="R17" i="14"/>
  <c r="S17" i="14" s="1"/>
  <c r="K78" i="14"/>
  <c r="K77" i="14"/>
  <c r="K76" i="14"/>
  <c r="K44" i="14"/>
  <c r="K43" i="14"/>
  <c r="K42" i="14"/>
  <c r="K41" i="14"/>
  <c r="P41" i="14" l="1"/>
  <c r="S41" i="14"/>
  <c r="N41" i="14"/>
  <c r="P42" i="14"/>
  <c r="S42" i="14"/>
  <c r="N42" i="14"/>
  <c r="N76" i="14"/>
  <c r="S76" i="14"/>
  <c r="P76" i="14"/>
  <c r="S44" i="14"/>
  <c r="N44" i="14"/>
  <c r="P44" i="14"/>
  <c r="P43" i="14"/>
  <c r="S43" i="14"/>
  <c r="N43" i="14"/>
  <c r="P77" i="14"/>
  <c r="S77" i="14"/>
  <c r="N77" i="14"/>
  <c r="S78" i="14"/>
  <c r="N78" i="14"/>
  <c r="J75" i="14"/>
  <c r="J11" i="10"/>
  <c r="K83" i="14"/>
  <c r="K82" i="14"/>
  <c r="L83" i="14"/>
  <c r="K74" i="14"/>
  <c r="J9" i="10" l="1"/>
  <c r="N11" i="10"/>
  <c r="P11" i="10"/>
  <c r="N82" i="14"/>
  <c r="P82" i="14"/>
  <c r="S82" i="14"/>
  <c r="N83" i="14"/>
  <c r="P83" i="14"/>
  <c r="K75" i="14"/>
  <c r="O75" i="14"/>
  <c r="R75" i="14"/>
  <c r="S74" i="14"/>
  <c r="P74" i="14"/>
  <c r="N74" i="14"/>
  <c r="L81" i="14"/>
  <c r="R83" i="14"/>
  <c r="S83" i="14" s="1"/>
  <c r="Q83" i="14"/>
  <c r="J15" i="14"/>
  <c r="J67" i="14"/>
  <c r="K59" i="14"/>
  <c r="K58" i="14"/>
  <c r="K57" i="14"/>
  <c r="K56" i="14"/>
  <c r="K55" i="14"/>
  <c r="J58" i="14"/>
  <c r="J57" i="14"/>
  <c r="J56" i="14"/>
  <c r="J55" i="14"/>
  <c r="J59" i="14"/>
  <c r="P57" i="14" l="1"/>
  <c r="N57" i="14"/>
  <c r="O55" i="14"/>
  <c r="R55" i="14"/>
  <c r="S55" i="14" s="1"/>
  <c r="O67" i="14"/>
  <c r="R67" i="14"/>
  <c r="O15" i="14"/>
  <c r="R15" i="14"/>
  <c r="S15" i="14" s="1"/>
  <c r="O59" i="14"/>
  <c r="R59" i="14"/>
  <c r="S59" i="14" s="1"/>
  <c r="O56" i="14"/>
  <c r="R56" i="14"/>
  <c r="S56" i="14" s="1"/>
  <c r="S75" i="14"/>
  <c r="N75" i="14"/>
  <c r="P75" i="14"/>
  <c r="O57" i="14"/>
  <c r="R57" i="14"/>
  <c r="S57" i="14" s="1"/>
  <c r="N56" i="14"/>
  <c r="P56" i="14"/>
  <c r="P58" i="14"/>
  <c r="N58" i="14"/>
  <c r="P59" i="14"/>
  <c r="N59" i="14"/>
  <c r="L80" i="14"/>
  <c r="Q81" i="14"/>
  <c r="O58" i="14"/>
  <c r="R58" i="14"/>
  <c r="S58" i="14" s="1"/>
  <c r="P55" i="14"/>
  <c r="N55" i="14"/>
  <c r="J37" i="14"/>
  <c r="J36" i="14"/>
  <c r="J34" i="14"/>
  <c r="J33" i="14"/>
  <c r="J32" i="14"/>
  <c r="J31" i="14"/>
  <c r="J30" i="14"/>
  <c r="J29" i="14"/>
  <c r="O37" i="14" l="1"/>
  <c r="R37" i="14"/>
  <c r="S37" i="14" s="1"/>
  <c r="O29" i="14"/>
  <c r="R29" i="14"/>
  <c r="S29" i="14" s="1"/>
  <c r="O36" i="14"/>
  <c r="R36" i="14"/>
  <c r="S36" i="14" s="1"/>
  <c r="L79" i="14"/>
  <c r="Q80" i="14"/>
  <c r="O30" i="14"/>
  <c r="R30" i="14"/>
  <c r="S30" i="14" s="1"/>
  <c r="O31" i="14"/>
  <c r="R31" i="14"/>
  <c r="S31" i="14" s="1"/>
  <c r="O32" i="14"/>
  <c r="R32" i="14"/>
  <c r="S32" i="14" s="1"/>
  <c r="O33" i="14"/>
  <c r="R33" i="14"/>
  <c r="S33" i="14" s="1"/>
  <c r="O34" i="14"/>
  <c r="R34" i="14"/>
  <c r="S34" i="14" s="1"/>
  <c r="L26" i="15"/>
  <c r="V26" i="15" s="1"/>
  <c r="L25" i="15"/>
  <c r="V25" i="15" s="1"/>
  <c r="L22" i="15"/>
  <c r="V22" i="15" s="1"/>
  <c r="L21" i="15"/>
  <c r="V21" i="15" s="1"/>
  <c r="L20" i="15"/>
  <c r="V20" i="15" s="1"/>
  <c r="L19" i="15"/>
  <c r="V19" i="15" s="1"/>
  <c r="L18" i="15"/>
  <c r="V18" i="15" s="1"/>
  <c r="L17" i="15"/>
  <c r="V17" i="15" s="1"/>
  <c r="T26" i="15" l="1"/>
  <c r="Q26" i="15"/>
  <c r="R26" i="15" s="1"/>
  <c r="T25" i="15"/>
  <c r="Q25" i="15"/>
  <c r="R25" i="15" s="1"/>
  <c r="Q19" i="15"/>
  <c r="R19" i="15" s="1"/>
  <c r="T19" i="15"/>
  <c r="T20" i="15"/>
  <c r="Q20" i="15"/>
  <c r="R20" i="15" s="1"/>
  <c r="Q22" i="15"/>
  <c r="R22" i="15" s="1"/>
  <c r="T22" i="15"/>
  <c r="Q21" i="15"/>
  <c r="R21" i="15" s="1"/>
  <c r="T21" i="15"/>
  <c r="Q17" i="15"/>
  <c r="R17" i="15" s="1"/>
  <c r="T17" i="15"/>
  <c r="Q18" i="15"/>
  <c r="R18" i="15" s="1"/>
  <c r="T18" i="15"/>
  <c r="Q79" i="14"/>
  <c r="L13" i="15"/>
  <c r="V13" i="15" s="1"/>
  <c r="K13" i="15"/>
  <c r="P13" i="15" s="1"/>
  <c r="I78" i="14"/>
  <c r="P78" i="14" s="1"/>
  <c r="H14" i="10"/>
  <c r="Q13" i="15" l="1"/>
  <c r="R13" i="15" s="1"/>
  <c r="T13" i="15"/>
  <c r="L8" i="15"/>
  <c r="H9" i="10"/>
  <c r="P9" i="10" s="1"/>
  <c r="P14" i="10"/>
  <c r="E13" i="12"/>
  <c r="E12" i="12" s="1"/>
  <c r="N8" i="12" s="1"/>
  <c r="K68" i="14"/>
  <c r="I69" i="14"/>
  <c r="P69" i="14" s="1"/>
  <c r="I70" i="14"/>
  <c r="P70" i="14" s="1"/>
  <c r="I51" i="14"/>
  <c r="P51" i="14" s="1"/>
  <c r="S68" i="14" l="1"/>
  <c r="N68" i="14"/>
  <c r="P68" i="14"/>
  <c r="K66" i="14"/>
  <c r="K49" i="14"/>
  <c r="N49" i="14" l="1"/>
  <c r="S49" i="14"/>
  <c r="P49" i="14"/>
  <c r="P66" i="14"/>
  <c r="S66" i="14"/>
  <c r="N66" i="14"/>
  <c r="H81" i="14"/>
  <c r="H80" i="14" s="1"/>
  <c r="H79" i="14" s="1"/>
  <c r="I81" i="14"/>
  <c r="J81" i="14"/>
  <c r="K81" i="14"/>
  <c r="K80" i="14" s="1"/>
  <c r="K79" i="14" s="1"/>
  <c r="H73" i="14"/>
  <c r="H72" i="14" s="1"/>
  <c r="I73" i="14"/>
  <c r="J73" i="14"/>
  <c r="K73" i="14"/>
  <c r="K72" i="14" s="1"/>
  <c r="H64" i="14"/>
  <c r="I64" i="14"/>
  <c r="H65" i="14"/>
  <c r="I65" i="14"/>
  <c r="H47" i="14"/>
  <c r="H46" i="14" s="1"/>
  <c r="I47" i="14"/>
  <c r="J47" i="14"/>
  <c r="K47" i="14"/>
  <c r="K46" i="14" s="1"/>
  <c r="H48" i="14"/>
  <c r="I48" i="14"/>
  <c r="J48" i="14"/>
  <c r="K48" i="14"/>
  <c r="H39" i="14"/>
  <c r="H38" i="14" s="1"/>
  <c r="I39" i="14"/>
  <c r="J39" i="14"/>
  <c r="K39" i="14"/>
  <c r="K38" i="14" s="1"/>
  <c r="H11" i="14"/>
  <c r="H10" i="14" s="1"/>
  <c r="I11" i="14"/>
  <c r="I10" i="14" s="1"/>
  <c r="K8" i="15"/>
  <c r="P8" i="15" l="1"/>
  <c r="Q8" i="15" s="1"/>
  <c r="V8" i="15"/>
  <c r="P48" i="14"/>
  <c r="I46" i="14"/>
  <c r="P46" i="14" s="1"/>
  <c r="P47" i="14"/>
  <c r="J38" i="14"/>
  <c r="O39" i="14"/>
  <c r="R39" i="14"/>
  <c r="J80" i="14"/>
  <c r="O81" i="14"/>
  <c r="R81" i="14"/>
  <c r="I38" i="14"/>
  <c r="P38" i="14" s="1"/>
  <c r="P39" i="14"/>
  <c r="I72" i="14"/>
  <c r="P72" i="14" s="1"/>
  <c r="P73" i="14"/>
  <c r="I80" i="14"/>
  <c r="P81" i="14"/>
  <c r="J46" i="14"/>
  <c r="O47" i="14"/>
  <c r="R47" i="14"/>
  <c r="O48" i="14"/>
  <c r="R48" i="14"/>
  <c r="J72" i="14"/>
  <c r="R72" i="14" s="1"/>
  <c r="O73" i="14"/>
  <c r="R73" i="14"/>
  <c r="F8" i="15"/>
  <c r="J64" i="14"/>
  <c r="K67" i="14"/>
  <c r="K11" i="14"/>
  <c r="I8" i="15"/>
  <c r="J8" i="15"/>
  <c r="J65" i="14"/>
  <c r="D8" i="15"/>
  <c r="R8" i="15" s="1"/>
  <c r="H63" i="14"/>
  <c r="H9" i="14"/>
  <c r="U8" i="15" l="1"/>
  <c r="T8" i="15"/>
  <c r="I9" i="14"/>
  <c r="I63" i="14"/>
  <c r="O65" i="14"/>
  <c r="R65" i="14"/>
  <c r="J63" i="14"/>
  <c r="O64" i="14"/>
  <c r="R64" i="14"/>
  <c r="I79" i="14"/>
  <c r="P79" i="14" s="1"/>
  <c r="P80" i="14"/>
  <c r="O46" i="14"/>
  <c r="R46" i="14"/>
  <c r="J79" i="14"/>
  <c r="O80" i="14"/>
  <c r="R80" i="14"/>
  <c r="P67" i="14"/>
  <c r="S67" i="14"/>
  <c r="N67" i="14"/>
  <c r="O38" i="14"/>
  <c r="R38" i="14"/>
  <c r="K10" i="14"/>
  <c r="P11" i="14"/>
  <c r="G13" i="12"/>
  <c r="K65" i="14"/>
  <c r="P65" i="14" s="1"/>
  <c r="K64" i="14"/>
  <c r="H8" i="14"/>
  <c r="D81" i="14"/>
  <c r="E72" i="14"/>
  <c r="D73" i="14"/>
  <c r="D65" i="14"/>
  <c r="D64" i="14"/>
  <c r="E60" i="14"/>
  <c r="D60" i="14"/>
  <c r="D48" i="14"/>
  <c r="D47" i="14"/>
  <c r="D39" i="14"/>
  <c r="D11" i="14"/>
  <c r="D10" i="14" s="1"/>
  <c r="A3" i="14"/>
  <c r="N11" i="14" l="1"/>
  <c r="S64" i="14"/>
  <c r="N64" i="14"/>
  <c r="S65" i="14"/>
  <c r="N65" i="14"/>
  <c r="D72" i="14"/>
  <c r="D63" i="14" s="1"/>
  <c r="N73" i="14"/>
  <c r="S73" i="14"/>
  <c r="O72" i="14"/>
  <c r="Q72" i="14"/>
  <c r="D80" i="14"/>
  <c r="N81" i="14"/>
  <c r="S81" i="14"/>
  <c r="O63" i="14"/>
  <c r="R63" i="14"/>
  <c r="S60" i="14"/>
  <c r="N60" i="14"/>
  <c r="O60" i="14"/>
  <c r="Q60" i="14"/>
  <c r="O79" i="14"/>
  <c r="R79" i="14"/>
  <c r="I8" i="14"/>
  <c r="D38" i="14"/>
  <c r="D9" i="14" s="1"/>
  <c r="S39" i="14"/>
  <c r="N39" i="14"/>
  <c r="D46" i="14"/>
  <c r="N47" i="14"/>
  <c r="S47" i="14"/>
  <c r="K63" i="14"/>
  <c r="P63" i="14" s="1"/>
  <c r="P64" i="14"/>
  <c r="S48" i="14"/>
  <c r="N48" i="14"/>
  <c r="K9" i="14"/>
  <c r="P10" i="14"/>
  <c r="N10" i="14"/>
  <c r="J14" i="14"/>
  <c r="O14" i="14" s="1"/>
  <c r="L14" i="14"/>
  <c r="J19" i="14"/>
  <c r="O19" i="14" s="1"/>
  <c r="L19" i="14"/>
  <c r="E10" i="14"/>
  <c r="F35" i="13"/>
  <c r="F34" i="13"/>
  <c r="Y18" i="13"/>
  <c r="N11" i="13"/>
  <c r="J11" i="13"/>
  <c r="I11" i="13"/>
  <c r="H11" i="13"/>
  <c r="G11" i="13"/>
  <c r="F11" i="13"/>
  <c r="D11" i="13"/>
  <c r="Y11" i="13" l="1"/>
  <c r="AB11" i="13"/>
  <c r="AA11" i="13"/>
  <c r="AC11" i="13"/>
  <c r="AD11" i="13" s="1"/>
  <c r="W11" i="13"/>
  <c r="U11" i="13"/>
  <c r="V11" i="13" s="1"/>
  <c r="W18" i="13"/>
  <c r="U18" i="13"/>
  <c r="V18" i="13" s="1"/>
  <c r="S63" i="14"/>
  <c r="N63" i="14"/>
  <c r="P11" i="13"/>
  <c r="S11" i="13"/>
  <c r="T11" i="13" s="1"/>
  <c r="N46" i="14"/>
  <c r="S46" i="14"/>
  <c r="P18" i="13"/>
  <c r="S18" i="13"/>
  <c r="T18" i="13" s="1"/>
  <c r="Q18" i="13"/>
  <c r="O18" i="13"/>
  <c r="R14" i="14"/>
  <c r="S14" i="14" s="1"/>
  <c r="Q14" i="14"/>
  <c r="S72" i="14"/>
  <c r="N72" i="14"/>
  <c r="D79" i="14"/>
  <c r="D8" i="14" s="1"/>
  <c r="S80" i="14"/>
  <c r="N80" i="14"/>
  <c r="O11" i="13"/>
  <c r="S38" i="14"/>
  <c r="N38" i="14"/>
  <c r="H10" i="13"/>
  <c r="Q11" i="13"/>
  <c r="R19" i="14"/>
  <c r="S19" i="14" s="1"/>
  <c r="Q19" i="14"/>
  <c r="P9" i="14"/>
  <c r="N9" i="14"/>
  <c r="K8" i="14"/>
  <c r="L11" i="14"/>
  <c r="J11" i="14"/>
  <c r="I10" i="13"/>
  <c r="D10" i="13"/>
  <c r="J10" i="13"/>
  <c r="G10" i="13"/>
  <c r="N10" i="13"/>
  <c r="F10" i="13"/>
  <c r="AB10" i="13" l="1"/>
  <c r="AA10" i="13"/>
  <c r="AC10" i="13"/>
  <c r="AD10" i="13" s="1"/>
  <c r="W10" i="13"/>
  <c r="U10" i="13"/>
  <c r="V10" i="13" s="1"/>
  <c r="Y10" i="13"/>
  <c r="J10" i="14"/>
  <c r="O11" i="14"/>
  <c r="O10" i="13"/>
  <c r="Q10" i="13"/>
  <c r="S79" i="14"/>
  <c r="N79" i="14"/>
  <c r="P10" i="13"/>
  <c r="S10" i="13"/>
  <c r="T10" i="13" s="1"/>
  <c r="L10" i="14"/>
  <c r="Q11" i="14"/>
  <c r="R11" i="14"/>
  <c r="S11" i="14" s="1"/>
  <c r="P8" i="14"/>
  <c r="N8" i="14"/>
  <c r="D14" i="12"/>
  <c r="D12" i="12" l="1"/>
  <c r="D10" i="12" s="1"/>
  <c r="L14" i="12"/>
  <c r="Q9" i="13"/>
  <c r="Y9" i="13"/>
  <c r="W9" i="13"/>
  <c r="U9" i="13"/>
  <c r="V9" i="13" s="1"/>
  <c r="P9" i="13"/>
  <c r="S9" i="13"/>
  <c r="T9" i="13" s="1"/>
  <c r="O9" i="13"/>
  <c r="J9" i="14"/>
  <c r="O10" i="14"/>
  <c r="L9" i="14"/>
  <c r="R10" i="14"/>
  <c r="S10" i="14" s="1"/>
  <c r="Q10" i="14"/>
  <c r="M8" i="12" l="1"/>
  <c r="L12" i="12"/>
  <c r="J8" i="14"/>
  <c r="O9" i="14"/>
  <c r="E11" i="12"/>
  <c r="L8" i="14"/>
  <c r="R9" i="14"/>
  <c r="S9" i="14" s="1"/>
  <c r="Q9" i="14"/>
  <c r="C14" i="12"/>
  <c r="K14" i="12" s="1"/>
  <c r="N7" i="3"/>
  <c r="M7" i="3"/>
  <c r="I7" i="3"/>
  <c r="F14" i="12" l="1"/>
  <c r="Q14" i="12"/>
  <c r="C12" i="12"/>
  <c r="I14" i="12"/>
  <c r="O8" i="14"/>
  <c r="Q8" i="14"/>
  <c r="R8" i="14"/>
  <c r="S8" i="14" s="1"/>
  <c r="G14" i="12"/>
  <c r="J8" i="3"/>
  <c r="J7" i="3" s="1"/>
  <c r="I10" i="3" s="1"/>
  <c r="I4" i="3"/>
  <c r="H4" i="3"/>
  <c r="J4" i="3" s="1"/>
  <c r="G4" i="3"/>
  <c r="K12" i="12" l="1"/>
  <c r="L8" i="12"/>
  <c r="R8" i="12" s="1"/>
  <c r="C11" i="12"/>
  <c r="F12" i="12"/>
  <c r="O8" i="12" s="1"/>
  <c r="I12" i="12"/>
  <c r="G12" i="12"/>
  <c r="P8" i="12" s="1"/>
  <c r="G11" i="12"/>
  <c r="F11" i="12"/>
  <c r="I11" i="12" l="1"/>
  <c r="K11" i="12"/>
  <c r="AD28" i="27"/>
  <c r="J26" i="27"/>
  <c r="AB28" i="27"/>
  <c r="L26" i="27"/>
  <c r="L25" i="27" l="1"/>
  <c r="AG25" i="27" s="1"/>
  <c r="AH25" i="27" s="1"/>
  <c r="AG26" i="27"/>
  <c r="AH26" i="27" s="1"/>
  <c r="J25" i="27"/>
  <c r="AJ26" i="27"/>
  <c r="AB25" i="27"/>
  <c r="L8" i="27"/>
  <c r="AG8" i="27" s="1"/>
  <c r="AH8" i="27" s="1"/>
  <c r="AD25" i="27"/>
  <c r="AB26" i="27"/>
  <c r="AD26" i="27"/>
  <c r="J8" i="27" l="1"/>
  <c r="AJ25" i="27"/>
  <c r="AB8" i="27"/>
  <c r="P8" i="27"/>
  <c r="U8" i="27" s="1"/>
  <c r="AD8" i="27"/>
  <c r="G10" i="32"/>
  <c r="I10" i="32"/>
  <c r="E10" i="32"/>
  <c r="Q32" i="32"/>
  <c r="F10" i="32"/>
  <c r="S10" i="32" s="1"/>
  <c r="J10" i="32"/>
  <c r="Q10" i="32" s="1"/>
  <c r="D10" i="32"/>
  <c r="E22" i="12"/>
  <c r="M32" i="32"/>
  <c r="C10" i="32"/>
  <c r="M10" i="32" l="1"/>
  <c r="AJ8" i="27"/>
  <c r="R8" i="27"/>
  <c r="Z8" i="27"/>
  <c r="E10" i="12"/>
  <c r="C22" i="12"/>
  <c r="C10" i="12" l="1"/>
  <c r="D22" i="12"/>
  <c r="L25" i="12"/>
  <c r="G10" i="12"/>
  <c r="G22" i="12"/>
  <c r="H22" i="12" l="1"/>
  <c r="K25" i="12"/>
  <c r="F22" i="12"/>
  <c r="L22" i="12"/>
  <c r="F10" i="12" l="1"/>
  <c r="H10" i="12"/>
  <c r="I22" i="12"/>
  <c r="K22" i="12"/>
  <c r="I10" i="12" l="1"/>
  <c r="K10" i="12"/>
  <c r="L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81" authorId="0" shapeId="0" xr:uid="{00000000-0006-0000-0E00-000001000000}">
      <text>
        <r>
          <rPr>
            <b/>
            <sz val="9"/>
            <color indexed="81"/>
            <rFont val="Tahoma"/>
            <family val="2"/>
          </rPr>
          <t>Admin:</t>
        </r>
        <r>
          <rPr>
            <sz val="9"/>
            <color indexed="81"/>
            <rFont val="Tahoma"/>
            <family val="2"/>
          </rPr>
          <t xml:space="preserve">
341</t>
        </r>
      </text>
    </comment>
    <comment ref="B82" authorId="0" shapeId="0" xr:uid="{00000000-0006-0000-0E00-000002000000}">
      <text>
        <r>
          <rPr>
            <b/>
            <sz val="9"/>
            <color indexed="81"/>
            <rFont val="Tahoma"/>
            <family val="2"/>
          </rPr>
          <t>Admin:</t>
        </r>
        <r>
          <rPr>
            <sz val="9"/>
            <color indexed="81"/>
            <rFont val="Tahoma"/>
            <family val="2"/>
          </rPr>
          <t xml:space="preserve">
341</t>
        </r>
      </text>
    </comment>
    <comment ref="B83" authorId="0" shapeId="0" xr:uid="{00000000-0006-0000-0E00-000003000000}">
      <text>
        <r>
          <rPr>
            <b/>
            <sz val="9"/>
            <color indexed="81"/>
            <rFont val="Tahoma"/>
            <family val="2"/>
          </rPr>
          <t>Admin:</t>
        </r>
        <r>
          <rPr>
            <sz val="9"/>
            <color indexed="81"/>
            <rFont val="Tahoma"/>
            <family val="2"/>
          </rPr>
          <t xml:space="preserve">
139</t>
        </r>
      </text>
    </comment>
    <comment ref="B84" authorId="0" shapeId="0" xr:uid="{00000000-0006-0000-0E00-000004000000}">
      <text>
        <r>
          <rPr>
            <b/>
            <sz val="9"/>
            <color indexed="81"/>
            <rFont val="Tahoma"/>
            <family val="2"/>
          </rPr>
          <t>Admin:</t>
        </r>
        <r>
          <rPr>
            <sz val="9"/>
            <color indexed="81"/>
            <rFont val="Tahoma"/>
            <family val="2"/>
          </rPr>
          <t xml:space="preserve">
332</t>
        </r>
      </text>
    </comment>
    <comment ref="B91" authorId="0" shapeId="0" xr:uid="{00000000-0006-0000-0E00-000005000000}">
      <text>
        <r>
          <rPr>
            <b/>
            <sz val="9"/>
            <color indexed="81"/>
            <rFont val="Tahoma"/>
            <family val="2"/>
          </rPr>
          <t>Admin:</t>
        </r>
        <r>
          <rPr>
            <sz val="9"/>
            <color indexed="81"/>
            <rFont val="Tahoma"/>
            <family val="2"/>
          </rPr>
          <t xml:space="preserve">
139</t>
        </r>
      </text>
    </comment>
    <comment ref="B92" authorId="0" shapeId="0" xr:uid="{00000000-0006-0000-0E00-000006000000}">
      <text>
        <r>
          <rPr>
            <b/>
            <sz val="9"/>
            <color indexed="81"/>
            <rFont val="Tahoma"/>
            <family val="2"/>
          </rPr>
          <t>Admin:</t>
        </r>
        <r>
          <rPr>
            <sz val="9"/>
            <color indexed="81"/>
            <rFont val="Tahoma"/>
            <family val="2"/>
          </rPr>
          <t xml:space="preserve">
332</t>
        </r>
      </text>
    </comment>
    <comment ref="B93" authorId="0" shapeId="0" xr:uid="{00000000-0006-0000-0E00-000007000000}">
      <text>
        <r>
          <rPr>
            <b/>
            <sz val="9"/>
            <color indexed="81"/>
            <rFont val="Tahoma"/>
            <family val="2"/>
          </rPr>
          <t>Admin:</t>
        </r>
        <r>
          <rPr>
            <sz val="9"/>
            <color indexed="81"/>
            <rFont val="Tahoma"/>
            <family val="2"/>
          </rPr>
          <t xml:space="preserve">
278</t>
        </r>
      </text>
    </comment>
    <comment ref="B94" authorId="0" shapeId="0" xr:uid="{00000000-0006-0000-0E00-000008000000}">
      <text>
        <r>
          <rPr>
            <b/>
            <sz val="9"/>
            <color indexed="81"/>
            <rFont val="Tahoma"/>
            <family val="2"/>
          </rPr>
          <t>Admin:</t>
        </r>
        <r>
          <rPr>
            <sz val="9"/>
            <color indexed="81"/>
            <rFont val="Tahoma"/>
            <family val="2"/>
          </rPr>
          <t xml:space="preserve">
338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B68" authorId="0" shapeId="0" xr:uid="{00000000-0006-0000-1100-000001000000}">
      <text>
        <r>
          <rPr>
            <b/>
            <sz val="9"/>
            <color indexed="81"/>
            <rFont val="Tahoma"/>
            <family val="2"/>
          </rPr>
          <t>Microsoft:</t>
        </r>
        <r>
          <rPr>
            <sz val="9"/>
            <color indexed="81"/>
            <rFont val="Tahoma"/>
            <family val="2"/>
          </rPr>
          <t xml:space="preserve">
312
</t>
        </r>
      </text>
    </comment>
    <comment ref="B69" authorId="0" shapeId="0" xr:uid="{00000000-0006-0000-1100-000002000000}">
      <text>
        <r>
          <rPr>
            <b/>
            <sz val="9"/>
            <color indexed="81"/>
            <rFont val="Tahoma"/>
            <family val="2"/>
          </rPr>
          <t>Microsoft:</t>
        </r>
        <r>
          <rPr>
            <sz val="9"/>
            <color indexed="81"/>
            <rFont val="Tahoma"/>
            <family val="2"/>
          </rPr>
          <t xml:space="preserve">
341</t>
        </r>
      </text>
    </comment>
    <comment ref="B70" authorId="0" shapeId="0" xr:uid="{00000000-0006-0000-1100-000003000000}">
      <text>
        <r>
          <rPr>
            <b/>
            <sz val="9"/>
            <color indexed="81"/>
            <rFont val="Tahoma"/>
            <family val="2"/>
          </rPr>
          <t>Microsoft:</t>
        </r>
        <r>
          <rPr>
            <sz val="9"/>
            <color indexed="81"/>
            <rFont val="Tahoma"/>
            <family val="2"/>
          </rPr>
          <t xml:space="preserve">
341</t>
        </r>
      </text>
    </comment>
  </commentList>
</comments>
</file>

<file path=xl/sharedStrings.xml><?xml version="1.0" encoding="utf-8"?>
<sst xmlns="http://schemas.openxmlformats.org/spreadsheetml/2006/main" count="1617" uniqueCount="515">
  <si>
    <t>TT</t>
  </si>
  <si>
    <t>Danh mục dự án</t>
  </si>
  <si>
    <t>Quyết định đầu tư</t>
  </si>
  <si>
    <t>Số quyết định
ngày, tháng, năm ban hành</t>
  </si>
  <si>
    <t>Tổng số (tất cả các nguồn vốn)</t>
  </si>
  <si>
    <t>TMĐT</t>
  </si>
  <si>
    <t>Tổng số</t>
  </si>
  <si>
    <t>Thanh toán nợ XDCB</t>
  </si>
  <si>
    <t>Ghi chú</t>
  </si>
  <si>
    <t>TỔNG SỐ</t>
  </si>
  <si>
    <t>Đơn vị: Triệu đồng</t>
  </si>
  <si>
    <t>Mã dự án</t>
  </si>
  <si>
    <t>Trong đó: NSĐP</t>
  </si>
  <si>
    <t>Lũy kế vốn bố trí từ khởi công đến hết năm 2020</t>
  </si>
  <si>
    <t>Kế hoạch 5 năm giai đoạn 2021-2025</t>
  </si>
  <si>
    <t>Trong đó</t>
  </si>
  <si>
    <t>Thu hồi các khoản  ứng trước</t>
  </si>
  <si>
    <t>Dự kiến vốn từng năm</t>
  </si>
  <si>
    <t>Năm 2021</t>
  </si>
  <si>
    <t>Năm 2022</t>
  </si>
  <si>
    <t>Năm 2023</t>
  </si>
  <si>
    <t>Năm 2024</t>
  </si>
  <si>
    <t>Năm 2025</t>
  </si>
  <si>
    <t>I</t>
  </si>
  <si>
    <t>HUYỆN TUẦN GIÁO</t>
  </si>
  <si>
    <t>Giao bằng Nghị quyết HĐND tỉnh giao cho huyện</t>
  </si>
  <si>
    <t xml:space="preserve"> KẾ HOẠCH ĐẦU TƯ CÔNG TRUNG HẠN VỐN NSNN GIAI ĐOẠN 2021-2025 </t>
  </si>
  <si>
    <t>Địa điểm xây dựng</t>
  </si>
  <si>
    <t>*</t>
  </si>
  <si>
    <t>Hạ tầng Nhà máy xử lý rác thải huyện Tuần Giáo</t>
  </si>
  <si>
    <t>TT Tuần Giáo</t>
  </si>
  <si>
    <t>Đường từ Ngầm Chiềng An đến Khối Đoàn Kết</t>
  </si>
  <si>
    <t>Trung tâm giáo dục nghề nghiệp và Giáo dục thường xuyên</t>
  </si>
  <si>
    <t>Công viên cây xanh trung tâm huyện Tuần Giáo</t>
  </si>
  <si>
    <t>Đường từ bản Hồng Lực xã Nà Sáy – bản Co Đứa xã Mường Khong</t>
  </si>
  <si>
    <t>Xã Nà Sáy + xã Mường Khong</t>
  </si>
  <si>
    <t>Xã Chiềng Đông</t>
  </si>
  <si>
    <t>Xã Quài Nưa</t>
  </si>
  <si>
    <t>Xã Mường Khong</t>
  </si>
  <si>
    <t>Xã Nà Tòng</t>
  </si>
  <si>
    <t>Xã Quài Tở</t>
  </si>
  <si>
    <t>Xã Quài Cang</t>
  </si>
  <si>
    <t>Xã Tỏa Tình</t>
  </si>
  <si>
    <t>Tên công trình</t>
  </si>
  <si>
    <t>Đơn vị tính: Triệu đồng</t>
  </si>
  <si>
    <t>Kế hoạch vốn năm 2022</t>
  </si>
  <si>
    <t>II</t>
  </si>
  <si>
    <t>xã Tênh Phông</t>
  </si>
  <si>
    <t>Biểu số 02</t>
  </si>
  <si>
    <t>Số TT</t>
  </si>
  <si>
    <t>1</t>
  </si>
  <si>
    <t>2</t>
  </si>
  <si>
    <t>3</t>
  </si>
  <si>
    <t>4</t>
  </si>
  <si>
    <t>TỔNG CỘNG</t>
  </si>
  <si>
    <t>UBND huyện Tuần Giáo</t>
  </si>
  <si>
    <t>Công trình tiếp chi</t>
  </si>
  <si>
    <t>Đường từ Sân vận động - huyện đội - QL6 và trận địa phòng không</t>
  </si>
  <si>
    <t>Đã hoàn thành</t>
  </si>
  <si>
    <t>Nâng cấp đường nội thị khối Tân Giang</t>
  </si>
  <si>
    <t>Đang thi công</t>
  </si>
  <si>
    <t>Nâng cấp đường khối 20/7 - bản Đông</t>
  </si>
  <si>
    <t>Xây dựng cơ sở hạ tầng khu đấu giá QSD đất khu trung tâm xã Chiềng Đông</t>
  </si>
  <si>
    <t>Vỉa hè khối Tân Thủy</t>
  </si>
  <si>
    <t>Đèn chiếu sáng, đèn trang trí khu trung tâm thị trấn Tuần Giáo (QL6, QL279 + đường tránh QL279)</t>
  </si>
  <si>
    <t>Thị trấn Tuần Giáo</t>
  </si>
  <si>
    <t>Công trình KCM</t>
  </si>
  <si>
    <t>Nâng cấp cầu khối Đồng Tâm + Mặt đường khối Huổi Củ, thị trấn Tuần Giáo</t>
  </si>
  <si>
    <t>Nâng cấp sửa chữa đường bản Củ, bản Bó Giáng xã Quài Nưa</t>
  </si>
  <si>
    <t>Nâng cấp cầu đi bản Co Muông, xã Nà Tòng</t>
  </si>
  <si>
    <t>Nâng cấp sửa chữa đường bản Cản, bản Sáng, bản Sảo</t>
  </si>
  <si>
    <t>Nâng cấp sửa chữa đường bản Háng Tàu, xã Tỏa Tình</t>
  </si>
  <si>
    <t>Cổng chào huyện Tuần Giáo</t>
  </si>
  <si>
    <t>Hạ tầng khu đất trụ sở xã Quài tở (cũ)</t>
  </si>
  <si>
    <t>Đường nội bản Nậm din + Háng Khúa xã Phình Sáng</t>
  </si>
  <si>
    <t>Xã Phình Sáng</t>
  </si>
  <si>
    <t>Cửa hàng giới thiệu sản phẩm OCOP</t>
  </si>
  <si>
    <t>UBND Thị Trấn Tuần Giáo</t>
  </si>
  <si>
    <t>Đường các bản Nong Tấu, Chiềng Khoang</t>
  </si>
  <si>
    <t>Đường khối Thắng Lợi</t>
  </si>
  <si>
    <t>Nguồn vốn</t>
  </si>
  <si>
    <t>Giá trị khối lượng thực hiện</t>
  </si>
  <si>
    <t>Giá trị giải ngân</t>
  </si>
  <si>
    <t>Vốn cân đối ngân sách địa phương (huyện quản lý)</t>
  </si>
  <si>
    <t>Vốn cân đối ngân sách địa phương</t>
  </si>
  <si>
    <t>Lũy kế KL từ khởi công</t>
  </si>
  <si>
    <t>Lũy kế giải ngân từ khởi công</t>
  </si>
  <si>
    <t>Tổng mức đầu tư</t>
  </si>
  <si>
    <t>5</t>
  </si>
  <si>
    <t>6</t>
  </si>
  <si>
    <t>7</t>
  </si>
  <si>
    <t>8</t>
  </si>
  <si>
    <t>9</t>
  </si>
  <si>
    <t>10</t>
  </si>
  <si>
    <t>III</t>
  </si>
  <si>
    <t>Biểu số 03</t>
  </si>
  <si>
    <t>Biểu số 04</t>
  </si>
  <si>
    <t>Dự toán năm 2022</t>
  </si>
  <si>
    <t>A</t>
  </si>
  <si>
    <t>Sự nghiệp giao thông</t>
  </si>
  <si>
    <t>Ban QLDA các công trình huyện</t>
  </si>
  <si>
    <t>Sửa chữa nâng cấp đường vào bản Song Ia</t>
  </si>
  <si>
    <t>Nâng cấp đường QL6 - bản Bông</t>
  </si>
  <si>
    <t>Nâng cấp đường vào bản Gia Bọp (Giai đoạn 2)</t>
  </si>
  <si>
    <t>Xã Mường Mùn</t>
  </si>
  <si>
    <t>Nâng cấp đường bản Đứa - bản Pậu</t>
  </si>
  <si>
    <t>Nâng cấp đường từ bản Hua Sa A - bản Chế Á</t>
  </si>
  <si>
    <t>Nâng cấp đường Bản Bon A - Noong Bả</t>
  </si>
  <si>
    <t>Xã Ta Ma</t>
  </si>
  <si>
    <t>Nâng cấp cầu bản Xuân Tươi</t>
  </si>
  <si>
    <t>Nâng cấp đường bản Hua Mức 3 - Trung tâm xã (Giai đoạn 2)</t>
  </si>
  <si>
    <t>Xã Pú Xi</t>
  </si>
  <si>
    <t>Nâng cấp đường vào bản Hua Ca - Thẳm Pao xã Quài Tở (giai đoạn 1)</t>
  </si>
  <si>
    <t>Nâng cấp đường bản Phung + bản Phủ + bản Sái Ngoài</t>
  </si>
  <si>
    <t>Nâng cấp đường bản Ten Cá</t>
  </si>
  <si>
    <t>Nâng cấp đường bản Đứa</t>
  </si>
  <si>
    <t>Nâng cấp đường từ bản Hiệu - bản Phang</t>
  </si>
  <si>
    <t>Nâng cấp cầu bản Hiệu</t>
  </si>
  <si>
    <t>Xã Chiềng Sinh</t>
  </si>
  <si>
    <t>Nâng cấp đường bản Sảo - bản Cong</t>
  </si>
  <si>
    <t>Đường từ sân vận động - huyện đội - QL6 và trận địa phòng không</t>
  </si>
  <si>
    <t>Ban QLDA các công trình</t>
  </si>
  <si>
    <t>Sửa chữa nút giao thông ngã 4 trung tâm xã Pú Nhung + Nút giao thông ngã 3 Rạng Đông - Ta Ma</t>
  </si>
  <si>
    <t>Sửa chữa đường nội bản Rạng Đông</t>
  </si>
  <si>
    <t>Sửa chữa đường bản Xuân Tươi - bản Hốc Hỏm, xã Mùn Chung</t>
  </si>
  <si>
    <t>Sửa chữa đường bao quanh sân vận động huyện Tuần Giáo và Sửa chữa sân huyện ủy, HĐND-UBND huyện Tuần Giáo (Hạng mục sơn vạch kẻ đường)</t>
  </si>
  <si>
    <t>Sửa chữa Đường Rạng Đông - Ta Ma</t>
  </si>
  <si>
    <t>Sửa chữa đường vào bản Bon A</t>
  </si>
  <si>
    <t>Xã Rạng Đông</t>
  </si>
  <si>
    <t>B</t>
  </si>
  <si>
    <t>Sự nghiệp thủy lợi</t>
  </si>
  <si>
    <t>Nâng cấp sửa chữa NSH bản Nậm Cá</t>
  </si>
  <si>
    <t>Xã Nà Sáy</t>
  </si>
  <si>
    <t>Nâng cấp thủy lợi bản Khá, bản Sái Ngoài</t>
  </si>
  <si>
    <t>Kè chống sạt lở suối Nậm Hon (đoạn bản Giăng xã Quài Cang)</t>
  </si>
  <si>
    <t>Nâng cấp kênh nội đồng bản Che Phai + bản Kép (giai đoạn 2)</t>
  </si>
  <si>
    <t>Kè bảo vệ khu dân cư khu vực bản Nát xã Quài Cang, huyện Tuần Giáo</t>
  </si>
  <si>
    <t>Kè bảo vệ suối Nậm Hua khu vực bản Hiệu, bản Kép xã Chiềng Sinh, huyện Tuần Giáo</t>
  </si>
  <si>
    <t>C</t>
  </si>
  <si>
    <t>Sự nghiệp kinh tế khác</t>
  </si>
  <si>
    <t>Hạ tầng khu đất số 3 khối Sơn Thủy</t>
  </si>
  <si>
    <t>Sửa chữa trụ sở huyện ủy</t>
  </si>
  <si>
    <t>Hạ tầng khu đất xen kẹt khối Tân Giang</t>
  </si>
  <si>
    <t>Sửa chữa, cải tạo trụ sở HĐND-UBND huyện</t>
  </si>
  <si>
    <t>Sửa chữa trụ sở xã Mùn Chung + xã Mường Mùn</t>
  </si>
  <si>
    <t>Xã Mùn Chung; xã Mường Mùn</t>
  </si>
  <si>
    <t>Đường + San nền khu trung tâm xã Tỏa Tình</t>
  </si>
  <si>
    <t>Sửa chữa trụ sở Liên Cơ quan</t>
  </si>
  <si>
    <t>Sửa chữa hệ thống đèn chiếu sáng khu vực trung tâm thị trấn Tuần Giáo và xã Quài Tở (Trục QL6 và QL279)</t>
  </si>
  <si>
    <t>Sửa chữa trụ sở Trung tâm Văn hoá - TT-TH</t>
  </si>
  <si>
    <t>Sửa chữa Nhà khách UBND huyện</t>
  </si>
  <si>
    <t>D</t>
  </si>
  <si>
    <t>Hỗ trợ đất lúa</t>
  </si>
  <si>
    <t xml:space="preserve">Công trình tiếp chi </t>
  </si>
  <si>
    <t>Kè chống xói lở suối Nậm Hon khu vực bản Sái Ngoài, xã Quài Cang</t>
  </si>
  <si>
    <t>Kè chống xói lở suối Nậm Hon khu vực bản Nong Tấu, thị trấn Tuần Giáo</t>
  </si>
  <si>
    <t>Điều chỉnh đồ án quy hoạch chi tiết xây dựng tỷ lệ 1/500 khu trung tâm thị trấn Tuần Giáo và Đồ án quy hoạch chi tiết xây dựng tỷ lệ 1/500 khu trung tâm thị trấn Tuần Giáo (giai đoạn 2).</t>
  </si>
  <si>
    <t xml:space="preserve">Tổng số </t>
  </si>
  <si>
    <t>Phòng Giáo dục và Đào tạo</t>
  </si>
  <si>
    <t>Cải tạo, sửa chữa trường TH Phình Sáng; TH Nậm Din</t>
  </si>
  <si>
    <t>Xã  Phình Sáng</t>
  </si>
  <si>
    <t>Xã Pú Nhung</t>
  </si>
  <si>
    <t>Cải tạo, sửa chữa các trường MN, TH xã Quài Tở</t>
  </si>
  <si>
    <t>Cải tạo, sửa chữa trường TH&amp;THCS xã Tỏa Tình</t>
  </si>
  <si>
    <t>Cải tạo, sửa chữa các trường TH Mường Thín, TH Chiềng Sinh</t>
  </si>
  <si>
    <t>Xã Chiềng Sinh, Mường Thín</t>
  </si>
  <si>
    <t>Cải tạo, sửa chữa các trường MN, TH xã Quài Cang</t>
  </si>
  <si>
    <t>Cải tạo, sửa chữa các trường MN xã Quài Nưa</t>
  </si>
  <si>
    <t>Cải tạo, sửa chữa trường TH Pú Nhung</t>
  </si>
  <si>
    <t>Cải tạo, sửa chữa các trường MN, TH xã Nà Tòng</t>
  </si>
  <si>
    <t>Xã nà Tòng</t>
  </si>
  <si>
    <t>Cải tạo, sửa chữa trường TH Rạng Đông</t>
  </si>
  <si>
    <t>Cải tạo, sửa chữa trường TH Ta Ma</t>
  </si>
  <si>
    <t>Cải tạo, sửa chữa trường TH Mùn Chung</t>
  </si>
  <si>
    <t>Xã Mùn Chung</t>
  </si>
  <si>
    <t>Công trình khởi công mới năm 2022</t>
  </si>
  <si>
    <t>Sửa chữa Trường MN Nậm Din, THCS Phình Sáng</t>
  </si>
  <si>
    <t>Sửa chữa Trường MN Chiềng Sinh</t>
  </si>
  <si>
    <t>Sửa chữa Trường MN Bình Minh</t>
  </si>
  <si>
    <t>Sửa chữa Trường MN, TH số 1 Thị trấn</t>
  </si>
  <si>
    <t>Thị trấn</t>
  </si>
  <si>
    <t>Sửa chữa Trường  PTDT BT TH&amp;THCS Tênh phông</t>
  </si>
  <si>
    <t>Tênh Phông</t>
  </si>
  <si>
    <t>Sửa chữa Trường TH Mường Mùn</t>
  </si>
  <si>
    <t>Mường Mùn</t>
  </si>
  <si>
    <t xml:space="preserve">Sửa chữa Trường TH&amp;THCS Nà Sáy                                                          </t>
  </si>
  <si>
    <t>Nà Sáy</t>
  </si>
  <si>
    <t>Sửa chữa Trường THCS Mường Mùn</t>
  </si>
  <si>
    <t>Sửa chữa Trường PTDTBT THCS Mùn Chung</t>
  </si>
  <si>
    <t>Mùn Chung</t>
  </si>
  <si>
    <t>Sửa chữa Nhà làm việc  Phòng GD&amp;ĐT</t>
  </si>
  <si>
    <t>LG CĐNSĐP tỉnh 7tỷ</t>
  </si>
  <si>
    <t>Nguồn vốn ngân sách trung ương</t>
  </si>
  <si>
    <t>Trường THCS thị trấn Tuần Giáo, tỉnh Điện Biên</t>
  </si>
  <si>
    <t>Nguồn vốn cân đối ngân sách địa phương</t>
  </si>
  <si>
    <t>Đường từ bản Hồng Lực, xã Nà Sáy - bản Co Đứa xã Mường Khong, huyện Tuần Giáo</t>
  </si>
  <si>
    <t>Đường từ bản Co Đứa - TT xã Mường Khong, huyện Tuần Giáo</t>
  </si>
  <si>
    <t>Đường trung tâm xã Tênh Phông (Km1+967) - bản Thẳm Nặm, huyện Tuần Giáo</t>
  </si>
  <si>
    <t>LG dự phòng NSTW 5 tỷ</t>
  </si>
  <si>
    <t>LG dự phòng NSTW 12 tỷ</t>
  </si>
  <si>
    <t>TT Tuần Giáo; Xã Quài Tở</t>
  </si>
  <si>
    <t>Xã Pú Nhung + Rạng Đông + Ta Ma</t>
  </si>
  <si>
    <t>Biểu số 05</t>
  </si>
  <si>
    <t>6 Tháng/2022</t>
  </si>
  <si>
    <t>Kè khu lâm trường và khu dân cư khối Sơn Thủy thị trấn Tuần Giáo, huyện Tuần Giáo</t>
  </si>
  <si>
    <t>Trụ sở xã Tỏa Tình huyện Tuần Giáo</t>
  </si>
  <si>
    <t>Trường THCS xã Nà Sáy, huyện Tuần Giáo</t>
  </si>
  <si>
    <t>Đường Nậm Din - Khua Trá huyện Tuần Giáo</t>
  </si>
  <si>
    <t>Đường Phiêng Pi - Trại Phong huyện Tuần Giáo</t>
  </si>
  <si>
    <t>Đường nội cụm trung tâm cụm xã Nà Sáy</t>
  </si>
  <si>
    <t>Đường giao thông xã Ẳng Cang, huyện Tuần Giáo</t>
  </si>
  <si>
    <t>Kè chống sạt lở khu dân cư khu vực thị trấn Tuần Giáo</t>
  </si>
  <si>
    <t>Sửa chữa đường Mường Khong, bản Huổi Nôm, huyện Tuần Giáo</t>
  </si>
  <si>
    <t>Trường mầm non Mường Mùn xã Mường Mùn huyện Tuần Giáo</t>
  </si>
  <si>
    <t xml:space="preserve">Xã Nà Sáy </t>
  </si>
  <si>
    <t>Xã Ẳng Cang</t>
  </si>
  <si>
    <t>Nâng cấp đường vào bản Trung Dình</t>
  </si>
  <si>
    <t>Nâng cấp ngầm tràn bản Món</t>
  </si>
  <si>
    <t>Khắc phục hậu quả thiên tai đường từ bản Sáng xã Quài Cang đến bản Chế Á xã Tỏa Tình</t>
  </si>
  <si>
    <t>Nâng cấp cầu vào bản Thẩm Pao (02 cầu)</t>
  </si>
  <si>
    <t>Nâng cấp đường từ QL279 - bản Xá Tự</t>
  </si>
  <si>
    <t>Sửa chữa, nâng cấp đường từ bản Phiêng Hin đến bản Hua Sát</t>
  </si>
  <si>
    <t>Nâng cấp đường bản Kệt (khu dãn dân Púng Quái)</t>
  </si>
  <si>
    <t>Nâng cấp đường vào bản Phình Cứ</t>
  </si>
  <si>
    <t>Nâng cấp đường từ bản Nà Chua - Huổi Cáy</t>
  </si>
  <si>
    <t>Đường bản Lồng - QL6 xã Tỏa Tình</t>
  </si>
  <si>
    <t>Khắc phục hậu quả thiên tai thủy lợi bản Đứa xã Quài Tở</t>
  </si>
  <si>
    <t>Nâng cấp kênh thủy lợi bản Cón</t>
  </si>
  <si>
    <t>Nâng cấp kênh bản Ta thủy lợi bản Hua Ca</t>
  </si>
  <si>
    <t>Sửa chữa, nâng cấp thủy lợi bản Lồng xã Tỏa Tình</t>
  </si>
  <si>
    <t>Nâng cấp thủy lợi bản Phung và thủy lợi Ná Ban</t>
  </si>
  <si>
    <r>
      <t xml:space="preserve">Công trình tiếp chi </t>
    </r>
    <r>
      <rPr>
        <sz val="12"/>
        <rFont val="Times New Roman"/>
        <family val="1"/>
      </rPr>
      <t>(theo TT 92/2017/TT-BTC)</t>
    </r>
  </si>
  <si>
    <r>
      <t xml:space="preserve">Công trình KCM </t>
    </r>
    <r>
      <rPr>
        <sz val="12"/>
        <rFont val="Times New Roman"/>
        <family val="1"/>
      </rPr>
      <t>(theo TT 65/2021/TT-BTC)</t>
    </r>
  </si>
  <si>
    <t>Chi sau QT</t>
  </si>
  <si>
    <t>Ước giải ngân đến 31/12/2022</t>
  </si>
  <si>
    <t>Dự kiến kế hoạch vốn năm 2023</t>
  </si>
  <si>
    <t>Công trình đang QT</t>
  </si>
  <si>
    <t>11</t>
  </si>
  <si>
    <t>Thừa vốn sau QT</t>
  </si>
  <si>
    <t>Công trình đang TC</t>
  </si>
  <si>
    <t>Công trình chờ QT - Thừa vốn</t>
  </si>
  <si>
    <t>Công trình đang thi công</t>
  </si>
  <si>
    <t>Đang thực hiện QH</t>
  </si>
  <si>
    <t>Vốn cân đối ngân sách địa phương (tỉnh quản lý)</t>
  </si>
  <si>
    <t>Vốn đầu tư công</t>
  </si>
  <si>
    <t>Nhu cầu vốn năm 2023</t>
  </si>
  <si>
    <t>Nhu cầu kế hoạch vốn năm 2023</t>
  </si>
  <si>
    <t>Các công trình khời công mới năm 2023</t>
  </si>
  <si>
    <t>Đường từ bản Hồng Lực xã Nà Sáy - bản Co Đứa xã Mường Khong</t>
  </si>
  <si>
    <t>Đường từ bản Co Đứa - TT xã Mường Khong</t>
  </si>
  <si>
    <t>Tổng cộng</t>
  </si>
  <si>
    <t>12</t>
  </si>
  <si>
    <t>13</t>
  </si>
  <si>
    <t>Ttong đó</t>
  </si>
  <si>
    <t>QĐ số 4458 ngày 20/12/2021</t>
  </si>
  <si>
    <t>QĐ số 784 ngày 07/4/2022</t>
  </si>
  <si>
    <t>KẾT QUẢ THỰC HIỆN KINH PHÍ SỬA CHỮA, BẢO DƯỠNG CÁC CÔNG TRÌNH THUỘC SỰ NGHIỆP KINH TẾ 6 THÁNG ĐẦU NĂM 2022</t>
  </si>
  <si>
    <t xml:space="preserve">KẾT QUẢ THỰC HIỆN NGUỒN VỐN SỰ NGHIỆP GIÁO DỤC VÀ ĐÀO TẠO 6 THÁNG ĐẦU NĂM 2022 </t>
  </si>
  <si>
    <t>KH vốn 
năm 2022</t>
  </si>
  <si>
    <t>KẾT QUẢ THỰC HIỆN NGUỒN THU TIỀN SỬ DỤNG ĐẤT 9 THÁNG ĐẦU NĂM 2022</t>
  </si>
  <si>
    <t>9 tháng đầu năm 2022</t>
  </si>
  <si>
    <t>Nước sinh hoạt trung tâm xã Nà Tòng</t>
  </si>
  <si>
    <t>Đường QL279 - TT xã Pú Nhung</t>
  </si>
  <si>
    <t>Đường trung tâm xã Tênh Phông (Km1+967) – bản Thẳm Nặm, huyện Tuần Giáo.</t>
  </si>
  <si>
    <t>Đường BT nội bản Chứn xã Mường Thín</t>
  </si>
  <si>
    <t>Đường  giao thông từ bản Sáng đến bản Ten Cá xã Quài Cang</t>
  </si>
  <si>
    <t>Nhà văn hóa xã Quài Cang</t>
  </si>
  <si>
    <t>Nhà văn hóa xã Mường Khong</t>
  </si>
  <si>
    <t>Nhà văn hóa xã Tênh Phông</t>
  </si>
  <si>
    <t>Trụ sở xã Mường Khong</t>
  </si>
  <si>
    <t>Nhà văn hóa bản Lói xã Quài Tở</t>
  </si>
  <si>
    <t>Đường giao thông bản Yên - Thẳm Xả xã Mường Thín</t>
  </si>
  <si>
    <t>Đường giao thông từ bản Cộng đến bản Phang xã Chiềng Đông</t>
  </si>
  <si>
    <t>Đường giao thông từ ngã ba Pa Cá đến bản Nậm Cá xã Nà Sáy</t>
  </si>
  <si>
    <t>Đường Nậm Cá - Hồng Lực xã Nà Sáy</t>
  </si>
  <si>
    <t xml:space="preserve">Bản đặc biệt khó khăn (01 bản) Đường nội bản Dửn - Giai đoạn 2 </t>
  </si>
  <si>
    <t>Điểm trường mầm non Chiềng Ban xã Mùn Chung</t>
  </si>
  <si>
    <t>Đường bản Hán xã Quài Cang</t>
  </si>
  <si>
    <t>Nhà văn hoá bản Co Đứa xã Mường Khong</t>
  </si>
  <si>
    <t>Chương trình MTQG giảm nghèo bền vững</t>
  </si>
  <si>
    <t>Trung tâm văn hóa huyện Tuần Giáo</t>
  </si>
  <si>
    <t>Đường liên xã Nà Sáy - Mường Khong</t>
  </si>
  <si>
    <t>Trường PTDTBT tiểu học Khoong Hin</t>
  </si>
  <si>
    <t>Dự án tiếp chi</t>
  </si>
  <si>
    <t>Giao vốn tại QĐ 4650/QĐ-UBND nhưng chưa thực hiện được đấu giá QSD đất để phân bổ cho các dự án</t>
  </si>
  <si>
    <t>Chuyển nguồn năm 2021 sang từ QĐ 1583  ngày 17/08/202</t>
  </si>
  <si>
    <t>Ước giải ngân đến 31/1/2023</t>
  </si>
  <si>
    <t>Chương trình mục tiêu quốc gia xây dựng nông thôn mới</t>
  </si>
  <si>
    <t>Chương trình mục tiêu quốc gia giảm nghèo bền vững</t>
  </si>
  <si>
    <t xml:space="preserve">Vốn ngân sách trung ương </t>
  </si>
  <si>
    <t>Vốn Ngân sách địa phương</t>
  </si>
  <si>
    <t xml:space="preserve">ĐỀ XUẤT NHU CẦU ĐIỀU CHỈNH KẾ HOẠCH TRUNG HẠN GIAI ĐOẠN 2021-2025 </t>
  </si>
  <si>
    <t xml:space="preserve">Quyết định đầu tư </t>
  </si>
  <si>
    <t>Kế hoạch trung hạn 2021-2025</t>
  </si>
  <si>
    <t>Đề xuất điều chỉnh</t>
  </si>
  <si>
    <t>Kế hoạch trung hạn 2021-2025 sau điều chỉnh</t>
  </si>
  <si>
    <t>Số QĐ; ngày, tháng, năm ban hành</t>
  </si>
  <si>
    <t xml:space="preserve">TMĐT </t>
  </si>
  <si>
    <t>Trong đó: Vốn NSTW</t>
  </si>
  <si>
    <t>Trong đó:</t>
  </si>
  <si>
    <t>Tăng</t>
  </si>
  <si>
    <t>Giảm</t>
  </si>
  <si>
    <t xml:space="preserve"> Đã giao năm 2021</t>
  </si>
  <si>
    <t xml:space="preserve"> Đã giao năm 2022</t>
  </si>
  <si>
    <t>1427/QĐ-UBND
ngày 14/8/2022</t>
  </si>
  <si>
    <t>13.000 triệu đồng từ nguồn vốn giảm không thực hiện dự án của công trình Đường liên xã Quài Cang – Tỏa Tình</t>
  </si>
  <si>
    <t>Đường liên xã Quài Cang – Tỏa Tình</t>
  </si>
  <si>
    <t>Hủy dự án</t>
  </si>
  <si>
    <t>Trường Phổ thông Dân tộc bán trú THCS Mùn Chung</t>
  </si>
  <si>
    <t>Bổ sung dự án; 14.000 triệu đồng từ nguồn vốn giảm không thực hiện dự án của công trình Đường liên xã Quài Cang – Tỏa Tình.</t>
  </si>
  <si>
    <t>STT</t>
  </si>
  <si>
    <t>Kế hoạch vốn giai đoạn 2021-2025</t>
  </si>
  <si>
    <t>Điều chỉnh kế hoạch vốn NSTW năm 2022</t>
  </si>
  <si>
    <t>Nguyên nhân điều chỉnh</t>
  </si>
  <si>
    <t>Tổng số tất cả các nguồn vốn</t>
  </si>
  <si>
    <t>Kế hoạch vốn NSTW năm 2022 sau điều chỉnh</t>
  </si>
  <si>
    <t>Cương trình MTQG phát triển KT-XH vùng đồng bào dân tộc thiểu số và miền núi</t>
  </si>
  <si>
    <t>Thừa vốn do hết nhiệm vụ chi (Chi phí này đã thực hiện - Nhân dân đóng góp)</t>
  </si>
  <si>
    <t>Thừa vốn do hết nhiệm vụ chi</t>
  </si>
  <si>
    <t>Đường từ bản Nà Sáy 1 đến Pa Cá, xã Nà Sáy</t>
  </si>
  <si>
    <t>Đường giao thông bản Yên - Thẳm Xả xã Mường Thín (giai đoạn 2)</t>
  </si>
  <si>
    <t>Dự án khởi công mới</t>
  </si>
  <si>
    <t>Do trừ chi phí dự phòng; khối lượng xây lắp giảm so với hợp đồng; chi phí GPMB giảm so với QĐ phê duyệt</t>
  </si>
  <si>
    <t>ĐIỀU CHỈNH KẾ HOẠCH VỐN ĐẦU TƯ CÔNG NĂM 2022 CỦA 03 CHƯƠNG TRÌNH MỤC TIÊU QUỐC GIA</t>
  </si>
  <si>
    <t>Kế hoạch vốn năm 2022 đã giao</t>
  </si>
  <si>
    <t>Giữ nguyên KHV</t>
  </si>
  <si>
    <t>BIỂU SỐ 05</t>
  </si>
  <si>
    <t>Tỷ lệ giải ngân so với KH vốn giao (%)</t>
  </si>
  <si>
    <t>ĐIỀU CHỈNH KẾ HOẠCH VỐN ĐẦU TƯ CÔNG NĂM 2022 NGUỒN CÂN ĐỐI NGÂN SÁCH ĐỊA PHƯƠNG (TỈNH QUẢN LÝ)</t>
  </si>
  <si>
    <t xml:space="preserve">Thừa vốn do hết nhiệm vụ chi </t>
  </si>
  <si>
    <t>Trong đó: Vốn NSĐP</t>
  </si>
  <si>
    <t>Điều chỉnh kế hoạch vốn NSĐP năm 2022</t>
  </si>
  <si>
    <t>Kế hoạch vốn NSĐPnăm 2022 sau điều chỉnh</t>
  </si>
  <si>
    <t>Không chi hết KHV đã giao</t>
  </si>
  <si>
    <t>Giữ nguyên KHV đã giao</t>
  </si>
  <si>
    <t>BIỂU SỐ 06</t>
  </si>
  <si>
    <t>Tỷ lệ giải ngân ước đến 31/1/2023</t>
  </si>
  <si>
    <t>Đường QL6 - bản Co Sản, xã Mùn Chung</t>
  </si>
  <si>
    <t>Sửa chữa đường bản Bó - bản Nôm - bản Chăn, xã Chiềng Đông</t>
  </si>
  <si>
    <t>Đường trung tâm xã Tỏa Tình - bản Hua Sa A, huyện Tuần Giáo</t>
  </si>
  <si>
    <t>Nước sinh hoạt bản Ten Cá</t>
  </si>
  <si>
    <t>Có khối lượng hoàn thành, nhưng chưa bố trí đủ vốn</t>
  </si>
  <si>
    <t>Đề xuất điều chỉnh KHV</t>
  </si>
  <si>
    <t>Đường từ bản Mu - bản Cưởm</t>
  </si>
  <si>
    <t xml:space="preserve">Đường bê tông QL 279 - bản Vánh 3 </t>
  </si>
  <si>
    <t>BIỂU SỐ 07</t>
  </si>
  <si>
    <t>ĐỀ XUẤT KẾ HOẠCH VỐN ĐẦU TƯ CÔNG NĂM 2022 CỦA 03 CHƯƠNG TRÌNH MỤC TIÊU QUỐC GIA</t>
  </si>
  <si>
    <t>Trả nợ sau QT</t>
  </si>
  <si>
    <t>Chương trình mục tiêu quốc gia phát triển kinh tế - xã hội vùng đồng bào dân tộc thiểu số và miền núi</t>
  </si>
  <si>
    <t>Nguồn vốn Đầu tư phát triển các Chương trình mục tiêu quốc gia</t>
  </si>
  <si>
    <t>Xã Nà Sáy - Mường Khong</t>
  </si>
  <si>
    <t>KCM 2022</t>
  </si>
  <si>
    <t>Xã Mường Thín</t>
  </si>
  <si>
    <t>Chương trình MTQG phát triển kinh tế - xã hội vùng đồng bào dân tộc thiểu số và miền núi</t>
  </si>
  <si>
    <t>Đường giao thông bản Yên - Thẩm Xả xã Mường Thín (giai đoạn 2)</t>
  </si>
  <si>
    <t>Xã Tênh Phông</t>
  </si>
  <si>
    <t>Đường từ bản Nà Sáy 1 đến Pa Cá xã Nà Sáy</t>
  </si>
  <si>
    <t>Đường từ bản Hồng Lực, xã Nà Sáy – bản Co Đứa, xã Mường Khong, huyện Tuần Giáo.</t>
  </si>
  <si>
    <t>Chương trình MTQG xây dựng nông thôn mới</t>
  </si>
  <si>
    <t>Giá trị giải ngân đến 31/12/2022</t>
  </si>
  <si>
    <t>Giá trị KLTH từ 01/01/2022 đến 31/12/2022</t>
  </si>
  <si>
    <t>Tỷ lệ KLTH so với KH vốn giao (%)</t>
  </si>
  <si>
    <t>Lũy kế GN từ khởi công</t>
  </si>
  <si>
    <t xml:space="preserve"> KẾT QUẢ THỰC HIỆN NGUỒN VỐN ĐẦU TƯ PHÁT TRIỂN CÁC CHƯƠNG TRÌNH MỤC TIÊU QUỐC GIA NĂM 2022</t>
  </si>
  <si>
    <t>KẾT QUẢ THỰC HIỆN NGUỒN VỐN NGÂN SÁCH TRUNG ƯƠNG VÀ NGUỒN CÂN ĐỐI NGÂN SÁCH ĐỊA PHƯƠNG (TỈNH QUẢN LÝ) NĂM 2022</t>
  </si>
  <si>
    <t xml:space="preserve"> KẾT QUẢ THỰC HIỆN NGUỒN VỐN CÂN ĐỐI NGÂN SÁCH ĐỊA PHƯƠNG (HUYỆN QUẢN LÝ) NĂM 2022</t>
  </si>
  <si>
    <t xml:space="preserve"> Năm 2022</t>
  </si>
  <si>
    <t>BIỂU TỔNG HỢP KẾT QUẢ THỰC HIỆN NGUỒN VỐN SỰ NGHIỆP CÁC CHƯƠNG TRÌNH MTQG ĐẦU NĂM 2022</t>
  </si>
  <si>
    <t>Vốn sự nghiệp NSTW</t>
  </si>
  <si>
    <t>Vốn đối ứng NS huyện</t>
  </si>
  <si>
    <t>Dự án 1: Giải quyết tình trạng thiếu đất ở, nhà ở, đất sản xuất và nước sinh hoạt</t>
  </si>
  <si>
    <t>Dự án 3: Phát triển sản xuất, nông lâm nghiệp bền vững, phát triển tiềm năng, thế mạnh của các vùng miền để sản xuất hàng hoá theo chuỗ giá trị.</t>
  </si>
  <si>
    <t>Dự án 4: Đầu tư cơ sở hạ tầng thiết yếu phục vụ sản xuất đời sống trong vùng đồng bào dân tộc thiểu số và miền núi</t>
  </si>
  <si>
    <t xml:space="preserve">Dự án 5: Phát triển giáo dục đào tạo nâng cao chất lượng nguồn nhân lực </t>
  </si>
  <si>
    <t>Dự án 6: Bảo tồn phát huy giá trị văn hoá truyền thống tốt đẹp của các dân tộc thiểu số gắn với phát triển du lịch</t>
  </si>
  <si>
    <t>-</t>
  </si>
  <si>
    <t>Tiểu dự án 2: Hỗ trợ phát triển sản xuất theo chuỗi giá trị, vùng trồng dược liệu quý, thúc đẩy khởi nghiệp kinh doanh khởi nghiệp và thu hút đầu tư vùng đồng bào DTTS&amp;MN</t>
  </si>
  <si>
    <t xml:space="preserve">Tiểu dự án 1: Đầu tư cơ sở hạ tầng thiết yếu , phục vụ sản xuất, đời sống trong vùng đồng bào dân tộc thiểu số và miền núi </t>
  </si>
  <si>
    <t xml:space="preserve">Tiểu dự án 2: Bồi dưỡng kiến thức dân tộc; đào tạo dự bị đại học, đại học và sau đại học đáp ứng nhu cầu nhân lực cho vùng đồng bào dân tộc thiểu số </t>
  </si>
  <si>
    <t>Tiểu dự án 3: Dự án phát triển giáo dục nghề nghiệp (GDNN) và giải quyết việc làm cho người lao động vùng dân tộc thiểu số và miền núi</t>
  </si>
  <si>
    <t>CHƯƠNG TRÌNH MTQG XÂY DỰNG NÔNG THÔN MỚI</t>
  </si>
  <si>
    <t>CHƯƠNG TRÌNH MTQG PHÁT TRIỂN KINH TẾ - XÃ HỘI VÙNG ĐỒNG BÀO DÂN TỘC THIỂU SỐ VÀ MIỀN NÚI</t>
  </si>
  <si>
    <t>Dự án 8: Thực hiện bình đẳng giới và giải quyết nhữn vấn đề cấp thiết đối với phụ nữ và trẻ em</t>
  </si>
  <si>
    <t>Dự án 9: Đầu tư phát triển nhóm dân tộc thiểu số còn nhiều khó khăn và khó khăn đặc thù</t>
  </si>
  <si>
    <t>Tiểu Dự án 1: Đầu tư phát triển kinh tế - xã hội các dân tộc còn gặp nhiều khó khăn, dân tộc có khó khăn đặc thù</t>
  </si>
  <si>
    <t>Tiểu Dự án 2: Giảm thiểu tình trạng tảo hôn và hôn nhân cận huyết thống trong vùng đồng bào dân tộc thiểu số và miền núi</t>
  </si>
  <si>
    <t>Dự án 10: Truyền thông, tuyên truyền, vận động trong vùng đồng bào dân tộc thiểu số và miền núi.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</si>
  <si>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2021-2030 (Sự nghiệp Văn hóa - Thông tin)</t>
  </si>
  <si>
    <t>Tiểu dự án 2: Ứng dụng công nghệ thông tin hỗ trợ phát triển kinh tế - xã hội và đảm bảo an ninh trật tự vùng đồng bào dân tộc thiểu số và miền núi</t>
  </si>
  <si>
    <t>Tiểu dự án 3: Kiểm tra, giám sát, đánh giá, đào tạo, tập huấn tổ chức thực hiện Chương trình</t>
  </si>
  <si>
    <t>Dự án 1: Hỗ trợ đầu tư phát triển hạ tầng kinh tế - xã hội các huyện nghèo, các xã ĐBKK vùng bãi ngang, ven biển và hải đảo</t>
  </si>
  <si>
    <t>CHƯƠNG TRÌNH MTQG GIẢM NGHÈO BỀN VỮNG</t>
  </si>
  <si>
    <t>Tiểu dự án 1: Hỗ trợ đầu tư phát triển hạ tầng kinh tế - xã hội các huyện nghèo, xã ĐBKK vùng bãi ngang, ven biển và hải đảo</t>
  </si>
  <si>
    <t>Dự án 2: Đa dạng hóa sinh kế, phát triển mô hình giảm nghèo</t>
  </si>
  <si>
    <t>Dự án 3: Hỗ trợ phát triển sản xuất, cải thiện dinh dưỡng</t>
  </si>
  <si>
    <t>Tiểu dự án 1: Hỗ trợ phát triển sản xuất trong lĩnh vực nông nghiệp</t>
  </si>
  <si>
    <t>Dự án 4: Phát triển giáo dục nghề nghiệp, việc làm bền vững</t>
  </si>
  <si>
    <t>Tiểu dự án 1: Phát triển giáo dục nghề nghiệp vùng nghèo, vùng khó khăn (nguồn sự nghiệp)</t>
  </si>
  <si>
    <t>Tiểu dự án 2: Hỗ trợ người lao động đi làm việc ở nước ngoài theo hợp đồng</t>
  </si>
  <si>
    <t xml:space="preserve">Tiểu dự án 3: Hỗ trợ việc làm bền vững </t>
  </si>
  <si>
    <t>Dự án 6: Truyền thông và giảm nghèo về thông tin</t>
  </si>
  <si>
    <t>Tiểu dự án 1: Giảm nghèo về thông tin</t>
  </si>
  <si>
    <t>Tiểu dự án 2: Truyền thông về giảm nghèo đa chiều</t>
  </si>
  <si>
    <t>Dự án 7: Nâng cao năng lực và giám sát, đánh giá Chương trình</t>
  </si>
  <si>
    <t>Tiểu dự án 1: Nâng cao năng lực thực hiện Chương trình</t>
  </si>
  <si>
    <t>Tiểu dự án 2: Giám sát, đánh giá</t>
  </si>
  <si>
    <t>Nội dung 04: Triển khai Chương trình mỗi xã một sản phẩm (OCOP) gắn với lợi thế vùng miền</t>
  </si>
  <si>
    <t xml:space="preserve">Nội dung 01: Nâng cao chất lượng và hiệu quả công tác kiểm tra, giám sát, đánh giá kết quả thực hiện Chương trình; xây dựng hệ thống giám sát, đánh giá đồng bộ, toàn diện đáp ứng yêu cầu quản lý Chương trình, đặc biệt xây dựng hệ thống giám sát thông qua bản đồ số và cơ sở dữ liệu; nhân rộng mô hình giám sát an ninh hiện đại và giám sát của cộng đồng </t>
  </si>
  <si>
    <t>Lũy kế từ khởi công</t>
  </si>
  <si>
    <t>6 Tháng</t>
  </si>
  <si>
    <t>Số..., ngày .../.../...</t>
  </si>
  <si>
    <t>Số 2186, ngày 18/12/2020 (Kế hoạch vốn giao đầu năm)</t>
  </si>
  <si>
    <t>Khối lượng thực hiện</t>
  </si>
  <si>
    <t>Kế hoạch vốn năm 2021</t>
  </si>
  <si>
    <t>ĐVT: Trệu đồng</t>
  </si>
  <si>
    <t xml:space="preserve">6 Tháng </t>
  </si>
  <si>
    <t xml:space="preserve">3 tháng </t>
  </si>
  <si>
    <t>Năm 2020</t>
  </si>
  <si>
    <t xml:space="preserve">Địa điểm xây dựng </t>
  </si>
  <si>
    <t>Công trình khởi công mới 2022</t>
  </si>
  <si>
    <t xml:space="preserve"> TÌNH HÌNH THỰC HIỆN KẾ HOẠCH VỐN SỰ NGHIỆP GIÁO DỤC VÀ ĐÀO TẠO (CÓ TÍNH CHẤT ĐẦU TƯ) NĂM 2022</t>
  </si>
  <si>
    <t>Biểu 07</t>
  </si>
  <si>
    <t>Biểu 06</t>
  </si>
  <si>
    <t>IV</t>
  </si>
  <si>
    <t>Nguồn vốn Sự nghiệp các Chương trình mục tiêu quốc gia</t>
  </si>
  <si>
    <t>V</t>
  </si>
  <si>
    <t>Sự nghiệp Giáo dục và Đào tạo</t>
  </si>
  <si>
    <t>Hỗ trợ đất trồng lúa</t>
  </si>
  <si>
    <t>VI</t>
  </si>
  <si>
    <t>Nguồn vốn đầu tư từ nguồn thu tiền sử dụng đất</t>
  </si>
  <si>
    <t>Biểu số 07</t>
  </si>
  <si>
    <t>Biểu số 06</t>
  </si>
  <si>
    <t>Biểu số 08</t>
  </si>
  <si>
    <t>Đề nghị giảm 4.727 do không không có dân tộc đặc thù</t>
  </si>
  <si>
    <t>Xã Rạng Đông - Ta Ma</t>
  </si>
  <si>
    <t>Sửa chữa Nhà làm việc Phòng GD&amp;ĐT</t>
  </si>
  <si>
    <t>Sửa chữa Trường  PTDT BT TH&amp;THCS Tênh Phông</t>
  </si>
  <si>
    <t>BIỂU TỔNG HỢP KẾT QUẢ THỰC HIỆN CÁC NGUỒN VỐN NĂM 2022</t>
  </si>
  <si>
    <t>Kè chống xói lở suối Nậm Hon khu vực bản Sái Ngoài xã Quài Cang</t>
  </si>
  <si>
    <t>Kè chống xói lở suối Nậm Hon (khu vực bản Chiềng Chung)</t>
  </si>
  <si>
    <t>Khắc phục hậu quả thiên tai tuyến đường Há Dùa - Xá Tự</t>
  </si>
  <si>
    <t>Khắc phục hậu quả thiên tai tuyến đường Tuần Giáo - Tênh Phông; Điểm sạt ngã ba Há Dùa; Pú Xi - Hát Lấu</t>
  </si>
  <si>
    <t>Khắc phục hậu quả thiên tai tuyến đường từ TT xã Tênh Phông đến ngã ba Há Dùa (giai đoạn 1)</t>
  </si>
  <si>
    <t>Khắc phục hậu quả thiên tai các tuyến đường bản: Nôm - bản Chăn - Hua Chăn; Pa Cá - Nậm Cá; Phiêng Hin - Hua Sát</t>
  </si>
  <si>
    <t>Khắc phục hậu quả thiên tai tuyến đường: Pú Nhung - Rạng Đông - Phình Sáng</t>
  </si>
  <si>
    <t>Xã Pú Nhung; Rạng Đông; Phình Sáng</t>
  </si>
  <si>
    <t>Sửa chữa nhà làm việc khối đoàn thể</t>
  </si>
  <si>
    <t>Phụ trợ trụ sở xã và nhà văn hóa xã Phình Sáng</t>
  </si>
  <si>
    <t>Nâng cấp, sửa chữa Khu cách ly Mùn Chung + các Chốt kiểm dịch và các hạng mục phụ trợ các Khu cách ly</t>
  </si>
  <si>
    <t>Trạm khai báo y tế tại chân đèo Pha Đin và các hạng mục phụ trợ khu điều trị, cách ly khai báo y tế</t>
  </si>
  <si>
    <t>Xây dựng hạ tầng khu trung tâm mới xã Nà Tòng</t>
  </si>
  <si>
    <t>Mở rộng mặt bằng khu tái định cư khối Tân Giang</t>
  </si>
  <si>
    <t>Bãi đổ thải bản Sái Ngoài xã Quài Cang</t>
  </si>
  <si>
    <t>Mở rộng nghĩa trang bản Chiềng Khoang</t>
  </si>
  <si>
    <t>Đề nghị chuyển nguồn sang năm 2023</t>
  </si>
  <si>
    <t xml:space="preserve">Thừa vốn hết nhu cầu </t>
  </si>
  <si>
    <t>Thừa 37,8 triệu</t>
  </si>
  <si>
    <t>Thừa 12 triệu do hết nhiệm vụ chi</t>
  </si>
  <si>
    <t>Công trình đang điều chỉnh quy hoạch nên chưa có khối lượng đề nghị chuyển sang công trình khác</t>
  </si>
  <si>
    <t>Thừa 668,4 do hết nhiệm vụ chi</t>
  </si>
  <si>
    <t>Sửa chữa nâng cấp đường từ bản Phiêng Hin đến bản Hua Sát</t>
  </si>
  <si>
    <t>Xã Quài Cang; xã Tỏa Tình</t>
  </si>
  <si>
    <t>Nâng cấp đường từ bản Nà Chua - bản Huổi Cáy</t>
  </si>
  <si>
    <t>Chưa thực hiện được</t>
  </si>
  <si>
    <t>Do chưa có hướng dẫn của Bộ thông tin và truyền thông để thực hiện dự án</t>
  </si>
  <si>
    <t>Nâng cấp đường QL6 - TT xã Rạng Đông - TT xã Phình Sáng - Phảng Củ, huyện Tuần Giáo</t>
  </si>
  <si>
    <t>Dự án bảo vệ và phát triển rừng bền vững tỉnh Điện Biên giai đoạn 2021-2025</t>
  </si>
  <si>
    <t>xã Rạng Đông -  Phình Sáng</t>
  </si>
  <si>
    <t>Biểu 01</t>
  </si>
  <si>
    <t>Ước giải ngân đến 31/01/2023</t>
  </si>
  <si>
    <t>BIỂU TỔNG HỢP KẾT QUẢ THỰC HIỆN NGUỒN VỐN SỰ NGHIỆP CÁC CHƯƠNG TRÌNH MTQG NĂM 2022</t>
  </si>
  <si>
    <t>KẾT QUẢ THỰC HIỆN NGUỒN THU TIỀN ĐẤU GIÁ QUYỀN SỬ DỤNG ĐẤT NĂM 2022</t>
  </si>
  <si>
    <t>TÌNH HÌNH THỰC HIỆN KẾ HOẠCH NGUỒN VỐN SỰ NGHIỆP KINH TẾ NĂM 2022</t>
  </si>
  <si>
    <t xml:space="preserve"> TÌNH HÌNH THỰC HIỆN KẾ HOẠCH VỐN SỰ NGHIỆP GIÁO DỤC VÀ ĐÀO TẠO NĂM 2022</t>
  </si>
  <si>
    <t>Thừa vốn</t>
  </si>
  <si>
    <t>Đường nội bản Nậm Din + Háng Khúa xã Phình Sáng</t>
  </si>
  <si>
    <t xml:space="preserve">ước chi đền bù 1,8 tỷ; giá trị dư ứng xây lắp 950 tr. </t>
  </si>
  <si>
    <t>Thanh toán sau QT</t>
  </si>
  <si>
    <t>Các nguồn vốn sự nghiệp ngân sách huyện</t>
  </si>
  <si>
    <t>Biểu 02-ĐT</t>
  </si>
  <si>
    <t>Biểu 03-ĐT</t>
  </si>
  <si>
    <t>Biểu 04-ĐT</t>
  </si>
  <si>
    <t>Biểu 05-ĐT</t>
  </si>
  <si>
    <t>Biểu 06-ĐT</t>
  </si>
  <si>
    <t>Biểu 08-ĐT</t>
  </si>
  <si>
    <t>Biểu 08-SNCTMT</t>
  </si>
  <si>
    <t>Không thực hiện nội dung này</t>
  </si>
  <si>
    <t>Tập chuấn chi được; hỗ trợ đài phát thanh phải có định mức</t>
  </si>
  <si>
    <t>Hiện nay chưa có quy định theo từng hộ. Định mức theo QĐ 23/2022 cao hơn giai đoạn trước.</t>
  </si>
  <si>
    <t>chưa có định mức hỗ trợ tối đa từng hộ
Tỉnh sẽ không ban hành định mức chung. Từng huyện sẽ cănc cứ tình hình địa phương phân phối thực hiện</t>
  </si>
  <si>
    <t>Trường PTDTBT TH và THCS pú xi do đ/c Chiến UB TƯ mặt trận tổ quốc việt nam đề nghị đầu tư bằng nguồn vốn xã hội hóa của UB mặt trận tổ quốc. Tỉnh có chủ tương nếu 2024 không lấy được vốn XH hóa thì đàu tư từ năm 2024</t>
  </si>
  <si>
    <t>5-1</t>
  </si>
  <si>
    <t>5-2</t>
  </si>
  <si>
    <t>KH vốn năm 2022</t>
  </si>
  <si>
    <t>Trong đó đã giao tại QĐ 1684 UBND huyện:</t>
  </si>
  <si>
    <t>5-3</t>
  </si>
  <si>
    <t>5-4</t>
  </si>
  <si>
    <t>5-5</t>
  </si>
  <si>
    <t>5-6</t>
  </si>
  <si>
    <t>5-7</t>
  </si>
  <si>
    <t>Thừa 40,6 triệu do hết nhiệm vụ chi</t>
  </si>
  <si>
    <t>Kế hoạch vốn sau điều chỉnh bổ sung</t>
  </si>
  <si>
    <t>3-1</t>
  </si>
  <si>
    <t>3-2</t>
  </si>
  <si>
    <t>3-3</t>
  </si>
  <si>
    <t>3-4</t>
  </si>
  <si>
    <t>3-5</t>
  </si>
  <si>
    <t>3-6</t>
  </si>
  <si>
    <t>Điều chỉnh tại QĐ 2105 UBND tỉnh</t>
  </si>
  <si>
    <t>Điều chỉnh giảm do  kế hoạch sử dụng đất phê duyệt chậm</t>
  </si>
  <si>
    <t>Giao vốn muộn nên tháng 12 mới lựa chọn nhà thầu XL (ước tạm ứng và KLTH của tư vấn)</t>
  </si>
  <si>
    <t>Dự ước tiền đấu giá, sẽ thực hiện giải ngân ngay sau khi được phân bổ</t>
  </si>
  <si>
    <t>(Kèm theo Báo cáo số 899/BC-UBND, ngày 28 háng 11 năm 2022 của UBND huyện Tuần Giáo)</t>
  </si>
  <si>
    <t>PHỤ LỤC I</t>
  </si>
  <si>
    <t>(Kèm theo Báo cáo số: 899/BC-UBND ngày 28 tháng 11 năm 2022 của UBND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</si>
</sst>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3" formatCode="_-* #,##0.00\ _₫_-;\-* #,##0.00\ _₫_-;_-* &quot;-&quot;??\ _₫_-;_-@_-"/>
    <numFmt numFmtId="164" formatCode="_(* #,##0.00_);_(* \(#,##0.00\);_(* &quot;-&quot;??_);_(@_)"/>
    <numFmt numFmtId="165" formatCode="_(* #,##0.0_);_(* \(#,##0.0\);_(* &quot;-&quot;??_);_(@_)"/>
    <numFmt numFmtId="166" formatCode="_-* #,##0.0_-;\-* #,##0.0_-;_-* &quot;-&quot;??_-;_-@_-"/>
    <numFmt numFmtId="167" formatCode="_-* #,##0.00_-;\-* #,##0.00_-;_-* &quot;-&quot;??_-;_-@_-"/>
    <numFmt numFmtId="168" formatCode="_(* #,##0.0_);_(* \(#,##0.0\);_(* &quot;-&quot;?_);_(@_)"/>
    <numFmt numFmtId="169" formatCode="_-* #,##0.0\ _₫_-;\-* #,##0.0\ _₫_-;_-* &quot;-&quot;??\ _₫_-;_-@_-"/>
    <numFmt numFmtId="170" formatCode="#,##0.000"/>
    <numFmt numFmtId="171" formatCode="_(* #,##0.0000_);_(* \(#,##0.0000\);_(* &quot;-&quot;??_);_(@_)"/>
    <numFmt numFmtId="172" formatCode="_-* #,##0_-;\-* #,##0_-;_-* &quot;-&quot;??_-;_-@_-"/>
    <numFmt numFmtId="173" formatCode="#,##0.0"/>
    <numFmt numFmtId="174" formatCode="_-* #,##0.0\ _₫_-;\-* #,##0.0\ _₫_-;_-* &quot;-&quot;?\ _₫_-;_-@_-"/>
    <numFmt numFmtId="175" formatCode="0.0%"/>
    <numFmt numFmtId="176" formatCode="_-* #,##0.00\ _₫_-;\-* #,##0.00\ _₫_-;_-* &quot;-&quot;&quot;?&quot;&quot;?&quot;\ _₫_-;_-@_-"/>
    <numFmt numFmtId="177" formatCode="#,##0.00\ &quot;?&quot;;[Red]\-#,##0.00\ &quot;?&quot;"/>
    <numFmt numFmtId="178" formatCode="0.000%"/>
    <numFmt numFmtId="179" formatCode="0.000"/>
    <numFmt numFmtId="180" formatCode="_-* #,##0\ _₫_-;\-* #,##0\ _₫_-;_-* &quot;-&quot;??\ _₫_-;_-@_-"/>
    <numFmt numFmtId="181" formatCode="#,##0.0_);\(#,##0.0\)"/>
    <numFmt numFmtId="182" formatCode="&quot;$&quot;#,##0;[Red]\-&quot;$&quot;#,##0"/>
    <numFmt numFmtId="183" formatCode="_-&quot;$&quot;* #,##0_-;\-&quot;$&quot;* #,##0_-;_-&quot;$&quot;* &quot;-&quot;_-;_-@_-"/>
    <numFmt numFmtId="184" formatCode="_-* #,##0_-;\-* #,##0_-;_-* &quot;-&quot;_-;_-@_-"/>
    <numFmt numFmtId="185" formatCode="_-&quot;$&quot;* #,##0.00_-;\-&quot;$&quot;* #,##0.00_-;_-&quot;$&quot;* &quot;-&quot;??_-;_-@_-"/>
    <numFmt numFmtId="186" formatCode="00.000"/>
    <numFmt numFmtId="187" formatCode="&quot;￥&quot;#,##0;&quot;￥&quot;\-#,##0"/>
    <numFmt numFmtId="188" formatCode="#,##0\ &quot;DM&quot;;\-#,##0\ &quot;DM&quot;"/>
    <numFmt numFmtId="189" formatCode="\$#,##0\ ;\(\$#,##0\)"/>
    <numFmt numFmtId="190" formatCode="&quot;\&quot;#,##0;[Red]&quot;\&quot;&quot;\&quot;\-#,##0"/>
    <numFmt numFmtId="191" formatCode="&quot;\&quot;#,##0.00;[Red]&quot;\&quot;&quot;\&quot;&quot;\&quot;&quot;\&quot;&quot;\&quot;&quot;\&quot;\-#,##0.00"/>
    <numFmt numFmtId="192" formatCode="0.00_)"/>
    <numFmt numFmtId="193" formatCode="#,##0\ &quot;F&quot;;[Red]\-#,##0\ &quot;F&quot;"/>
    <numFmt numFmtId="194" formatCode="#,##0.00\ &quot;F&quot;;\-#,##0.00\ &quot;F&quot;"/>
    <numFmt numFmtId="195" formatCode="#,##0.00\ &quot;F&quot;;[Red]\-#,##0.00\ &quot;F&quot;"/>
    <numFmt numFmtId="196" formatCode="_-* #,##0\ &quot;F&quot;_-;\-* #,##0\ &quot;F&quot;_-;_-* &quot;-&quot;\ &quot;F&quot;_-;_-@_-"/>
    <numFmt numFmtId="197" formatCode="_(* #,##0_);_(* \(#,##0\);_(* &quot;-&quot;???_);_(@_)"/>
    <numFmt numFmtId="198" formatCode="#,##0.00000"/>
    <numFmt numFmtId="199" formatCode="0.0000"/>
    <numFmt numFmtId="200" formatCode="0.0"/>
  </numFmts>
  <fonts count="63">
    <font>
      <sz val="12"/>
      <color theme="1"/>
      <name val="Times New Roman"/>
      <family val="2"/>
      <charset val="163"/>
    </font>
    <font>
      <i/>
      <sz val="12"/>
      <color theme="1"/>
      <name val="Times New Roman"/>
      <family val="1"/>
    </font>
    <font>
      <b/>
      <sz val="12"/>
      <color theme="1"/>
      <name val="Times New Roman"/>
      <family val="1"/>
    </font>
    <font>
      <b/>
      <sz val="11"/>
      <color theme="1"/>
      <name val="Times New Roman"/>
      <family val="1"/>
    </font>
    <font>
      <b/>
      <i/>
      <sz val="12"/>
      <color theme="1"/>
      <name val="Times New Roman"/>
      <family val="1"/>
    </font>
    <font>
      <sz val="12"/>
      <color theme="1"/>
      <name val="Times New Roman"/>
      <family val="1"/>
    </font>
    <font>
      <sz val="12"/>
      <color theme="1"/>
      <name val="Times New Roman"/>
      <family val="2"/>
      <charset val="163"/>
    </font>
    <font>
      <b/>
      <u/>
      <sz val="12"/>
      <name val="Times New Roman"/>
      <family val="1"/>
    </font>
    <font>
      <sz val="10"/>
      <name val="Arial"/>
      <family val="2"/>
    </font>
    <font>
      <b/>
      <sz val="12"/>
      <name val="Times New Roman"/>
      <family val="1"/>
    </font>
    <font>
      <sz val="12"/>
      <name val="Times New Roman"/>
      <family val="1"/>
    </font>
    <font>
      <i/>
      <sz val="12"/>
      <name val="Times New Roman"/>
      <family val="1"/>
    </font>
    <font>
      <sz val="12"/>
      <name val=".VnTime"/>
      <family val="2"/>
    </font>
    <font>
      <sz val="10"/>
      <name val="Times New Roman"/>
      <family val="1"/>
      <charset val="163"/>
    </font>
    <font>
      <b/>
      <sz val="9"/>
      <color indexed="81"/>
      <name val="Tahoma"/>
      <family val="2"/>
    </font>
    <font>
      <sz val="9"/>
      <color indexed="81"/>
      <name val="Tahoma"/>
      <family val="2"/>
    </font>
    <font>
      <sz val="12"/>
      <color rgb="FFFF0000"/>
      <name val="Times New Roman"/>
      <family val="1"/>
    </font>
    <font>
      <b/>
      <sz val="12"/>
      <color rgb="FFFF0000"/>
      <name val="Times New Roman"/>
      <family val="1"/>
    </font>
    <font>
      <sz val="12"/>
      <name val="Times New Roman"/>
      <family val="1"/>
      <charset val="163"/>
    </font>
    <font>
      <sz val="14"/>
      <name val="Times New Roman"/>
      <family val="1"/>
    </font>
    <font>
      <sz val="10"/>
      <name val="Helv"/>
      <family val="2"/>
    </font>
    <font>
      <sz val="12"/>
      <color rgb="FF0000CC"/>
      <name val="Times New Roman"/>
      <family val="1"/>
    </font>
    <font>
      <b/>
      <u/>
      <sz val="12"/>
      <color theme="1"/>
      <name val="Times New Roman"/>
      <family val="1"/>
    </font>
    <font>
      <b/>
      <sz val="14"/>
      <color theme="1"/>
      <name val="Times New Roman"/>
      <family val="1"/>
    </font>
    <font>
      <b/>
      <sz val="14"/>
      <name val="Times New Roman"/>
      <family val="1"/>
    </font>
    <font>
      <i/>
      <sz val="14"/>
      <name val="Times New Roman"/>
      <family val="1"/>
    </font>
    <font>
      <i/>
      <sz val="11"/>
      <color theme="1"/>
      <name val="Calibri"/>
      <family val="2"/>
      <charset val="163"/>
      <scheme val="minor"/>
    </font>
    <font>
      <b/>
      <sz val="13"/>
      <name val="Times New Roman"/>
      <family val="1"/>
    </font>
    <font>
      <sz val="13"/>
      <name val="Times New Roman"/>
      <family val="1"/>
    </font>
    <font>
      <sz val="11"/>
      <color theme="1"/>
      <name val="Times New Roman"/>
      <family val="1"/>
    </font>
    <font>
      <sz val="11"/>
      <color theme="1"/>
      <name val="Calibri"/>
      <family val="2"/>
      <scheme val="minor"/>
    </font>
    <font>
      <i/>
      <sz val="14"/>
      <color theme="1"/>
      <name val="Times New Roman"/>
      <family val="1"/>
    </font>
    <font>
      <sz val="12"/>
      <name val="Times New Roman"/>
      <family val="2"/>
      <charset val="163"/>
    </font>
    <font>
      <b/>
      <sz val="12"/>
      <name val="Times New Roman"/>
      <family val="2"/>
      <charset val="163"/>
    </font>
    <font>
      <b/>
      <i/>
      <sz val="12"/>
      <name val="Times New Roman"/>
      <family val="1"/>
    </font>
    <font>
      <sz val="10"/>
      <name val="Arial"/>
      <family val="2"/>
      <charset val="163"/>
    </font>
    <font>
      <sz val="11"/>
      <color indexed="8"/>
      <name val="Calibri"/>
      <family val="2"/>
    </font>
    <font>
      <sz val="11"/>
      <color indexed="8"/>
      <name val="Arial"/>
      <family val="2"/>
      <charset val="163"/>
    </font>
    <font>
      <sz val="11"/>
      <color theme="1"/>
      <name val="Arial"/>
      <family val="2"/>
      <charset val="163"/>
    </font>
    <font>
      <sz val="11"/>
      <color indexed="8"/>
      <name val="Arial"/>
      <family val="2"/>
    </font>
    <font>
      <sz val="11"/>
      <color theme="1"/>
      <name val="Arial"/>
      <family val="2"/>
    </font>
    <font>
      <sz val="14"/>
      <name val="??"/>
      <family val="3"/>
      <charset val="129"/>
    </font>
    <font>
      <sz val="10"/>
      <name val="???"/>
      <family val="3"/>
      <charset val="129"/>
    </font>
    <font>
      <sz val="12"/>
      <name val="¹UAAA¼"/>
      <family val="3"/>
      <charset val="129"/>
    </font>
    <font>
      <b/>
      <sz val="12"/>
      <name val="Arial"/>
      <family val="2"/>
    </font>
    <font>
      <b/>
      <sz val="18"/>
      <name val="Arial"/>
      <family val="2"/>
    </font>
    <font>
      <sz val="12"/>
      <name val="Arial"/>
      <family val="2"/>
    </font>
    <font>
      <b/>
      <i/>
      <sz val="16"/>
      <name val="Helv"/>
    </font>
    <font>
      <sz val="13"/>
      <name val=".VnTime"/>
      <family val="2"/>
    </font>
    <font>
      <sz val="14"/>
      <name val="뼻뮝"/>
      <family val="3"/>
    </font>
    <font>
      <sz val="12"/>
      <name val="바탕체"/>
      <family val="3"/>
    </font>
    <font>
      <sz val="12"/>
      <name val="뼻뮝"/>
      <family val="3"/>
    </font>
    <font>
      <sz val="9"/>
      <name val="Arial"/>
      <family val="2"/>
    </font>
    <font>
      <sz val="11"/>
      <name val="돋움"/>
      <family val="3"/>
    </font>
    <font>
      <sz val="10"/>
      <name val="굴림체"/>
      <family val="3"/>
    </font>
    <font>
      <sz val="12"/>
      <name val="Courier"/>
      <family val="3"/>
    </font>
    <font>
      <sz val="10"/>
      <name val=" "/>
      <family val="1"/>
      <charset val="136"/>
    </font>
    <font>
      <b/>
      <sz val="16"/>
      <color theme="1"/>
      <name val="Times New Roman"/>
      <family val="1"/>
    </font>
    <font>
      <b/>
      <i/>
      <sz val="14"/>
      <color theme="1"/>
      <name val="Times New Roman"/>
      <family val="1"/>
    </font>
    <font>
      <b/>
      <sz val="12"/>
      <color rgb="FF0000CC"/>
      <name val="Times New Roman"/>
      <family val="1"/>
    </font>
    <font>
      <i/>
      <sz val="12"/>
      <color rgb="FF0000CC"/>
      <name val="Times New Roman"/>
      <family val="1"/>
    </font>
    <font>
      <sz val="12"/>
      <color rgb="FF000000"/>
      <name val="Times New Roman"/>
      <family val="1"/>
    </font>
    <font>
      <sz val="11"/>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double">
        <color indexed="64"/>
      </bottom>
      <diagonal/>
    </border>
  </borders>
  <cellStyleXfs count="102">
    <xf numFmtId="0" fontId="0" fillId="0" borderId="0"/>
    <xf numFmtId="43" fontId="6" fillId="0" borderId="0" applyFont="0" applyFill="0" applyBorder="0" applyAlignment="0" applyProtection="0"/>
    <xf numFmtId="0" fontId="8" fillId="0" borderId="0"/>
    <xf numFmtId="164" fontId="10" fillId="0" borderId="0" applyFont="0" applyFill="0" applyBorder="0" applyAlignment="0" applyProtection="0"/>
    <xf numFmtId="0" fontId="10" fillId="0" borderId="0"/>
    <xf numFmtId="0" fontId="12" fillId="0" borderId="0"/>
    <xf numFmtId="167" fontId="10" fillId="0" borderId="0" applyFont="0" applyFill="0" applyBorder="0" applyAlignment="0" applyProtection="0"/>
    <xf numFmtId="0" fontId="10" fillId="0" borderId="0"/>
    <xf numFmtId="0" fontId="13" fillId="0" borderId="0"/>
    <xf numFmtId="167" fontId="10" fillId="0" borderId="0" applyFont="0" applyFill="0" applyBorder="0" applyAlignment="0" applyProtection="0"/>
    <xf numFmtId="9" fontId="6" fillId="0" borderId="0" applyFont="0" applyFill="0" applyBorder="0" applyAlignment="0" applyProtection="0"/>
    <xf numFmtId="176" fontId="10" fillId="0" borderId="0" applyFont="0" applyFill="0" applyBorder="0" applyAlignment="0" applyProtection="0"/>
    <xf numFmtId="177" fontId="10" fillId="0" borderId="0" applyFont="0" applyFill="0" applyBorder="0" applyAlignment="0" applyProtection="0"/>
    <xf numFmtId="0" fontId="20" fillId="0" borderId="0"/>
    <xf numFmtId="0" fontId="10" fillId="0" borderId="0"/>
    <xf numFmtId="0" fontId="30" fillId="0" borderId="0"/>
    <xf numFmtId="43" fontId="30" fillId="0" borderId="0" applyFont="0" applyFill="0" applyBorder="0" applyAlignment="0" applyProtection="0"/>
    <xf numFmtId="0" fontId="8" fillId="0" borderId="0"/>
    <xf numFmtId="0" fontId="8" fillId="0" borderId="0"/>
    <xf numFmtId="0" fontId="35" fillId="0" borderId="0"/>
    <xf numFmtId="164" fontId="36" fillId="0" borderId="0" applyFont="0" applyFill="0" applyBorder="0" applyAlignment="0" applyProtection="0"/>
    <xf numFmtId="164" fontId="36"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28" fillId="0" borderId="0" applyFont="0" applyFill="0" applyBorder="0" applyAlignment="0" applyProtection="0"/>
    <xf numFmtId="164" fontId="13"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37"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0" fontId="38" fillId="0" borderId="0"/>
    <xf numFmtId="0" fontId="8" fillId="0" borderId="0"/>
    <xf numFmtId="0" fontId="39" fillId="0" borderId="0"/>
    <xf numFmtId="0" fontId="8" fillId="0" borderId="0"/>
    <xf numFmtId="0" fontId="19" fillId="0" borderId="0"/>
    <xf numFmtId="0" fontId="40" fillId="0" borderId="0"/>
    <xf numFmtId="0" fontId="35" fillId="0" borderId="0"/>
    <xf numFmtId="0" fontId="36" fillId="0" borderId="0"/>
    <xf numFmtId="0" fontId="36" fillId="0" borderId="0"/>
    <xf numFmtId="0" fontId="8" fillId="0" borderId="0"/>
    <xf numFmtId="0" fontId="8" fillId="0" borderId="0"/>
    <xf numFmtId="0" fontId="38" fillId="0" borderId="0"/>
    <xf numFmtId="191" fontId="8" fillId="0" borderId="0" applyFont="0" applyFill="0" applyBorder="0" applyAlignment="0" applyProtection="0"/>
    <xf numFmtId="0" fontId="41" fillId="0" borderId="0" applyFont="0" applyFill="0" applyBorder="0" applyAlignment="0" applyProtection="0"/>
    <xf numFmtId="190" fontId="8" fillId="0" borderId="0" applyFont="0" applyFill="0" applyBorder="0" applyAlignment="0" applyProtection="0"/>
    <xf numFmtId="40" fontId="41" fillId="0" borderId="0" applyFont="0" applyFill="0" applyBorder="0" applyAlignment="0" applyProtection="0"/>
    <xf numFmtId="38" fontId="41" fillId="0" borderId="0" applyFont="0" applyFill="0" applyBorder="0" applyAlignment="0" applyProtection="0"/>
    <xf numFmtId="10" fontId="8" fillId="0" borderId="0" applyFont="0" applyFill="0" applyBorder="0" applyAlignment="0" applyProtection="0"/>
    <xf numFmtId="0" fontId="42" fillId="0" borderId="0"/>
    <xf numFmtId="0" fontId="43"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0" fontId="43" fillId="0" borderId="0"/>
    <xf numFmtId="0" fontId="43" fillId="0" borderId="0"/>
    <xf numFmtId="164" fontId="19" fillId="0" borderId="0" applyFont="0" applyFill="0" applyBorder="0" applyAlignment="0" applyProtection="0"/>
    <xf numFmtId="164" fontId="10" fillId="0" borderId="0" applyFont="0" applyFill="0" applyBorder="0" applyAlignment="0" applyProtection="0"/>
    <xf numFmtId="3" fontId="8" fillId="0" borderId="0" applyFont="0" applyFill="0" applyBorder="0" applyAlignment="0" applyProtection="0"/>
    <xf numFmtId="189" fontId="8" fillId="0" borderId="0" applyFont="0" applyFill="0" applyBorder="0" applyAlignment="0" applyProtection="0"/>
    <xf numFmtId="0" fontId="8" fillId="0" borderId="0" applyFont="0" applyFill="0" applyBorder="0" applyAlignment="0" applyProtection="0"/>
    <xf numFmtId="2" fontId="8" fillId="0" borderId="0" applyFont="0" applyFill="0" applyBorder="0" applyAlignment="0" applyProtection="0"/>
    <xf numFmtId="0" fontId="44" fillId="0" borderId="18" applyNumberFormat="0" applyAlignment="0" applyProtection="0">
      <alignment horizontal="left" vertical="center"/>
    </xf>
    <xf numFmtId="0" fontId="44" fillId="0" borderId="9">
      <alignment horizontal="left" vertical="center"/>
    </xf>
    <xf numFmtId="0" fontId="45" fillId="0" borderId="0" applyNumberFormat="0" applyFill="0" applyBorder="0" applyAlignment="0" applyProtection="0"/>
    <xf numFmtId="0" fontId="44" fillId="0" borderId="0" applyNumberFormat="0" applyFill="0" applyBorder="0" applyAlignment="0" applyProtection="0"/>
    <xf numFmtId="0" fontId="19" fillId="0" borderId="0"/>
    <xf numFmtId="0" fontId="46" fillId="0" borderId="0" applyNumberFormat="0" applyFont="0" applyFill="0" applyAlignment="0"/>
    <xf numFmtId="192" fontId="47" fillId="0" borderId="0"/>
    <xf numFmtId="0" fontId="8" fillId="0" borderId="0"/>
    <xf numFmtId="0" fontId="12" fillId="0" borderId="0"/>
    <xf numFmtId="0" fontId="12" fillId="0" borderId="0"/>
    <xf numFmtId="195" fontId="48" fillId="0" borderId="8">
      <alignment horizontal="right" vertical="center"/>
    </xf>
    <xf numFmtId="0" fontId="8" fillId="0" borderId="19" applyNumberFormat="0" applyFont="0" applyFill="0" applyAlignment="0" applyProtection="0"/>
    <xf numFmtId="196" fontId="48" fillId="0" borderId="8">
      <alignment horizontal="center"/>
    </xf>
    <xf numFmtId="193" fontId="48" fillId="0" borderId="0"/>
    <xf numFmtId="194" fontId="48" fillId="0" borderId="1"/>
    <xf numFmtId="0" fontId="56" fillId="0" borderId="0" applyFont="0" applyFill="0" applyBorder="0" applyAlignment="0" applyProtection="0"/>
    <xf numFmtId="0" fontId="56" fillId="0" borderId="0" applyFont="0" applyFill="0" applyBorder="0" applyAlignment="0" applyProtection="0"/>
    <xf numFmtId="0" fontId="10" fillId="0" borderId="0">
      <alignment vertical="center"/>
    </xf>
    <xf numFmtId="40" fontId="49" fillId="0" borderId="0" applyFont="0" applyFill="0" applyBorder="0" applyAlignment="0" applyProtection="0"/>
    <xf numFmtId="38"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9" fontId="50" fillId="0" borderId="0" applyFont="0" applyFill="0" applyBorder="0" applyAlignment="0" applyProtection="0"/>
    <xf numFmtId="0" fontId="51" fillId="0" borderId="0"/>
    <xf numFmtId="188" fontId="53" fillId="0" borderId="0" applyFont="0" applyFill="0" applyBorder="0" applyAlignment="0" applyProtection="0"/>
    <xf numFmtId="178" fontId="53" fillId="0" borderId="0" applyFont="0" applyFill="0" applyBorder="0" applyAlignment="0" applyProtection="0"/>
    <xf numFmtId="187" fontId="53" fillId="0" borderId="0" applyFont="0" applyFill="0" applyBorder="0" applyAlignment="0" applyProtection="0"/>
    <xf numFmtId="186" fontId="53" fillId="0" borderId="0" applyFont="0" applyFill="0" applyBorder="0" applyAlignment="0" applyProtection="0"/>
    <xf numFmtId="0" fontId="54" fillId="0" borderId="0"/>
    <xf numFmtId="0" fontId="46" fillId="0" borderId="0"/>
    <xf numFmtId="184" fontId="52" fillId="0" borderId="0" applyFont="0" applyFill="0" applyBorder="0" applyAlignment="0" applyProtection="0"/>
    <xf numFmtId="167" fontId="52" fillId="0" borderId="0" applyFont="0" applyFill="0" applyBorder="0" applyAlignment="0" applyProtection="0"/>
    <xf numFmtId="183" fontId="52" fillId="0" borderId="0" applyFont="0" applyFill="0" applyBorder="0" applyAlignment="0" applyProtection="0"/>
    <xf numFmtId="182" fontId="55" fillId="0" borderId="0" applyFont="0" applyFill="0" applyBorder="0" applyAlignment="0" applyProtection="0"/>
    <xf numFmtId="185" fontId="52" fillId="0" borderId="0" applyFont="0" applyFill="0" applyBorder="0" applyAlignment="0" applyProtection="0"/>
  </cellStyleXfs>
  <cellXfs count="810">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3" fontId="0" fillId="0" borderId="0" xfId="0" applyNumberFormat="1"/>
    <xf numFmtId="0" fontId="7" fillId="0" borderId="0" xfId="0" applyFont="1" applyFill="1" applyAlignment="1">
      <alignmen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2" borderId="0" xfId="0" applyFont="1" applyFill="1" applyAlignment="1">
      <alignment vertical="center"/>
    </xf>
    <xf numFmtId="0" fontId="10" fillId="2" borderId="0" xfId="0" applyFont="1" applyFill="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vertical="center"/>
    </xf>
    <xf numFmtId="165" fontId="9" fillId="2" borderId="1" xfId="0" applyNumberFormat="1" applyFont="1" applyFill="1" applyBorder="1" applyAlignment="1">
      <alignment vertical="center" wrapText="1"/>
    </xf>
    <xf numFmtId="3" fontId="10" fillId="2" borderId="1" xfId="0"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2" borderId="1" xfId="4" applyFont="1" applyFill="1" applyBorder="1" applyAlignment="1">
      <alignment horizontal="center" vertical="center" wrapText="1"/>
    </xf>
    <xf numFmtId="3" fontId="9" fillId="2" borderId="1" xfId="0" applyNumberFormat="1" applyFont="1" applyFill="1" applyBorder="1" applyAlignment="1">
      <alignment horizontal="left" vertical="center" wrapText="1"/>
    </xf>
    <xf numFmtId="1" fontId="9" fillId="0" borderId="0" xfId="2" applyNumberFormat="1" applyFont="1" applyFill="1" applyAlignment="1">
      <alignment vertical="center" wrapText="1"/>
    </xf>
    <xf numFmtId="1" fontId="10" fillId="0" borderId="0" xfId="2" applyNumberFormat="1" applyFont="1" applyFill="1" applyAlignment="1">
      <alignment vertical="center"/>
    </xf>
    <xf numFmtId="3" fontId="9" fillId="0" borderId="0" xfId="2" applyNumberFormat="1" applyFont="1" applyFill="1" applyBorder="1" applyAlignment="1">
      <alignment horizontal="center" vertical="center" wrapText="1"/>
    </xf>
    <xf numFmtId="0" fontId="10" fillId="0" borderId="1" xfId="2" applyNumberFormat="1" applyFont="1" applyFill="1" applyBorder="1" applyAlignment="1">
      <alignment horizontal="center" vertical="center" wrapText="1"/>
    </xf>
    <xf numFmtId="3" fontId="10" fillId="0" borderId="1" xfId="2" quotePrefix="1" applyNumberFormat="1" applyFont="1" applyFill="1" applyBorder="1" applyAlignment="1">
      <alignment horizontal="center" vertical="center" wrapText="1"/>
    </xf>
    <xf numFmtId="3" fontId="10" fillId="0" borderId="0" xfId="2" applyNumberFormat="1" applyFont="1" applyFill="1" applyBorder="1" applyAlignment="1">
      <alignment vertical="center" wrapText="1"/>
    </xf>
    <xf numFmtId="0" fontId="10" fillId="0" borderId="1" xfId="0" applyFont="1" applyFill="1" applyBorder="1" applyAlignment="1">
      <alignment vertical="center" wrapText="1"/>
    </xf>
    <xf numFmtId="1" fontId="9" fillId="0" borderId="1" xfId="2" applyNumberFormat="1" applyFont="1" applyFill="1" applyBorder="1" applyAlignment="1">
      <alignment horizontal="left" vertical="center" wrapText="1"/>
    </xf>
    <xf numFmtId="165" fontId="9" fillId="0" borderId="1" xfId="1" applyNumberFormat="1" applyFont="1" applyFill="1" applyBorder="1" applyAlignment="1">
      <alignment horizontal="right" vertical="center" shrinkToFit="1"/>
    </xf>
    <xf numFmtId="1" fontId="9" fillId="0" borderId="0" xfId="2" applyNumberFormat="1" applyFont="1" applyFill="1" applyAlignment="1">
      <alignment vertical="center"/>
    </xf>
    <xf numFmtId="165" fontId="10" fillId="0" borderId="1" xfId="2" applyNumberFormat="1" applyFont="1" applyFill="1" applyBorder="1" applyAlignment="1">
      <alignment horizontal="right" vertical="center" shrinkToFit="1"/>
    </xf>
    <xf numFmtId="49" fontId="10" fillId="0" borderId="0" xfId="2" applyNumberFormat="1" applyFont="1" applyFill="1" applyBorder="1" applyAlignment="1">
      <alignment horizontal="center" vertical="center"/>
    </xf>
    <xf numFmtId="1" fontId="10" fillId="0" borderId="0" xfId="2" applyNumberFormat="1" applyFont="1" applyFill="1" applyAlignment="1">
      <alignment vertical="center" wrapText="1"/>
    </xf>
    <xf numFmtId="1" fontId="10" fillId="0" borderId="0" xfId="2" applyNumberFormat="1" applyFont="1" applyFill="1" applyAlignment="1">
      <alignment horizontal="center" vertical="center" wrapText="1"/>
    </xf>
    <xf numFmtId="1" fontId="10" fillId="0" borderId="0" xfId="2" applyNumberFormat="1" applyFont="1" applyFill="1" applyAlignment="1">
      <alignment horizontal="right" vertical="center"/>
    </xf>
    <xf numFmtId="1" fontId="10" fillId="0" borderId="0" xfId="2" applyNumberFormat="1" applyFont="1" applyFill="1" applyAlignment="1">
      <alignment horizontal="center" vertical="center"/>
    </xf>
    <xf numFmtId="1" fontId="10" fillId="0" borderId="0" xfId="2" applyNumberFormat="1" applyFont="1" applyFill="1" applyBorder="1" applyAlignment="1">
      <alignment vertical="center" wrapText="1"/>
    </xf>
    <xf numFmtId="1" fontId="10" fillId="0" borderId="0" xfId="2" applyNumberFormat="1" applyFont="1" applyFill="1" applyBorder="1" applyAlignment="1">
      <alignment horizontal="center" vertical="center" wrapText="1"/>
    </xf>
    <xf numFmtId="1" fontId="10" fillId="0" borderId="0" xfId="2" applyNumberFormat="1" applyFont="1" applyFill="1" applyBorder="1" applyAlignment="1">
      <alignment horizontal="right" vertical="center"/>
    </xf>
    <xf numFmtId="1" fontId="10" fillId="0" borderId="0" xfId="2" applyNumberFormat="1" applyFont="1" applyFill="1" applyBorder="1" applyAlignment="1">
      <alignment horizontal="center" vertical="center"/>
    </xf>
    <xf numFmtId="49" fontId="10" fillId="0" borderId="0" xfId="2" applyNumberFormat="1" applyFont="1" applyFill="1" applyAlignment="1">
      <alignment horizontal="center" vertical="center"/>
    </xf>
    <xf numFmtId="1" fontId="10" fillId="0" borderId="0" xfId="2" applyNumberFormat="1" applyFont="1" applyFill="1" applyBorder="1" applyAlignment="1">
      <alignment vertical="center"/>
    </xf>
    <xf numFmtId="1" fontId="10" fillId="0" borderId="0" xfId="2" applyNumberFormat="1" applyFont="1" applyFill="1" applyAlignment="1">
      <alignment horizontal="left" vertical="center" wrapText="1"/>
    </xf>
    <xf numFmtId="49" fontId="10" fillId="0" borderId="0" xfId="2" applyNumberFormat="1" applyFont="1" applyFill="1" applyAlignment="1">
      <alignment vertical="center"/>
    </xf>
    <xf numFmtId="0" fontId="10" fillId="2" borderId="1" xfId="7" applyFont="1" applyFill="1" applyBorder="1" applyAlignment="1">
      <alignment horizontal="center" vertical="center" wrapText="1"/>
    </xf>
    <xf numFmtId="0" fontId="10" fillId="2" borderId="1" xfId="4" applyFont="1" applyFill="1" applyBorder="1" applyAlignment="1">
      <alignment horizontal="center" vertical="center" wrapText="1"/>
    </xf>
    <xf numFmtId="0" fontId="10" fillId="0" borderId="0" xfId="0" applyFont="1" applyFill="1" applyAlignment="1">
      <alignment horizontal="center"/>
    </xf>
    <xf numFmtId="0" fontId="9" fillId="0" borderId="0" xfId="0" applyFont="1" applyFill="1" applyAlignment="1">
      <alignment vertical="center"/>
    </xf>
    <xf numFmtId="0" fontId="10" fillId="0" borderId="0" xfId="0" applyFont="1" applyFill="1" applyAlignment="1">
      <alignment vertical="center" wrapText="1"/>
    </xf>
    <xf numFmtId="0" fontId="10" fillId="0" borderId="0" xfId="0" applyFont="1" applyFill="1" applyAlignment="1">
      <alignment vertical="center"/>
    </xf>
    <xf numFmtId="0" fontId="9" fillId="0" borderId="0" xfId="0" applyFont="1" applyFill="1" applyAlignment="1">
      <alignment horizontal="center" vertical="center"/>
    </xf>
    <xf numFmtId="0" fontId="11" fillId="0" borderId="0" xfId="0" applyFont="1" applyFill="1" applyAlignment="1">
      <alignment horizontal="center" vertical="center"/>
    </xf>
    <xf numFmtId="0" fontId="10" fillId="0" borderId="0" xfId="0" applyFont="1" applyFill="1" applyAlignment="1">
      <alignment horizontal="center" vertical="center"/>
    </xf>
    <xf numFmtId="168" fontId="10" fillId="0" borderId="0" xfId="0" applyNumberFormat="1" applyFont="1" applyFill="1" applyAlignment="1">
      <alignment vertical="center"/>
    </xf>
    <xf numFmtId="168" fontId="10" fillId="0" borderId="0" xfId="0" applyNumberFormat="1" applyFont="1" applyFill="1" applyAlignment="1">
      <alignment horizontal="right" vertical="center"/>
    </xf>
    <xf numFmtId="3" fontId="11" fillId="0" borderId="0" xfId="0" applyNumberFormat="1" applyFont="1" applyFill="1" applyBorder="1" applyAlignment="1">
      <alignment horizontal="right" vertical="center"/>
    </xf>
    <xf numFmtId="171" fontId="10" fillId="0" borderId="1" xfId="3" applyNumberFormat="1" applyFont="1" applyFill="1" applyBorder="1" applyAlignment="1">
      <alignment vertical="center" wrapText="1"/>
    </xf>
    <xf numFmtId="170" fontId="9" fillId="0" borderId="0" xfId="0" applyNumberFormat="1" applyFont="1" applyFill="1" applyAlignment="1">
      <alignment vertical="center"/>
    </xf>
    <xf numFmtId="172" fontId="9" fillId="0" borderId="1" xfId="1" applyNumberFormat="1" applyFont="1" applyFill="1" applyBorder="1" applyAlignment="1">
      <alignment horizontal="right" vertical="center" shrinkToFit="1"/>
    </xf>
    <xf numFmtId="165" fontId="10" fillId="0" borderId="1" xfId="0" applyNumberFormat="1" applyFont="1" applyFill="1" applyBorder="1" applyAlignment="1">
      <alignment vertical="center" wrapText="1"/>
    </xf>
    <xf numFmtId="165" fontId="9" fillId="0" borderId="1" xfId="0" applyNumberFormat="1" applyFont="1" applyFill="1" applyBorder="1" applyAlignment="1">
      <alignment vertical="center" wrapText="1"/>
    </xf>
    <xf numFmtId="173" fontId="9" fillId="0" borderId="1" xfId="0" applyNumberFormat="1" applyFont="1" applyFill="1" applyBorder="1" applyAlignment="1">
      <alignment horizontal="right" vertical="center" wrapText="1"/>
    </xf>
    <xf numFmtId="165" fontId="10" fillId="0" borderId="1" xfId="0" applyNumberFormat="1" applyFont="1" applyFill="1" applyBorder="1" applyAlignment="1">
      <alignment horizontal="center" vertical="center" wrapText="1"/>
    </xf>
    <xf numFmtId="0" fontId="10" fillId="0" borderId="0" xfId="0" applyFont="1" applyFill="1" applyAlignment="1">
      <alignment horizontal="right" vertical="center"/>
    </xf>
    <xf numFmtId="3" fontId="10" fillId="0" borderId="0" xfId="0" applyNumberFormat="1" applyFont="1" applyFill="1" applyAlignment="1">
      <alignment vertical="center"/>
    </xf>
    <xf numFmtId="0" fontId="9" fillId="0" borderId="1" xfId="4" applyFont="1" applyFill="1" applyBorder="1" applyAlignment="1">
      <alignment horizontal="center" vertical="center" wrapText="1"/>
    </xf>
    <xf numFmtId="166" fontId="9" fillId="0" borderId="1" xfId="1" applyNumberFormat="1" applyFont="1" applyFill="1" applyBorder="1" applyAlignment="1">
      <alignment vertical="center"/>
    </xf>
    <xf numFmtId="0" fontId="9" fillId="2" borderId="1" xfId="4" applyFont="1" applyFill="1" applyBorder="1" applyAlignment="1">
      <alignment horizontal="left" vertical="center" wrapText="1"/>
    </xf>
    <xf numFmtId="166" fontId="9" fillId="2" borderId="1" xfId="1" applyNumberFormat="1" applyFont="1" applyFill="1" applyBorder="1" applyAlignment="1">
      <alignment vertical="center"/>
    </xf>
    <xf numFmtId="0" fontId="10" fillId="2" borderId="1" xfId="4" applyFont="1" applyFill="1" applyBorder="1" applyAlignment="1">
      <alignment horizontal="center" vertical="center"/>
    </xf>
    <xf numFmtId="166" fontId="10" fillId="2" borderId="1" xfId="1" applyNumberFormat="1" applyFont="1" applyFill="1" applyBorder="1" applyAlignment="1">
      <alignment vertical="center"/>
    </xf>
    <xf numFmtId="0" fontId="10" fillId="2" borderId="1" xfId="4" applyFont="1" applyFill="1" applyBorder="1" applyAlignment="1">
      <alignment vertical="center" wrapText="1"/>
    </xf>
    <xf numFmtId="0" fontId="9" fillId="2" borderId="1" xfId="4" applyFont="1" applyFill="1" applyBorder="1" applyAlignment="1">
      <alignment horizontal="center" vertical="center"/>
    </xf>
    <xf numFmtId="0" fontId="9" fillId="2" borderId="1" xfId="4" applyFont="1" applyFill="1" applyBorder="1" applyAlignment="1">
      <alignment vertical="center"/>
    </xf>
    <xf numFmtId="3" fontId="5" fillId="2" borderId="1" xfId="4" applyNumberFormat="1" applyFont="1" applyFill="1" applyBorder="1" applyAlignment="1">
      <alignment horizontal="center" vertical="center" wrapText="1"/>
    </xf>
    <xf numFmtId="3" fontId="5" fillId="2" borderId="1" xfId="4" applyNumberFormat="1" applyFont="1" applyFill="1" applyBorder="1" applyAlignment="1">
      <alignment horizontal="left" vertical="center" wrapText="1"/>
    </xf>
    <xf numFmtId="0" fontId="10" fillId="2" borderId="1" xfId="0" applyFont="1" applyFill="1" applyBorder="1" applyAlignment="1">
      <alignment horizontal="center" vertical="center"/>
    </xf>
    <xf numFmtId="172" fontId="10" fillId="2" borderId="1" xfId="9" applyNumberFormat="1" applyFont="1" applyFill="1" applyBorder="1" applyAlignment="1">
      <alignment vertical="center"/>
    </xf>
    <xf numFmtId="172" fontId="10" fillId="2" borderId="1" xfId="0" applyNumberFormat="1" applyFont="1" applyFill="1" applyBorder="1" applyAlignment="1">
      <alignment vertical="center"/>
    </xf>
    <xf numFmtId="0" fontId="10" fillId="2" borderId="11" xfId="0" applyFont="1" applyFill="1" applyBorder="1" applyAlignment="1">
      <alignment horizontal="center" vertical="center"/>
    </xf>
    <xf numFmtId="0" fontId="10" fillId="2" borderId="11" xfId="4" applyFont="1" applyFill="1" applyBorder="1" applyAlignment="1">
      <alignment vertical="center" wrapText="1"/>
    </xf>
    <xf numFmtId="172" fontId="10" fillId="2" borderId="11" xfId="0" applyNumberFormat="1" applyFont="1" applyFill="1" applyBorder="1" applyAlignment="1">
      <alignment vertical="center"/>
    </xf>
    <xf numFmtId="166" fontId="9" fillId="0" borderId="1" xfId="0" applyNumberFormat="1" applyFont="1" applyFill="1" applyBorder="1" applyAlignment="1">
      <alignment vertical="center"/>
    </xf>
    <xf numFmtId="0" fontId="10" fillId="2" borderId="8" xfId="4" applyFont="1" applyFill="1" applyBorder="1" applyAlignment="1">
      <alignment horizontal="justify" vertical="center" wrapText="1"/>
    </xf>
    <xf numFmtId="165" fontId="10" fillId="2" borderId="1" xfId="0" applyNumberFormat="1" applyFont="1" applyFill="1" applyBorder="1" applyAlignment="1">
      <alignment vertical="center" wrapText="1"/>
    </xf>
    <xf numFmtId="0" fontId="16" fillId="0" borderId="0" xfId="0" applyFont="1" applyFill="1" applyAlignment="1">
      <alignment horizontal="center"/>
    </xf>
    <xf numFmtId="3" fontId="16" fillId="0" borderId="0" xfId="0" applyNumberFormat="1" applyFont="1" applyFill="1" applyAlignment="1">
      <alignment vertical="center"/>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shrinkToFit="1"/>
    </xf>
    <xf numFmtId="169" fontId="10" fillId="2" borderId="1" xfId="1" applyNumberFormat="1" applyFont="1" applyFill="1" applyBorder="1" applyAlignment="1" applyProtection="1">
      <alignment horizontal="center" vertical="center" wrapText="1"/>
    </xf>
    <xf numFmtId="173" fontId="9" fillId="0" borderId="1" xfId="1" applyNumberFormat="1" applyFont="1" applyFill="1" applyBorder="1" applyAlignment="1">
      <alignment horizontal="right" vertical="center" shrinkToFit="1"/>
    </xf>
    <xf numFmtId="173" fontId="10" fillId="2" borderId="1" xfId="0" applyNumberFormat="1" applyFont="1" applyFill="1" applyBorder="1" applyAlignment="1">
      <alignment vertical="center"/>
    </xf>
    <xf numFmtId="173" fontId="10" fillId="2" borderId="5" xfId="0" applyNumberFormat="1" applyFont="1" applyFill="1" applyBorder="1" applyAlignment="1">
      <alignment vertical="center"/>
    </xf>
    <xf numFmtId="173" fontId="10" fillId="0" borderId="1" xfId="1" applyNumberFormat="1" applyFont="1" applyFill="1" applyBorder="1" applyAlignment="1">
      <alignment horizontal="right" vertical="center" shrinkToFit="1"/>
    </xf>
    <xf numFmtId="173" fontId="10" fillId="2" borderId="1" xfId="4" applyNumberFormat="1" applyFont="1" applyFill="1" applyBorder="1" applyAlignment="1">
      <alignment vertical="center" shrinkToFit="1"/>
    </xf>
    <xf numFmtId="173" fontId="10" fillId="2" borderId="1" xfId="1" applyNumberFormat="1" applyFont="1" applyFill="1" applyBorder="1" applyAlignment="1">
      <alignment horizontal="right" vertical="center" shrinkToFit="1"/>
    </xf>
    <xf numFmtId="173" fontId="9" fillId="2" borderId="1" xfId="0" applyNumberFormat="1" applyFont="1" applyFill="1" applyBorder="1" applyAlignment="1">
      <alignment horizontal="right" vertical="center"/>
    </xf>
    <xf numFmtId="173" fontId="9" fillId="2" borderId="1" xfId="0" applyNumberFormat="1" applyFont="1" applyFill="1" applyBorder="1" applyAlignment="1">
      <alignment vertical="center"/>
    </xf>
    <xf numFmtId="165" fontId="18" fillId="2" borderId="1" xfId="0" applyNumberFormat="1" applyFont="1" applyFill="1" applyBorder="1" applyAlignment="1">
      <alignment vertical="center" wrapText="1"/>
    </xf>
    <xf numFmtId="173" fontId="10" fillId="0" borderId="1" xfId="0" applyNumberFormat="1" applyFont="1" applyFill="1" applyBorder="1" applyAlignment="1">
      <alignment vertical="center"/>
    </xf>
    <xf numFmtId="173" fontId="19" fillId="0" borderId="1" xfId="0" applyNumberFormat="1" applyFont="1" applyFill="1" applyBorder="1" applyAlignment="1"/>
    <xf numFmtId="173" fontId="19" fillId="0" borderId="1" xfId="1" applyNumberFormat="1" applyFont="1" applyFill="1" applyBorder="1" applyAlignment="1">
      <alignment horizontal="right" vertical="center" shrinkToFit="1"/>
    </xf>
    <xf numFmtId="173" fontId="19" fillId="0" borderId="11" xfId="0" applyNumberFormat="1" applyFont="1" applyFill="1" applyBorder="1" applyAlignment="1">
      <alignment vertical="center"/>
    </xf>
    <xf numFmtId="0" fontId="10" fillId="3" borderId="0" xfId="0" applyFont="1" applyFill="1" applyAlignment="1">
      <alignment horizontal="center"/>
    </xf>
    <xf numFmtId="3" fontId="10" fillId="3" borderId="0" xfId="0" applyNumberFormat="1" applyFont="1" applyFill="1" applyAlignment="1">
      <alignment vertical="center"/>
    </xf>
    <xf numFmtId="0" fontId="16" fillId="3" borderId="0" xfId="0" applyFont="1" applyFill="1" applyAlignment="1">
      <alignment horizontal="center"/>
    </xf>
    <xf numFmtId="3" fontId="16" fillId="3" borderId="0" xfId="0" applyNumberFormat="1" applyFont="1" applyFill="1" applyAlignment="1">
      <alignment vertical="center"/>
    </xf>
    <xf numFmtId="0" fontId="9" fillId="2" borderId="1" xfId="0" applyFont="1" applyFill="1" applyBorder="1" applyAlignment="1">
      <alignment horizontal="left" vertical="center" wrapText="1"/>
    </xf>
    <xf numFmtId="172" fontId="9" fillId="2" borderId="1" xfId="1" applyNumberFormat="1" applyFont="1" applyFill="1" applyBorder="1" applyAlignment="1">
      <alignment horizontal="right" vertical="center" shrinkToFit="1"/>
    </xf>
    <xf numFmtId="0" fontId="9" fillId="2" borderId="1" xfId="0" applyFont="1" applyFill="1" applyBorder="1" applyAlignment="1">
      <alignment vertical="center" wrapText="1"/>
    </xf>
    <xf numFmtId="0" fontId="10" fillId="2" borderId="1" xfId="8" applyFont="1" applyFill="1" applyBorder="1" applyAlignment="1">
      <alignment horizontal="center" vertical="center" wrapText="1"/>
    </xf>
    <xf numFmtId="0" fontId="10" fillId="2" borderId="1" xfId="5" applyFont="1" applyFill="1" applyBorder="1" applyAlignment="1">
      <alignment vertical="center" wrapText="1"/>
    </xf>
    <xf numFmtId="165" fontId="10" fillId="2" borderId="1" xfId="0" applyNumberFormat="1" applyFont="1" applyFill="1" applyBorder="1" applyAlignment="1">
      <alignment horizontal="center" vertical="center" wrapText="1"/>
    </xf>
    <xf numFmtId="173" fontId="9" fillId="2" borderId="1" xfId="1" applyNumberFormat="1" applyFont="1" applyFill="1" applyBorder="1" applyAlignment="1">
      <alignment horizontal="right" vertical="center" shrinkToFit="1"/>
    </xf>
    <xf numFmtId="43" fontId="10" fillId="2" borderId="1" xfId="1" applyFont="1" applyFill="1" applyBorder="1" applyAlignment="1" applyProtection="1">
      <alignment horizontal="left" vertical="center" wrapText="1"/>
    </xf>
    <xf numFmtId="173" fontId="9" fillId="2" borderId="1" xfId="4" applyNumberFormat="1" applyFont="1" applyFill="1" applyBorder="1" applyAlignment="1">
      <alignment vertical="center" shrinkToFit="1"/>
    </xf>
    <xf numFmtId="43" fontId="10" fillId="2" borderId="1" xfId="1" applyFont="1" applyFill="1" applyBorder="1" applyAlignment="1" applyProtection="1">
      <alignment horizontal="center" vertical="center" wrapText="1"/>
    </xf>
    <xf numFmtId="173" fontId="9" fillId="2" borderId="1" xfId="1" applyNumberFormat="1" applyFont="1" applyFill="1" applyBorder="1" applyAlignment="1">
      <alignment vertical="center"/>
    </xf>
    <xf numFmtId="173" fontId="17" fillId="2" borderId="1" xfId="1" applyNumberFormat="1" applyFont="1" applyFill="1" applyBorder="1" applyAlignment="1">
      <alignment vertical="center"/>
    </xf>
    <xf numFmtId="173" fontId="16" fillId="2" borderId="1" xfId="1" applyNumberFormat="1" applyFont="1" applyFill="1" applyBorder="1" applyAlignment="1">
      <alignment horizontal="right" vertical="center" shrinkToFit="1"/>
    </xf>
    <xf numFmtId="173" fontId="9" fillId="2" borderId="1" xfId="0" applyNumberFormat="1" applyFont="1" applyFill="1" applyBorder="1" applyAlignment="1">
      <alignment horizontal="right" vertical="center" wrapText="1"/>
    </xf>
    <xf numFmtId="0" fontId="9" fillId="2" borderId="0" xfId="0" applyFont="1" applyFill="1" applyBorder="1" applyAlignment="1">
      <alignment horizontal="center" vertical="center" wrapText="1"/>
    </xf>
    <xf numFmtId="171" fontId="10" fillId="2" borderId="1" xfId="3" applyNumberFormat="1" applyFont="1" applyFill="1" applyBorder="1" applyAlignment="1">
      <alignment vertical="center" wrapText="1"/>
    </xf>
    <xf numFmtId="171" fontId="10" fillId="2" borderId="0" xfId="3" applyNumberFormat="1" applyFont="1" applyFill="1" applyBorder="1" applyAlignment="1">
      <alignment vertical="center" wrapText="1"/>
    </xf>
    <xf numFmtId="170" fontId="9" fillId="2" borderId="0" xfId="0" applyNumberFormat="1" applyFont="1" applyFill="1" applyAlignment="1">
      <alignment vertical="center"/>
    </xf>
    <xf numFmtId="0" fontId="10" fillId="2" borderId="1" xfId="0" applyFont="1" applyFill="1" applyBorder="1" applyAlignment="1">
      <alignment horizontal="justify" vertical="center" wrapText="1"/>
    </xf>
    <xf numFmtId="0" fontId="10" fillId="2" borderId="12" xfId="0" applyFont="1" applyFill="1" applyBorder="1" applyAlignment="1">
      <alignment horizontal="justify" vertical="center" wrapText="1"/>
    </xf>
    <xf numFmtId="0" fontId="9" fillId="2" borderId="1" xfId="5" applyFont="1" applyFill="1" applyBorder="1" applyAlignment="1">
      <alignment horizontal="center" vertical="center"/>
    </xf>
    <xf numFmtId="0" fontId="9" fillId="0" borderId="1" xfId="2" applyNumberFormat="1" applyFont="1" applyFill="1" applyBorder="1" applyAlignment="1">
      <alignment horizontal="center" vertical="center" wrapText="1"/>
    </xf>
    <xf numFmtId="3" fontId="9" fillId="0" borderId="1" xfId="2" quotePrefix="1" applyNumberFormat="1" applyFont="1" applyFill="1" applyBorder="1" applyAlignment="1">
      <alignment horizontal="center" vertical="center" wrapText="1"/>
    </xf>
    <xf numFmtId="174" fontId="9" fillId="0" borderId="1" xfId="2" applyNumberFormat="1" applyFont="1" applyFill="1" applyBorder="1" applyAlignment="1">
      <alignment horizontal="center" vertical="center" wrapText="1"/>
    </xf>
    <xf numFmtId="3" fontId="9" fillId="0" borderId="0" xfId="2" applyNumberFormat="1" applyFont="1" applyFill="1" applyBorder="1" applyAlignment="1">
      <alignment vertical="center" wrapText="1"/>
    </xf>
    <xf numFmtId="175" fontId="9" fillId="0" borderId="1" xfId="10" applyNumberFormat="1" applyFont="1" applyFill="1" applyBorder="1" applyAlignment="1">
      <alignment horizontal="center" vertical="center" shrinkToFit="1"/>
    </xf>
    <xf numFmtId="1" fontId="10" fillId="0" borderId="0" xfId="2" applyNumberFormat="1" applyFont="1" applyFill="1" applyAlignment="1">
      <alignment horizontal="left" vertical="center" wrapText="1"/>
    </xf>
    <xf numFmtId="0" fontId="10" fillId="0" borderId="1" xfId="7" applyFont="1" applyFill="1" applyBorder="1" applyAlignment="1">
      <alignment horizontal="center" vertical="center" wrapText="1"/>
    </xf>
    <xf numFmtId="0" fontId="10" fillId="0" borderId="8" xfId="4" applyFont="1" applyFill="1" applyBorder="1" applyAlignment="1">
      <alignment horizontal="justify" vertical="center" wrapText="1"/>
    </xf>
    <xf numFmtId="0" fontId="10" fillId="0" borderId="1" xfId="4" applyFont="1" applyFill="1" applyBorder="1" applyAlignment="1">
      <alignment horizontal="center" vertical="center" wrapText="1"/>
    </xf>
    <xf numFmtId="173" fontId="10" fillId="0" borderId="1" xfId="4" applyNumberFormat="1" applyFont="1" applyFill="1" applyBorder="1" applyAlignment="1">
      <alignment vertical="center" shrinkToFit="1"/>
    </xf>
    <xf numFmtId="3" fontId="9" fillId="0" borderId="1"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173" fontId="9" fillId="2" borderId="0" xfId="0" applyNumberFormat="1" applyFont="1" applyFill="1" applyAlignment="1">
      <alignment vertical="center"/>
    </xf>
    <xf numFmtId="170" fontId="17" fillId="3" borderId="0" xfId="0" applyNumberFormat="1" applyFont="1" applyFill="1" applyAlignment="1">
      <alignment vertical="center"/>
    </xf>
    <xf numFmtId="168" fontId="9" fillId="0" borderId="0" xfId="0" applyNumberFormat="1" applyFont="1" applyFill="1" applyAlignment="1">
      <alignment vertical="center"/>
    </xf>
    <xf numFmtId="173" fontId="9" fillId="0" borderId="0" xfId="0" applyNumberFormat="1" applyFont="1" applyFill="1" applyAlignment="1">
      <alignment vertical="center"/>
    </xf>
    <xf numFmtId="171" fontId="10" fillId="3" borderId="0" xfId="3" applyNumberFormat="1" applyFont="1" applyFill="1" applyBorder="1" applyAlignment="1">
      <alignment vertical="center" wrapText="1"/>
    </xf>
    <xf numFmtId="173" fontId="10" fillId="3" borderId="1" xfId="0" applyNumberFormat="1" applyFont="1" applyFill="1" applyBorder="1" applyAlignment="1">
      <alignment vertical="center"/>
    </xf>
    <xf numFmtId="173" fontId="10" fillId="3" borderId="1" xfId="1" applyNumberFormat="1" applyFont="1" applyFill="1" applyBorder="1" applyAlignment="1">
      <alignment horizontal="right" vertical="center" shrinkToFit="1"/>
    </xf>
    <xf numFmtId="3" fontId="9" fillId="0" borderId="1" xfId="0" applyNumberFormat="1" applyFont="1" applyFill="1" applyBorder="1" applyAlignment="1">
      <alignment horizontal="center" vertical="center" wrapText="1"/>
    </xf>
    <xf numFmtId="175" fontId="10" fillId="0" borderId="1" xfId="10" applyNumberFormat="1" applyFont="1" applyFill="1" applyBorder="1" applyAlignment="1">
      <alignment horizontal="right" vertical="center" shrinkToFit="1"/>
    </xf>
    <xf numFmtId="173" fontId="10" fillId="2" borderId="1" xfId="1" applyNumberFormat="1" applyFont="1" applyFill="1" applyBorder="1" applyAlignment="1">
      <alignment horizontal="right" vertical="center" wrapText="1"/>
    </xf>
    <xf numFmtId="0" fontId="10" fillId="2" borderId="1" xfId="0" applyFont="1" applyFill="1" applyBorder="1" applyAlignment="1" applyProtection="1">
      <alignment horizontal="left" vertical="center" wrapText="1"/>
    </xf>
    <xf numFmtId="175" fontId="9" fillId="0" borderId="1" xfId="2" applyNumberFormat="1" applyFont="1" applyFill="1" applyBorder="1" applyAlignment="1">
      <alignment horizontal="right" vertical="center" wrapText="1"/>
    </xf>
    <xf numFmtId="178" fontId="9" fillId="0" borderId="1" xfId="2" applyNumberFormat="1" applyFont="1" applyFill="1" applyBorder="1" applyAlignment="1">
      <alignment horizontal="right" vertical="center" wrapText="1"/>
    </xf>
    <xf numFmtId="10" fontId="9" fillId="0" borderId="0" xfId="2" applyNumberFormat="1" applyFont="1" applyFill="1" applyBorder="1" applyAlignment="1">
      <alignment vertical="center" wrapText="1"/>
    </xf>
    <xf numFmtId="1" fontId="21" fillId="0" borderId="0" xfId="2" applyNumberFormat="1" applyFont="1" applyFill="1" applyAlignment="1">
      <alignment vertical="center"/>
    </xf>
    <xf numFmtId="1" fontId="5" fillId="0" borderId="0" xfId="2" applyNumberFormat="1" applyFont="1" applyFill="1" applyAlignment="1">
      <alignment vertical="center"/>
    </xf>
    <xf numFmtId="3" fontId="2" fillId="0" borderId="0" xfId="2" applyNumberFormat="1" applyFont="1" applyFill="1" applyBorder="1" applyAlignment="1">
      <alignment horizontal="center" vertical="center" wrapText="1"/>
    </xf>
    <xf numFmtId="173" fontId="5" fillId="2" borderId="1" xfId="1" applyNumberFormat="1" applyFont="1" applyFill="1" applyBorder="1" applyAlignment="1">
      <alignment horizontal="right" vertical="center" shrinkToFit="1"/>
    </xf>
    <xf numFmtId="169" fontId="5" fillId="2" borderId="1" xfId="1" applyNumberFormat="1" applyFont="1" applyFill="1" applyBorder="1" applyAlignment="1">
      <alignment horizontal="center" vertical="center"/>
    </xf>
    <xf numFmtId="173" fontId="5" fillId="2" borderId="1" xfId="1" applyNumberFormat="1" applyFont="1" applyFill="1" applyBorder="1" applyAlignment="1">
      <alignment horizontal="right" vertical="center"/>
    </xf>
    <xf numFmtId="1" fontId="5" fillId="0" borderId="1" xfId="2"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22" fillId="2" borderId="0" xfId="0" applyFont="1" applyFill="1" applyAlignment="1">
      <alignment vertical="center"/>
    </xf>
    <xf numFmtId="0" fontId="2" fillId="2" borderId="0" xfId="0" applyFont="1" applyFill="1" applyAlignment="1">
      <alignment vertical="center"/>
    </xf>
    <xf numFmtId="3" fontId="2" fillId="2" borderId="0" xfId="0" applyNumberFormat="1"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168" fontId="5" fillId="2" borderId="0" xfId="0" applyNumberFormat="1" applyFont="1" applyFill="1" applyAlignment="1">
      <alignment vertical="center"/>
    </xf>
    <xf numFmtId="168" fontId="5" fillId="2" borderId="0" xfId="0" applyNumberFormat="1" applyFont="1" applyFill="1" applyAlignment="1">
      <alignment horizontal="right" vertical="center"/>
    </xf>
    <xf numFmtId="49" fontId="2" fillId="2" borderId="5" xfId="2" applyNumberFormat="1" applyFont="1" applyFill="1" applyBorder="1" applyAlignment="1">
      <alignment horizontal="center" vertical="center" wrapText="1"/>
    </xf>
    <xf numFmtId="0" fontId="2" fillId="2" borderId="1" xfId="0" applyFont="1" applyFill="1" applyBorder="1" applyAlignment="1">
      <alignment horizontal="center" vertical="center"/>
    </xf>
    <xf numFmtId="173" fontId="2" fillId="2" borderId="1" xfId="1" applyNumberFormat="1" applyFont="1" applyFill="1" applyBorder="1" applyAlignment="1">
      <alignment horizontal="right" vertical="center" shrinkToFit="1"/>
    </xf>
    <xf numFmtId="169" fontId="2" fillId="2" borderId="1" xfId="1" applyNumberFormat="1" applyFont="1" applyFill="1" applyBorder="1" applyAlignment="1">
      <alignment horizontal="right" vertical="center" shrinkToFit="1"/>
    </xf>
    <xf numFmtId="168" fontId="2" fillId="2" borderId="0" xfId="0" applyNumberFormat="1" applyFont="1" applyFill="1" applyAlignment="1">
      <alignment vertical="center"/>
    </xf>
    <xf numFmtId="173" fontId="2" fillId="2" borderId="0" xfId="0" applyNumberFormat="1" applyFont="1" applyFill="1" applyAlignment="1">
      <alignment vertical="center"/>
    </xf>
    <xf numFmtId="0" fontId="2" fillId="2" borderId="1" xfId="0" applyFont="1" applyFill="1" applyBorder="1" applyAlignment="1">
      <alignment vertical="center"/>
    </xf>
    <xf numFmtId="0" fontId="5" fillId="2" borderId="1" xfId="5"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169" fontId="5" fillId="2" borderId="1" xfId="1" applyNumberFormat="1" applyFont="1" applyFill="1" applyBorder="1" applyAlignment="1">
      <alignment horizontal="right" vertical="center"/>
    </xf>
    <xf numFmtId="169" fontId="5" fillId="2" borderId="1" xfId="1" applyNumberFormat="1" applyFont="1" applyFill="1" applyBorder="1" applyAlignment="1">
      <alignment vertical="center"/>
    </xf>
    <xf numFmtId="3" fontId="5"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left" vertical="center" wrapText="1"/>
    </xf>
    <xf numFmtId="0" fontId="5" fillId="2" borderId="1" xfId="7"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4" applyFont="1" applyFill="1" applyBorder="1" applyAlignment="1">
      <alignment horizontal="center" vertical="center" wrapText="1"/>
    </xf>
    <xf numFmtId="0" fontId="2" fillId="2" borderId="1" xfId="7" applyFont="1" applyFill="1" applyBorder="1" applyAlignment="1">
      <alignment horizontal="right" vertical="center" wrapText="1"/>
    </xf>
    <xf numFmtId="0" fontId="2" fillId="2" borderId="1" xfId="0" applyFont="1" applyFill="1" applyBorder="1" applyAlignment="1">
      <alignment horizontal="left" vertical="center"/>
    </xf>
    <xf numFmtId="0" fontId="2" fillId="2" borderId="1" xfId="4" applyFont="1" applyFill="1" applyBorder="1" applyAlignment="1">
      <alignment horizontal="right" vertical="center" wrapText="1"/>
    </xf>
    <xf numFmtId="168" fontId="2" fillId="2" borderId="0" xfId="0" applyNumberFormat="1" applyFont="1" applyFill="1" applyAlignment="1">
      <alignment horizontal="right" vertical="center"/>
    </xf>
    <xf numFmtId="173" fontId="2" fillId="2" borderId="0" xfId="0" applyNumberFormat="1" applyFont="1" applyFill="1" applyAlignment="1">
      <alignment horizontal="right" vertical="center"/>
    </xf>
    <xf numFmtId="0" fontId="2" fillId="2" borderId="0" xfId="0" applyFont="1" applyFill="1" applyAlignment="1">
      <alignment horizontal="right" vertical="center"/>
    </xf>
    <xf numFmtId="0" fontId="2" fillId="2" borderId="1" xfId="7" applyFont="1" applyFill="1" applyBorder="1" applyAlignment="1">
      <alignment horizontal="center" vertical="center" wrapText="1"/>
    </xf>
    <xf numFmtId="0" fontId="2" fillId="2" borderId="1" xfId="0" applyFont="1" applyFill="1" applyBorder="1" applyAlignment="1">
      <alignment horizontal="left" vertical="center" wrapText="1"/>
    </xf>
    <xf numFmtId="3" fontId="2" fillId="2" borderId="1" xfId="0" applyNumberFormat="1" applyFont="1" applyFill="1" applyBorder="1" applyAlignment="1">
      <alignment horizontal="center" vertical="center" wrapText="1"/>
    </xf>
    <xf numFmtId="169" fontId="2" fillId="2" borderId="1" xfId="1" applyNumberFormat="1" applyFont="1" applyFill="1" applyBorder="1" applyAlignment="1">
      <alignment horizontal="right" vertical="center"/>
    </xf>
    <xf numFmtId="169" fontId="2" fillId="2" borderId="1" xfId="1" applyNumberFormat="1" applyFont="1" applyFill="1" applyBorder="1" applyAlignment="1">
      <alignment horizontal="center" vertical="center"/>
    </xf>
    <xf numFmtId="169" fontId="2" fillId="2" borderId="1" xfId="1" applyNumberFormat="1" applyFont="1" applyFill="1" applyBorder="1" applyAlignment="1">
      <alignment horizontal="center" vertical="center" wrapText="1"/>
    </xf>
    <xf numFmtId="0" fontId="5" fillId="2" borderId="1" xfId="0" applyFont="1" applyFill="1" applyBorder="1" applyAlignment="1">
      <alignment horizontal="justify" vertical="center" wrapText="1"/>
    </xf>
    <xf numFmtId="3" fontId="2" fillId="2" borderId="1"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169" fontId="2" fillId="2" borderId="1" xfId="1" applyNumberFormat="1" applyFont="1" applyFill="1" applyBorder="1" applyAlignment="1">
      <alignment horizontal="center" vertical="center" shrinkToFit="1"/>
    </xf>
    <xf numFmtId="169" fontId="5" fillId="2" borderId="1" xfId="1" applyNumberFormat="1" applyFont="1" applyFill="1" applyBorder="1" applyAlignment="1">
      <alignment horizontal="center" vertical="center" wrapText="1"/>
    </xf>
    <xf numFmtId="166" fontId="2" fillId="2" borderId="1" xfId="1" applyNumberFormat="1" applyFont="1" applyFill="1" applyBorder="1" applyAlignment="1">
      <alignment horizontal="right" vertical="center" shrinkToFit="1"/>
    </xf>
    <xf numFmtId="3" fontId="2" fillId="2" borderId="1" xfId="1" applyNumberFormat="1" applyFont="1" applyFill="1" applyBorder="1" applyAlignment="1">
      <alignment horizontal="right" vertical="center" shrinkToFit="1"/>
    </xf>
    <xf numFmtId="3" fontId="2" fillId="2" borderId="1" xfId="1" applyNumberFormat="1" applyFont="1" applyFill="1" applyBorder="1" applyAlignment="1">
      <alignment horizontal="center" vertical="center" shrinkToFit="1"/>
    </xf>
    <xf numFmtId="165" fontId="2" fillId="2" borderId="1" xfId="0" applyNumberFormat="1" applyFont="1" applyFill="1" applyBorder="1" applyAlignment="1">
      <alignment vertical="center" wrapText="1"/>
    </xf>
    <xf numFmtId="166" fontId="5" fillId="2" borderId="1" xfId="1" applyNumberFormat="1" applyFont="1" applyFill="1" applyBorder="1" applyAlignment="1">
      <alignment horizontal="right" vertical="center" shrinkToFit="1"/>
    </xf>
    <xf numFmtId="3" fontId="5" fillId="2" borderId="1" xfId="4" applyNumberFormat="1" applyFont="1" applyFill="1" applyBorder="1" applyAlignment="1">
      <alignment vertical="center" shrinkToFit="1"/>
    </xf>
    <xf numFmtId="0" fontId="5" fillId="2" borderId="11" xfId="0" applyFont="1" applyFill="1" applyBorder="1" applyAlignment="1">
      <alignment horizontal="center" vertical="center"/>
    </xf>
    <xf numFmtId="0" fontId="5" fillId="2" borderId="11" xfId="0" applyFont="1" applyFill="1" applyBorder="1" applyAlignment="1">
      <alignment vertical="center"/>
    </xf>
    <xf numFmtId="0" fontId="5" fillId="2" borderId="11" xfId="0" applyFont="1" applyFill="1" applyBorder="1" applyAlignment="1">
      <alignment horizontal="right" vertical="center"/>
    </xf>
    <xf numFmtId="3" fontId="5" fillId="2" borderId="11" xfId="0" applyNumberFormat="1" applyFont="1" applyFill="1" applyBorder="1" applyAlignment="1">
      <alignment vertical="center"/>
    </xf>
    <xf numFmtId="0" fontId="5" fillId="2" borderId="11" xfId="0" applyFont="1" applyFill="1" applyBorder="1" applyAlignment="1">
      <alignment vertical="center" wrapText="1"/>
    </xf>
    <xf numFmtId="0" fontId="5" fillId="2" borderId="0" xfId="0" applyFont="1" applyFill="1" applyAlignment="1">
      <alignment horizontal="right" vertical="center"/>
    </xf>
    <xf numFmtId="3" fontId="5" fillId="2" borderId="0" xfId="0" applyNumberFormat="1" applyFont="1" applyFill="1" applyAlignment="1">
      <alignment vertical="center"/>
    </xf>
    <xf numFmtId="0" fontId="5" fillId="2" borderId="0" xfId="0" applyFont="1" applyFill="1" applyAlignment="1">
      <alignment vertical="center" wrapText="1"/>
    </xf>
    <xf numFmtId="174" fontId="5" fillId="2" borderId="0" xfId="0" applyNumberFormat="1" applyFont="1" applyFill="1" applyAlignment="1">
      <alignment vertical="center" wrapText="1"/>
    </xf>
    <xf numFmtId="173" fontId="5" fillId="2" borderId="0" xfId="0" applyNumberFormat="1" applyFont="1" applyFill="1" applyAlignment="1">
      <alignment vertical="center"/>
    </xf>
    <xf numFmtId="1" fontId="10" fillId="0" borderId="1" xfId="2" applyNumberFormat="1" applyFont="1" applyFill="1" applyBorder="1" applyAlignment="1">
      <alignment horizontal="right" vertical="center"/>
    </xf>
    <xf numFmtId="0" fontId="9" fillId="0" borderId="1" xfId="0" applyFont="1" applyFill="1" applyBorder="1" applyAlignment="1">
      <alignment vertical="center" wrapText="1"/>
    </xf>
    <xf numFmtId="175" fontId="9" fillId="0" borderId="1" xfId="10" applyNumberFormat="1" applyFont="1" applyFill="1" applyBorder="1" applyAlignment="1">
      <alignment horizontal="right" vertical="center" shrinkToFit="1"/>
    </xf>
    <xf numFmtId="0" fontId="2" fillId="0" borderId="1" xfId="0" applyFont="1" applyBorder="1" applyAlignment="1">
      <alignment horizontal="center" vertical="center"/>
    </xf>
    <xf numFmtId="0" fontId="26" fillId="0" borderId="0" xfId="0" applyFont="1"/>
    <xf numFmtId="1" fontId="10" fillId="0" borderId="1" xfId="2" applyNumberFormat="1" applyFont="1" applyFill="1" applyBorder="1" applyAlignment="1">
      <alignment horizontal="center" vertical="center"/>
    </xf>
    <xf numFmtId="1" fontId="9" fillId="0" borderId="1" xfId="2" applyNumberFormat="1" applyFont="1" applyFill="1" applyBorder="1" applyAlignment="1">
      <alignment horizontal="center" vertical="center" wrapText="1"/>
    </xf>
    <xf numFmtId="1" fontId="27" fillId="0" borderId="1" xfId="2" applyNumberFormat="1" applyFont="1" applyFill="1" applyBorder="1" applyAlignment="1">
      <alignment horizontal="center" vertical="center"/>
    </xf>
    <xf numFmtId="1" fontId="27" fillId="0" borderId="1" xfId="2" applyNumberFormat="1" applyFont="1" applyFill="1" applyBorder="1" applyAlignment="1">
      <alignment vertical="center" wrapText="1"/>
    </xf>
    <xf numFmtId="0" fontId="0" fillId="0" borderId="0" xfId="0" applyFont="1"/>
    <xf numFmtId="1" fontId="28" fillId="0" borderId="1" xfId="2" applyNumberFormat="1" applyFont="1" applyFill="1" applyBorder="1" applyAlignment="1">
      <alignment horizontal="center" vertical="center"/>
    </xf>
    <xf numFmtId="1" fontId="28" fillId="0" borderId="1" xfId="2" applyNumberFormat="1" applyFont="1" applyFill="1" applyBorder="1" applyAlignment="1">
      <alignment vertical="center" wrapText="1"/>
    </xf>
    <xf numFmtId="0" fontId="29" fillId="0" borderId="1" xfId="0" applyFont="1" applyBorder="1" applyAlignment="1">
      <alignment horizontal="center" vertical="center" wrapText="1"/>
    </xf>
    <xf numFmtId="3" fontId="10" fillId="0" borderId="1" xfId="2" applyNumberFormat="1" applyFont="1" applyFill="1" applyBorder="1" applyAlignment="1">
      <alignment horizontal="right" vertical="center"/>
    </xf>
    <xf numFmtId="1" fontId="10" fillId="0" borderId="1" xfId="2" applyNumberFormat="1" applyFont="1" applyFill="1" applyBorder="1" applyAlignment="1">
      <alignment horizontal="center" vertical="center" wrapText="1"/>
    </xf>
    <xf numFmtId="49" fontId="19" fillId="0" borderId="1" xfId="2" applyNumberFormat="1" applyFont="1" applyFill="1" applyBorder="1" applyAlignment="1">
      <alignment horizontal="center" vertical="center"/>
    </xf>
    <xf numFmtId="1" fontId="28" fillId="0" borderId="1" xfId="2" applyNumberFormat="1" applyFont="1" applyFill="1" applyBorder="1" applyAlignment="1">
      <alignment horizontal="left" vertical="center" wrapText="1"/>
    </xf>
    <xf numFmtId="0" fontId="0" fillId="0" borderId="1" xfId="0" applyBorder="1"/>
    <xf numFmtId="0" fontId="0" fillId="0" borderId="0" xfId="0" applyAlignment="1">
      <alignment vertical="center"/>
    </xf>
    <xf numFmtId="0" fontId="0" fillId="0" borderId="1" xfId="0" applyBorder="1" applyAlignment="1">
      <alignment vertical="center"/>
    </xf>
    <xf numFmtId="3" fontId="0" fillId="0" borderId="1" xfId="0" applyNumberFormat="1"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2" fontId="0" fillId="0" borderId="1" xfId="0" applyNumberFormat="1" applyBorder="1" applyAlignment="1">
      <alignment vertical="center"/>
    </xf>
    <xf numFmtId="179" fontId="0" fillId="0" borderId="1" xfId="0" applyNumberFormat="1" applyBorder="1" applyAlignment="1">
      <alignment vertical="center"/>
    </xf>
    <xf numFmtId="173" fontId="0" fillId="0" borderId="1" xfId="0" applyNumberFormat="1" applyBorder="1" applyAlignment="1">
      <alignment vertical="center"/>
    </xf>
    <xf numFmtId="3" fontId="2" fillId="0" borderId="1" xfId="0" applyNumberFormat="1" applyFont="1" applyBorder="1" applyAlignment="1">
      <alignment vertical="center"/>
    </xf>
    <xf numFmtId="170" fontId="2" fillId="0" borderId="1" xfId="0" applyNumberFormat="1" applyFont="1" applyBorder="1" applyAlignment="1">
      <alignment vertical="center"/>
    </xf>
    <xf numFmtId="0" fontId="4" fillId="0" borderId="1" xfId="0" applyFont="1" applyBorder="1" applyAlignment="1">
      <alignment vertical="center" wrapText="1"/>
    </xf>
    <xf numFmtId="0" fontId="2" fillId="0" borderId="1" xfId="0" applyFont="1" applyBorder="1" applyAlignment="1">
      <alignment vertical="center" wrapText="1"/>
    </xf>
    <xf numFmtId="3" fontId="5" fillId="0" borderId="1" xfId="0" applyNumberFormat="1" applyFont="1" applyBorder="1" applyAlignment="1">
      <alignment horizontal="right" vertical="center"/>
    </xf>
    <xf numFmtId="170" fontId="0" fillId="0" borderId="1" xfId="0" applyNumberFormat="1" applyBorder="1" applyAlignment="1">
      <alignment vertical="center"/>
    </xf>
    <xf numFmtId="0" fontId="2" fillId="0" borderId="1" xfId="0" applyFont="1" applyFill="1" applyBorder="1" applyAlignment="1">
      <alignment vertical="center" wrapText="1"/>
    </xf>
    <xf numFmtId="0" fontId="10" fillId="2" borderId="1" xfId="15" applyFont="1" applyFill="1" applyBorder="1" applyAlignment="1">
      <alignment horizontal="left" vertical="center" wrapText="1"/>
    </xf>
    <xf numFmtId="180" fontId="10" fillId="2" borderId="1" xfId="16" quotePrefix="1" applyNumberFormat="1" applyFont="1" applyFill="1" applyBorder="1" applyAlignment="1">
      <alignment horizontal="right" vertical="center" wrapText="1"/>
    </xf>
    <xf numFmtId="3" fontId="10" fillId="0" borderId="1" xfId="1" applyNumberFormat="1" applyFont="1" applyFill="1" applyBorder="1" applyAlignment="1">
      <alignment horizontal="right" vertical="center" wrapText="1"/>
    </xf>
    <xf numFmtId="0" fontId="29" fillId="0" borderId="1" xfId="0" applyFont="1" applyBorder="1" applyAlignment="1">
      <alignment horizontal="left" vertical="center" wrapText="1"/>
    </xf>
    <xf numFmtId="4" fontId="0" fillId="0" borderId="1" xfId="0" applyNumberFormat="1" applyBorder="1" applyAlignment="1">
      <alignment vertical="center"/>
    </xf>
    <xf numFmtId="0" fontId="0" fillId="0" borderId="0" xfId="0" applyBorder="1" applyAlignment="1">
      <alignment horizontal="center" vertical="center"/>
    </xf>
    <xf numFmtId="0" fontId="0" fillId="0" borderId="0" xfId="0" applyBorder="1" applyAlignment="1">
      <alignment vertical="center" wrapText="1"/>
    </xf>
    <xf numFmtId="3" fontId="0" fillId="0" borderId="0" xfId="0" applyNumberFormat="1" applyBorder="1" applyAlignment="1">
      <alignment vertical="center"/>
    </xf>
    <xf numFmtId="0" fontId="0" fillId="0" borderId="0" xfId="0" applyBorder="1" applyAlignment="1">
      <alignment horizontal="center" vertical="center" wrapText="1"/>
    </xf>
    <xf numFmtId="0" fontId="0" fillId="0" borderId="0" xfId="0" applyBorder="1"/>
    <xf numFmtId="0" fontId="2" fillId="0" borderId="0" xfId="0" applyFont="1" applyBorder="1" applyAlignment="1">
      <alignment horizontal="center" vertical="center"/>
    </xf>
    <xf numFmtId="3" fontId="2"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xf>
    <xf numFmtId="4" fontId="0" fillId="0" borderId="0" xfId="0" applyNumberFormat="1" applyBorder="1" applyAlignment="1">
      <alignment vertical="center"/>
    </xf>
    <xf numFmtId="0" fontId="10" fillId="2" borderId="0" xfId="15" applyFont="1" applyFill="1" applyBorder="1" applyAlignment="1">
      <alignment horizontal="left" vertical="center" wrapText="1"/>
    </xf>
    <xf numFmtId="180" fontId="10" fillId="2" borderId="0" xfId="16" quotePrefix="1" applyNumberFormat="1" applyFont="1" applyFill="1" applyBorder="1" applyAlignment="1">
      <alignment horizontal="right" vertical="center" wrapText="1"/>
    </xf>
    <xf numFmtId="3" fontId="10" fillId="0" borderId="0" xfId="1" applyNumberFormat="1" applyFont="1" applyFill="1" applyBorder="1" applyAlignment="1">
      <alignment horizontal="right" vertical="center" wrapText="1"/>
    </xf>
    <xf numFmtId="3" fontId="5" fillId="0" borderId="0" xfId="0" applyNumberFormat="1" applyFont="1" applyBorder="1" applyAlignment="1">
      <alignment horizontal="right" vertical="center"/>
    </xf>
    <xf numFmtId="170" fontId="0" fillId="0" borderId="0" xfId="0" applyNumberFormat="1" applyBorder="1" applyAlignment="1">
      <alignment vertical="center"/>
    </xf>
    <xf numFmtId="0" fontId="2" fillId="0" borderId="0" xfId="0" applyFont="1" applyFill="1" applyBorder="1" applyAlignment="1">
      <alignment vertical="center" wrapText="1"/>
    </xf>
    <xf numFmtId="0" fontId="29" fillId="0" borderId="0" xfId="0" applyFont="1" applyBorder="1" applyAlignment="1">
      <alignment horizontal="left" vertical="center" wrapText="1"/>
    </xf>
    <xf numFmtId="4" fontId="2" fillId="0" borderId="1" xfId="0" applyNumberFormat="1" applyFont="1" applyBorder="1" applyAlignment="1">
      <alignment vertical="center"/>
    </xf>
    <xf numFmtId="3" fontId="5" fillId="0" borderId="1" xfId="0" applyNumberFormat="1" applyFont="1" applyBorder="1" applyAlignment="1">
      <alignment vertical="center"/>
    </xf>
    <xf numFmtId="170" fontId="5" fillId="0" borderId="1" xfId="0" applyNumberFormat="1" applyFont="1" applyBorder="1" applyAlignment="1">
      <alignment vertical="center"/>
    </xf>
    <xf numFmtId="3" fontId="9" fillId="0" borderId="1" xfId="2" applyNumberFormat="1" applyFont="1" applyFill="1" applyBorder="1" applyAlignment="1">
      <alignment horizontal="center" vertical="center" wrapText="1"/>
    </xf>
    <xf numFmtId="0" fontId="0" fillId="0" borderId="1" xfId="0" applyBorder="1" applyAlignment="1">
      <alignment horizontal="center" vertical="center" wrapText="1"/>
    </xf>
    <xf numFmtId="3" fontId="9" fillId="0" borderId="1" xfId="2" applyNumberFormat="1" applyFont="1" applyFill="1" applyBorder="1" applyAlignment="1">
      <alignment horizontal="right" vertical="center"/>
    </xf>
    <xf numFmtId="0" fontId="2" fillId="0" borderId="1" xfId="0" applyFont="1" applyBorder="1" applyAlignment="1">
      <alignment horizontal="center" vertical="center"/>
    </xf>
    <xf numFmtId="0" fontId="1" fillId="0" borderId="2" xfId="0" applyFont="1" applyBorder="1" applyAlignment="1">
      <alignment horizontal="right" vertical="center"/>
    </xf>
    <xf numFmtId="0" fontId="0" fillId="0" borderId="3" xfId="0" applyBorder="1" applyAlignment="1">
      <alignment horizontal="center" vertical="center" wrapText="1"/>
    </xf>
    <xf numFmtId="0" fontId="0" fillId="2" borderId="0" xfId="0" applyFill="1"/>
    <xf numFmtId="3" fontId="2" fillId="2" borderId="1" xfId="0" applyNumberFormat="1" applyFont="1" applyFill="1" applyBorder="1" applyAlignment="1">
      <alignment vertical="center"/>
    </xf>
    <xf numFmtId="3" fontId="0" fillId="2" borderId="1" xfId="0" applyNumberFormat="1" applyFill="1" applyBorder="1" applyAlignment="1">
      <alignment vertical="center"/>
    </xf>
    <xf numFmtId="173" fontId="0" fillId="2" borderId="1" xfId="0" applyNumberFormat="1" applyFill="1" applyBorder="1" applyAlignment="1">
      <alignment vertical="center"/>
    </xf>
    <xf numFmtId="3" fontId="10" fillId="2" borderId="1" xfId="1" applyNumberFormat="1" applyFont="1" applyFill="1" applyBorder="1" applyAlignment="1">
      <alignment horizontal="right" vertical="center" wrapText="1"/>
    </xf>
    <xf numFmtId="3" fontId="5" fillId="2" borderId="1" xfId="0" applyNumberFormat="1" applyFont="1" applyFill="1" applyBorder="1" applyAlignment="1">
      <alignment horizontal="right" vertical="center"/>
    </xf>
    <xf numFmtId="0" fontId="32" fillId="0" borderId="1" xfId="0" applyFont="1" applyBorder="1" applyAlignment="1">
      <alignment horizontal="center" vertical="center"/>
    </xf>
    <xf numFmtId="0" fontId="32" fillId="0" borderId="1" xfId="0" applyFont="1" applyFill="1" applyBorder="1" applyAlignment="1" applyProtection="1">
      <alignment horizontal="left" vertical="center" wrapText="1"/>
    </xf>
    <xf numFmtId="3" fontId="32" fillId="0" borderId="1" xfId="0" applyNumberFormat="1" applyFont="1" applyBorder="1" applyAlignment="1">
      <alignment vertical="center"/>
    </xf>
    <xf numFmtId="0" fontId="32" fillId="0" borderId="1" xfId="0" applyFont="1" applyBorder="1" applyAlignment="1">
      <alignment vertical="center"/>
    </xf>
    <xf numFmtId="0" fontId="32" fillId="0" borderId="0" xfId="0" applyFont="1"/>
    <xf numFmtId="0" fontId="33" fillId="0" borderId="1" xfId="0" applyFont="1" applyBorder="1" applyAlignment="1">
      <alignment horizontal="center" vertical="center"/>
    </xf>
    <xf numFmtId="0" fontId="33" fillId="0" borderId="1" xfId="0" applyFont="1" applyFill="1" applyBorder="1" applyAlignment="1">
      <alignment vertical="center" wrapText="1"/>
    </xf>
    <xf numFmtId="3" fontId="33" fillId="0" borderId="1" xfId="0" applyNumberFormat="1" applyFont="1" applyBorder="1" applyAlignment="1">
      <alignment vertical="center"/>
    </xf>
    <xf numFmtId="170" fontId="33" fillId="0" borderId="1" xfId="0" applyNumberFormat="1" applyFont="1" applyBorder="1" applyAlignment="1">
      <alignment vertical="center"/>
    </xf>
    <xf numFmtId="0" fontId="32" fillId="0" borderId="1" xfId="0" applyFont="1" applyBorder="1"/>
    <xf numFmtId="4" fontId="32" fillId="0" borderId="1" xfId="0" applyNumberFormat="1" applyFont="1" applyBorder="1" applyAlignment="1">
      <alignment vertical="center"/>
    </xf>
    <xf numFmtId="170" fontId="32" fillId="0" borderId="1" xfId="0" applyNumberFormat="1" applyFont="1" applyBorder="1" applyAlignment="1">
      <alignment vertical="center"/>
    </xf>
    <xf numFmtId="0" fontId="32" fillId="0" borderId="1" xfId="0" applyFont="1" applyFill="1" applyBorder="1" applyAlignment="1">
      <alignment horizontal="center" vertical="center" shrinkToFit="1"/>
    </xf>
    <xf numFmtId="3" fontId="32" fillId="0" borderId="1" xfId="0" applyNumberFormat="1" applyFont="1" applyBorder="1" applyAlignment="1">
      <alignment horizontal="right" vertical="center"/>
    </xf>
    <xf numFmtId="3" fontId="32" fillId="2" borderId="1" xfId="0" applyNumberFormat="1" applyFont="1" applyFill="1" applyBorder="1" applyAlignment="1">
      <alignment horizontal="right" vertical="center"/>
    </xf>
    <xf numFmtId="0" fontId="32" fillId="0" borderId="1" xfId="0" applyFont="1" applyFill="1" applyBorder="1" applyAlignment="1">
      <alignment vertical="center"/>
    </xf>
    <xf numFmtId="4" fontId="32" fillId="2" borderId="1" xfId="0" applyNumberFormat="1" applyFont="1" applyFill="1" applyBorder="1" applyAlignment="1">
      <alignment vertical="center"/>
    </xf>
    <xf numFmtId="4" fontId="0" fillId="2" borderId="1" xfId="0" applyNumberFormat="1" applyFill="1" applyBorder="1" applyAlignment="1">
      <alignment vertical="center"/>
    </xf>
    <xf numFmtId="4" fontId="2" fillId="2" borderId="1" xfId="0" applyNumberFormat="1" applyFont="1" applyFill="1" applyBorder="1" applyAlignment="1">
      <alignment vertical="center"/>
    </xf>
    <xf numFmtId="4" fontId="33" fillId="2" borderId="1" xfId="0" applyNumberFormat="1" applyFont="1" applyFill="1" applyBorder="1" applyAlignment="1">
      <alignment vertical="center"/>
    </xf>
    <xf numFmtId="179" fontId="10" fillId="0" borderId="0" xfId="2" applyNumberFormat="1" applyFont="1" applyFill="1" applyAlignment="1">
      <alignment vertical="center"/>
    </xf>
    <xf numFmtId="1" fontId="10" fillId="0" borderId="0" xfId="2" applyNumberFormat="1" applyFont="1" applyFill="1" applyAlignment="1">
      <alignment horizontal="left" vertical="center" wrapText="1"/>
    </xf>
    <xf numFmtId="1" fontId="10" fillId="0" borderId="1" xfId="2" applyNumberFormat="1" applyFont="1" applyFill="1" applyBorder="1" applyAlignment="1">
      <alignment vertical="center" wrapText="1"/>
    </xf>
    <xf numFmtId="49" fontId="10" fillId="0" borderId="1" xfId="2" applyNumberFormat="1" applyFont="1" applyFill="1" applyBorder="1" applyAlignment="1">
      <alignment horizontal="center" vertical="center"/>
    </xf>
    <xf numFmtId="165" fontId="9" fillId="0" borderId="1" xfId="2" applyNumberFormat="1" applyFont="1" applyFill="1" applyBorder="1" applyAlignment="1">
      <alignment horizontal="right" vertical="center" shrinkToFit="1"/>
    </xf>
    <xf numFmtId="3" fontId="9" fillId="2" borderId="1" xfId="2" applyNumberFormat="1" applyFont="1" applyFill="1" applyBorder="1" applyAlignment="1">
      <alignment horizontal="center" vertical="center" wrapText="1"/>
    </xf>
    <xf numFmtId="1" fontId="10" fillId="0" borderId="0" xfId="2" applyNumberFormat="1" applyFont="1" applyFill="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34" fillId="0" borderId="1" xfId="2" applyNumberFormat="1" applyFont="1" applyFill="1" applyBorder="1" applyAlignment="1">
      <alignment horizontal="center" vertical="center" wrapText="1"/>
    </xf>
    <xf numFmtId="49" fontId="9" fillId="0" borderId="1" xfId="2" applyNumberFormat="1" applyFont="1" applyFill="1" applyBorder="1" applyAlignment="1">
      <alignment horizontal="center" vertical="center"/>
    </xf>
    <xf numFmtId="1" fontId="9" fillId="0" borderId="1" xfId="2" applyNumberFormat="1" applyFont="1" applyFill="1" applyBorder="1" applyAlignment="1">
      <alignment vertical="center" wrapText="1"/>
    </xf>
    <xf numFmtId="0" fontId="10" fillId="0" borderId="1" xfId="0" quotePrefix="1" applyFont="1" applyFill="1" applyBorder="1" applyAlignment="1">
      <alignment horizontal="center" vertical="center"/>
    </xf>
    <xf numFmtId="0" fontId="9" fillId="0" borderId="1" xfId="0" quotePrefix="1" applyFont="1" applyFill="1" applyBorder="1" applyAlignment="1">
      <alignment horizontal="center" vertical="center"/>
    </xf>
    <xf numFmtId="168" fontId="9" fillId="0" borderId="1" xfId="0" applyNumberFormat="1" applyFont="1" applyFill="1" applyBorder="1" applyAlignment="1">
      <alignment vertical="center" wrapText="1"/>
    </xf>
    <xf numFmtId="168" fontId="10" fillId="0" borderId="1" xfId="0" applyNumberFormat="1" applyFont="1" applyFill="1" applyBorder="1" applyAlignment="1">
      <alignment vertical="center" wrapText="1"/>
    </xf>
    <xf numFmtId="49" fontId="10" fillId="0" borderId="1" xfId="2" quotePrefix="1" applyNumberFormat="1" applyFont="1" applyFill="1" applyBorder="1" applyAlignment="1">
      <alignment horizontal="center" vertical="center"/>
    </xf>
    <xf numFmtId="173" fontId="7" fillId="0" borderId="0" xfId="0" applyNumberFormat="1" applyFont="1" applyFill="1" applyAlignment="1">
      <alignment horizontal="left" vertical="center"/>
    </xf>
    <xf numFmtId="173" fontId="9" fillId="0" borderId="1" xfId="2" applyNumberFormat="1" applyFont="1" applyFill="1" applyBorder="1" applyAlignment="1">
      <alignment horizontal="center" vertical="center" wrapText="1"/>
    </xf>
    <xf numFmtId="173" fontId="9" fillId="0" borderId="1" xfId="2" applyNumberFormat="1" applyFont="1" applyFill="1" applyBorder="1" applyAlignment="1">
      <alignment vertical="center" wrapText="1"/>
    </xf>
    <xf numFmtId="173" fontId="10" fillId="0" borderId="1" xfId="2" applyNumberFormat="1" applyFont="1" applyFill="1" applyBorder="1" applyAlignment="1">
      <alignment vertical="center" wrapText="1"/>
    </xf>
    <xf numFmtId="173" fontId="9" fillId="0" borderId="1" xfId="0" applyNumberFormat="1" applyFont="1" applyFill="1" applyBorder="1" applyAlignment="1">
      <alignment vertical="center" wrapText="1"/>
    </xf>
    <xf numFmtId="173" fontId="10" fillId="0" borderId="1" xfId="0" applyNumberFormat="1" applyFont="1" applyFill="1" applyBorder="1" applyAlignment="1">
      <alignment vertical="center" wrapText="1"/>
    </xf>
    <xf numFmtId="173" fontId="10" fillId="0" borderId="0" xfId="2" applyNumberFormat="1" applyFont="1" applyFill="1" applyAlignment="1">
      <alignment vertical="center" wrapText="1"/>
    </xf>
    <xf numFmtId="173" fontId="10" fillId="0" borderId="0" xfId="2" applyNumberFormat="1" applyFont="1" applyFill="1" applyBorder="1" applyAlignment="1">
      <alignment vertical="center" wrapText="1"/>
    </xf>
    <xf numFmtId="173" fontId="10" fillId="0" borderId="0" xfId="2" applyNumberFormat="1" applyFont="1" applyFill="1" applyBorder="1" applyAlignment="1">
      <alignment vertical="center"/>
    </xf>
    <xf numFmtId="173" fontId="10" fillId="0" borderId="0" xfId="2" applyNumberFormat="1" applyFont="1" applyFill="1" applyAlignment="1">
      <alignment horizontal="left" vertical="center" wrapText="1"/>
    </xf>
    <xf numFmtId="173" fontId="10" fillId="0" borderId="0" xfId="2" applyNumberFormat="1" applyFont="1" applyFill="1" applyAlignment="1">
      <alignment vertical="center"/>
    </xf>
    <xf numFmtId="0" fontId="10" fillId="2" borderId="0" xfId="4" applyFont="1" applyFill="1" applyAlignment="1">
      <alignment vertical="center"/>
    </xf>
    <xf numFmtId="3" fontId="10" fillId="2" borderId="0" xfId="4" applyNumberFormat="1" applyFont="1" applyFill="1" applyAlignment="1">
      <alignment vertical="center"/>
    </xf>
    <xf numFmtId="0" fontId="10" fillId="2" borderId="0" xfId="4" applyFont="1" applyFill="1" applyAlignment="1">
      <alignment horizontal="center" vertical="center"/>
    </xf>
    <xf numFmtId="0" fontId="9" fillId="2" borderId="0" xfId="4" applyFont="1" applyFill="1" applyAlignment="1">
      <alignment vertical="center"/>
    </xf>
    <xf numFmtId="166" fontId="9" fillId="2" borderId="1" xfId="6" applyNumberFormat="1" applyFont="1" applyFill="1" applyBorder="1" applyAlignment="1">
      <alignment vertical="center"/>
    </xf>
    <xf numFmtId="166" fontId="10" fillId="2" borderId="1" xfId="6" applyNumberFormat="1" applyFont="1" applyFill="1" applyBorder="1" applyAlignment="1">
      <alignment vertical="center"/>
    </xf>
    <xf numFmtId="0" fontId="9" fillId="0" borderId="0" xfId="4" applyFont="1" applyFill="1" applyAlignment="1">
      <alignment vertical="center"/>
    </xf>
    <xf numFmtId="3" fontId="9" fillId="2" borderId="1" xfId="4" applyNumberFormat="1" applyFont="1" applyFill="1" applyBorder="1" applyAlignment="1">
      <alignment horizontal="center" vertical="center" wrapText="1"/>
    </xf>
    <xf numFmtId="0" fontId="10" fillId="0" borderId="0" xfId="4" applyFont="1" applyFill="1" applyAlignment="1">
      <alignment vertical="center"/>
    </xf>
    <xf numFmtId="166" fontId="9" fillId="0" borderId="1" xfId="6" applyNumberFormat="1" applyFont="1" applyFill="1" applyBorder="1" applyAlignment="1">
      <alignment vertical="center"/>
    </xf>
    <xf numFmtId="174" fontId="10" fillId="2" borderId="0" xfId="4" applyNumberFormat="1" applyFont="1" applyFill="1" applyAlignment="1">
      <alignment vertical="center"/>
    </xf>
    <xf numFmtId="0" fontId="34" fillId="2" borderId="2" xfId="4" applyFont="1" applyFill="1" applyBorder="1" applyAlignment="1">
      <alignment vertical="center"/>
    </xf>
    <xf numFmtId="0" fontId="10" fillId="2" borderId="0" xfId="4" applyFont="1" applyFill="1"/>
    <xf numFmtId="0" fontId="10" fillId="2" borderId="0" xfId="4" applyFont="1" applyFill="1" applyBorder="1" applyAlignment="1">
      <alignment vertical="center"/>
    </xf>
    <xf numFmtId="174" fontId="10" fillId="2" borderId="0" xfId="4" applyNumberFormat="1" applyFont="1" applyFill="1" applyBorder="1" applyAlignment="1">
      <alignment vertical="center"/>
    </xf>
    <xf numFmtId="174" fontId="10" fillId="0" borderId="0" xfId="4" applyNumberFormat="1" applyFont="1" applyFill="1" applyBorder="1" applyAlignment="1">
      <alignment vertical="center"/>
    </xf>
    <xf numFmtId="43" fontId="9" fillId="2" borderId="1" xfId="26" applyNumberFormat="1" applyFont="1" applyFill="1" applyBorder="1" applyAlignment="1">
      <alignment horizontal="center" vertical="center" wrapText="1"/>
    </xf>
    <xf numFmtId="165" fontId="9" fillId="2" borderId="1" xfId="26" applyNumberFormat="1" applyFont="1" applyFill="1" applyBorder="1" applyAlignment="1">
      <alignment vertical="center"/>
    </xf>
    <xf numFmtId="0" fontId="10" fillId="2" borderId="1" xfId="0" applyFont="1" applyFill="1" applyBorder="1" applyAlignment="1">
      <alignment vertical="center"/>
    </xf>
    <xf numFmtId="0" fontId="10" fillId="2" borderId="1" xfId="4" quotePrefix="1" applyFont="1" applyFill="1" applyBorder="1" applyAlignment="1">
      <alignment horizontal="center" vertical="center"/>
    </xf>
    <xf numFmtId="1" fontId="10" fillId="0" borderId="0" xfId="2" applyNumberFormat="1" applyFont="1" applyFill="1" applyAlignment="1">
      <alignment horizontal="left" vertical="center" wrapText="1"/>
    </xf>
    <xf numFmtId="0" fontId="28" fillId="2" borderId="1" xfId="4" applyFont="1" applyFill="1" applyBorder="1" applyAlignment="1">
      <alignment vertical="center" wrapText="1"/>
    </xf>
    <xf numFmtId="3" fontId="28" fillId="2" borderId="1" xfId="4" applyNumberFormat="1" applyFont="1" applyFill="1" applyBorder="1" applyAlignment="1">
      <alignment horizontal="left" vertical="center" wrapText="1"/>
    </xf>
    <xf numFmtId="3" fontId="10" fillId="2" borderId="1" xfId="4" applyNumberFormat="1" applyFont="1" applyFill="1" applyBorder="1" applyAlignment="1">
      <alignment horizontal="center" vertical="center" wrapText="1"/>
    </xf>
    <xf numFmtId="167" fontId="10" fillId="2" borderId="1" xfId="1" applyNumberFormat="1" applyFont="1" applyFill="1" applyBorder="1" applyAlignment="1">
      <alignment vertical="center"/>
    </xf>
    <xf numFmtId="3" fontId="5" fillId="2" borderId="1" xfId="4" quotePrefix="1" applyNumberFormat="1" applyFont="1" applyFill="1" applyBorder="1" applyAlignment="1">
      <alignment horizontal="center" vertical="center" wrapText="1"/>
    </xf>
    <xf numFmtId="167" fontId="10" fillId="2" borderId="1" xfId="9" applyNumberFormat="1" applyFont="1" applyFill="1" applyBorder="1" applyAlignment="1">
      <alignment vertical="center"/>
    </xf>
    <xf numFmtId="167" fontId="10" fillId="2" borderId="1" xfId="0" applyNumberFormat="1" applyFont="1" applyFill="1" applyBorder="1" applyAlignment="1">
      <alignment vertical="center"/>
    </xf>
    <xf numFmtId="3" fontId="11" fillId="0" borderId="0" xfId="2" applyNumberFormat="1" applyFont="1" applyFill="1" applyBorder="1" applyAlignment="1">
      <alignment vertical="center" wrapText="1"/>
    </xf>
    <xf numFmtId="3" fontId="1" fillId="0" borderId="0" xfId="2" applyNumberFormat="1" applyFont="1" applyFill="1" applyBorder="1" applyAlignment="1">
      <alignment vertical="center" wrapText="1"/>
    </xf>
    <xf numFmtId="0" fontId="11" fillId="0" borderId="1" xfId="2" applyNumberFormat="1" applyFont="1" applyFill="1" applyBorder="1" applyAlignment="1">
      <alignment horizontal="center" vertical="center" wrapText="1"/>
    </xf>
    <xf numFmtId="3" fontId="11" fillId="0" borderId="1" xfId="2" quotePrefix="1" applyNumberFormat="1" applyFont="1" applyFill="1" applyBorder="1" applyAlignment="1">
      <alignment horizontal="center" vertical="center" wrapText="1"/>
    </xf>
    <xf numFmtId="173" fontId="11" fillId="0" borderId="1" xfId="2" quotePrefix="1" applyNumberFormat="1" applyFont="1" applyFill="1" applyBorder="1" applyAlignment="1">
      <alignment horizontal="center" vertical="center" wrapText="1"/>
    </xf>
    <xf numFmtId="3" fontId="34" fillId="0" borderId="0" xfId="2" applyNumberFormat="1" applyFont="1" applyFill="1" applyBorder="1" applyAlignment="1">
      <alignment horizontal="center" vertical="center" wrapText="1"/>
    </xf>
    <xf numFmtId="3" fontId="11" fillId="2" borderId="1" xfId="2" applyNumberFormat="1" applyFont="1" applyFill="1" applyBorder="1" applyAlignment="1">
      <alignment horizontal="center" vertical="center" wrapText="1"/>
    </xf>
    <xf numFmtId="0" fontId="11" fillId="2" borderId="1" xfId="4" applyFont="1" applyFill="1" applyBorder="1" applyAlignment="1">
      <alignment horizontal="center" vertical="center" wrapText="1"/>
    </xf>
    <xf numFmtId="49" fontId="11" fillId="2" borderId="1" xfId="2" quotePrefix="1" applyNumberFormat="1" applyFont="1" applyFill="1" applyBorder="1" applyAlignment="1">
      <alignment horizontal="center" vertical="center" wrapText="1"/>
    </xf>
    <xf numFmtId="43" fontId="11" fillId="2" borderId="1" xfId="26" applyNumberFormat="1" applyFont="1" applyFill="1" applyBorder="1" applyAlignment="1">
      <alignment horizontal="center" vertical="center" wrapText="1"/>
    </xf>
    <xf numFmtId="49" fontId="5" fillId="0" borderId="0" xfId="2" applyNumberFormat="1" applyFont="1" applyFill="1" applyBorder="1" applyAlignment="1">
      <alignment horizontal="center" vertical="center"/>
    </xf>
    <xf numFmtId="1" fontId="5" fillId="0" borderId="0" xfId="2" applyNumberFormat="1" applyFont="1" applyFill="1" applyBorder="1" applyAlignment="1">
      <alignment vertical="center" wrapText="1"/>
    </xf>
    <xf numFmtId="1" fontId="5" fillId="0" borderId="0" xfId="2" applyNumberFormat="1" applyFont="1" applyFill="1" applyBorder="1" applyAlignment="1">
      <alignment horizontal="center" vertical="center" wrapText="1"/>
    </xf>
    <xf numFmtId="1" fontId="5" fillId="0" borderId="0" xfId="2" applyNumberFormat="1" applyFont="1" applyFill="1" applyBorder="1" applyAlignment="1">
      <alignment horizontal="right" vertical="center"/>
    </xf>
    <xf numFmtId="1" fontId="5" fillId="0" borderId="0" xfId="2" applyNumberFormat="1" applyFont="1" applyFill="1" applyBorder="1" applyAlignment="1">
      <alignment horizontal="center" vertical="center"/>
    </xf>
    <xf numFmtId="49" fontId="5" fillId="0" borderId="0" xfId="2" applyNumberFormat="1" applyFont="1" applyFill="1" applyAlignment="1">
      <alignment horizontal="center" vertical="center"/>
    </xf>
    <xf numFmtId="1" fontId="5" fillId="0" borderId="0" xfId="2" applyNumberFormat="1" applyFont="1" applyFill="1" applyBorder="1" applyAlignment="1">
      <alignment vertical="center"/>
    </xf>
    <xf numFmtId="1" fontId="5" fillId="0" borderId="0" xfId="2" applyNumberFormat="1" applyFont="1" applyFill="1" applyAlignment="1">
      <alignment horizontal="center" vertical="center"/>
    </xf>
    <xf numFmtId="49" fontId="5" fillId="0" borderId="0" xfId="2" applyNumberFormat="1" applyFont="1" applyFill="1" applyAlignment="1">
      <alignment vertical="center"/>
    </xf>
    <xf numFmtId="1" fontId="5" fillId="0" borderId="0" xfId="2" applyNumberFormat="1" applyFont="1" applyFill="1" applyAlignment="1">
      <alignment vertical="center" wrapText="1"/>
    </xf>
    <xf numFmtId="1" fontId="5" fillId="0" borderId="0" xfId="2" applyNumberFormat="1" applyFont="1" applyFill="1" applyAlignment="1">
      <alignment horizontal="right" vertical="center"/>
    </xf>
    <xf numFmtId="175" fontId="10" fillId="0" borderId="1" xfId="2" applyNumberFormat="1" applyFont="1" applyFill="1" applyBorder="1" applyAlignment="1">
      <alignment horizontal="right" vertical="center" wrapText="1"/>
    </xf>
    <xf numFmtId="0" fontId="10" fillId="0" borderId="0" xfId="4" applyFont="1" applyFill="1"/>
    <xf numFmtId="3" fontId="10" fillId="0" borderId="0" xfId="4" applyNumberFormat="1" applyFont="1" applyFill="1" applyAlignment="1">
      <alignment vertical="center"/>
    </xf>
    <xf numFmtId="0" fontId="10" fillId="0" borderId="0" xfId="4" applyFont="1" applyFill="1" applyBorder="1" applyAlignment="1">
      <alignment vertical="center"/>
    </xf>
    <xf numFmtId="0" fontId="34" fillId="0" borderId="2" xfId="4" applyFont="1" applyFill="1" applyBorder="1" applyAlignment="1">
      <alignment vertical="center"/>
    </xf>
    <xf numFmtId="174" fontId="10" fillId="0" borderId="0" xfId="4" applyNumberFormat="1" applyFont="1" applyFill="1" applyAlignment="1">
      <alignment vertical="center"/>
    </xf>
    <xf numFmtId="0" fontId="11" fillId="0" borderId="1" xfId="4" applyFont="1" applyFill="1" applyBorder="1" applyAlignment="1">
      <alignment horizontal="center" vertical="center" wrapText="1"/>
    </xf>
    <xf numFmtId="3" fontId="11" fillId="0" borderId="1" xfId="2" applyNumberFormat="1" applyFont="1" applyFill="1" applyBorder="1" applyAlignment="1">
      <alignment horizontal="center" vertical="center" wrapText="1"/>
    </xf>
    <xf numFmtId="0" fontId="9" fillId="0" borderId="1" xfId="4" applyFont="1" applyFill="1" applyBorder="1" applyAlignment="1">
      <alignment horizontal="left" vertical="center" wrapText="1"/>
    </xf>
    <xf numFmtId="0" fontId="10" fillId="0" borderId="1" xfId="4" quotePrefix="1" applyFont="1" applyFill="1" applyBorder="1" applyAlignment="1">
      <alignment horizontal="center" vertical="center"/>
    </xf>
    <xf numFmtId="0" fontId="28" fillId="0" borderId="1" xfId="4" applyFont="1" applyFill="1" applyBorder="1" applyAlignment="1">
      <alignment vertical="center" wrapText="1"/>
    </xf>
    <xf numFmtId="167" fontId="10" fillId="0" borderId="1" xfId="1" applyNumberFormat="1" applyFont="1" applyFill="1" applyBorder="1" applyAlignment="1">
      <alignment vertical="center"/>
    </xf>
    <xf numFmtId="166" fontId="10" fillId="0" borderId="1" xfId="6" applyNumberFormat="1" applyFont="1" applyFill="1" applyBorder="1" applyAlignment="1">
      <alignment vertical="center"/>
    </xf>
    <xf numFmtId="166" fontId="10" fillId="0" borderId="1" xfId="6" quotePrefix="1" applyNumberFormat="1" applyFont="1" applyFill="1" applyBorder="1" applyAlignment="1">
      <alignment horizontal="center" vertical="center"/>
    </xf>
    <xf numFmtId="3" fontId="28" fillId="0" borderId="1" xfId="4" applyNumberFormat="1" applyFont="1" applyFill="1" applyBorder="1" applyAlignment="1">
      <alignment horizontal="left" vertical="center" wrapText="1"/>
    </xf>
    <xf numFmtId="3" fontId="10" fillId="0" borderId="1" xfId="4" applyNumberFormat="1" applyFont="1" applyFill="1" applyBorder="1" applyAlignment="1">
      <alignment horizontal="center" vertical="center" wrapText="1"/>
    </xf>
    <xf numFmtId="0" fontId="9" fillId="0" borderId="1" xfId="4" applyFont="1" applyFill="1" applyBorder="1" applyAlignment="1">
      <alignment horizontal="center" vertical="center"/>
    </xf>
    <xf numFmtId="0" fontId="9" fillId="0" borderId="1" xfId="4" applyFont="1" applyFill="1" applyBorder="1" applyAlignment="1">
      <alignment vertical="center"/>
    </xf>
    <xf numFmtId="3" fontId="9" fillId="0" borderId="1" xfId="4" applyNumberFormat="1" applyFont="1" applyFill="1" applyBorder="1" applyAlignment="1">
      <alignment horizontal="center" vertical="center" wrapText="1"/>
    </xf>
    <xf numFmtId="165" fontId="9" fillId="0" borderId="1" xfId="26" applyNumberFormat="1" applyFont="1" applyFill="1" applyBorder="1" applyAlignment="1">
      <alignment vertical="center"/>
    </xf>
    <xf numFmtId="167" fontId="10" fillId="0" borderId="1" xfId="0" applyNumberFormat="1" applyFont="1" applyFill="1" applyBorder="1" applyAlignment="1">
      <alignment vertical="center"/>
    </xf>
    <xf numFmtId="0" fontId="10" fillId="0" borderId="0" xfId="4" applyFont="1" applyFill="1" applyAlignment="1">
      <alignment horizontal="center" vertical="center"/>
    </xf>
    <xf numFmtId="165" fontId="9" fillId="2" borderId="1" xfId="2" applyNumberFormat="1" applyFont="1" applyFill="1" applyBorder="1" applyAlignment="1">
      <alignment horizontal="right" vertical="center" shrinkToFit="1"/>
    </xf>
    <xf numFmtId="1" fontId="9" fillId="2" borderId="0" xfId="2" applyNumberFormat="1" applyFont="1" applyFill="1" applyAlignment="1">
      <alignment vertical="center"/>
    </xf>
    <xf numFmtId="175" fontId="10" fillId="2" borderId="1" xfId="2" applyNumberFormat="1" applyFont="1" applyFill="1" applyBorder="1" applyAlignment="1">
      <alignment horizontal="right" vertical="center" wrapText="1"/>
    </xf>
    <xf numFmtId="1" fontId="10" fillId="2" borderId="1" xfId="2" applyNumberFormat="1" applyFont="1" applyFill="1" applyBorder="1" applyAlignment="1">
      <alignment vertical="center" wrapText="1"/>
    </xf>
    <xf numFmtId="165" fontId="10" fillId="2" borderId="1" xfId="2" applyNumberFormat="1" applyFont="1" applyFill="1" applyBorder="1" applyAlignment="1">
      <alignment horizontal="right" vertical="center" shrinkToFit="1"/>
    </xf>
    <xf numFmtId="1" fontId="10" fillId="2" borderId="0" xfId="2" applyNumberFormat="1" applyFont="1" applyFill="1" applyAlignment="1">
      <alignment vertical="center"/>
    </xf>
    <xf numFmtId="49" fontId="10" fillId="2" borderId="1" xfId="2" applyNumberFormat="1" applyFont="1" applyFill="1" applyBorder="1" applyAlignment="1">
      <alignment horizontal="center" vertical="center"/>
    </xf>
    <xf numFmtId="175" fontId="9" fillId="2" borderId="1" xfId="2" applyNumberFormat="1" applyFont="1" applyFill="1" applyBorder="1" applyAlignment="1">
      <alignment horizontal="right" vertical="center" wrapText="1"/>
    </xf>
    <xf numFmtId="175" fontId="10" fillId="2" borderId="1" xfId="10" applyNumberFormat="1" applyFont="1" applyFill="1" applyBorder="1" applyAlignment="1">
      <alignment horizontal="right" vertical="center" shrinkToFit="1"/>
    </xf>
    <xf numFmtId="1" fontId="9" fillId="2" borderId="1" xfId="2" applyNumberFormat="1" applyFont="1" applyFill="1" applyBorder="1" applyAlignment="1">
      <alignment horizontal="left" vertical="center" wrapText="1"/>
    </xf>
    <xf numFmtId="165" fontId="9" fillId="2" borderId="1" xfId="1" applyNumberFormat="1" applyFont="1" applyFill="1" applyBorder="1" applyAlignment="1">
      <alignment horizontal="right" vertical="center" shrinkToFit="1"/>
    </xf>
    <xf numFmtId="175" fontId="9" fillId="2" borderId="1" xfId="10" applyNumberFormat="1" applyFont="1" applyFill="1" applyBorder="1" applyAlignment="1">
      <alignment horizontal="right" vertical="center" shrinkToFit="1"/>
    </xf>
    <xf numFmtId="165" fontId="10" fillId="2" borderId="1" xfId="1" applyNumberFormat="1" applyFont="1" applyFill="1" applyBorder="1" applyAlignment="1">
      <alignment horizontal="center" vertical="center" shrinkToFit="1"/>
    </xf>
    <xf numFmtId="3" fontId="9" fillId="2" borderId="0" xfId="2" applyNumberFormat="1" applyFont="1" applyFill="1" applyBorder="1" applyAlignment="1">
      <alignment horizontal="center" vertical="center" wrapText="1"/>
    </xf>
    <xf numFmtId="1" fontId="11" fillId="2" borderId="0" xfId="2" applyNumberFormat="1" applyFont="1" applyFill="1" applyAlignment="1">
      <alignment vertical="center"/>
    </xf>
    <xf numFmtId="1" fontId="9" fillId="2" borderId="1" xfId="0" applyNumberFormat="1" applyFont="1" applyFill="1" applyBorder="1" applyAlignment="1">
      <alignment vertical="center" wrapText="1"/>
    </xf>
    <xf numFmtId="181" fontId="10" fillId="2" borderId="1" xfId="1" applyNumberFormat="1" applyFont="1" applyFill="1" applyBorder="1" applyAlignment="1">
      <alignment horizontal="right" vertical="center" shrinkToFit="1"/>
    </xf>
    <xf numFmtId="198" fontId="9" fillId="0" borderId="0" xfId="2" applyNumberFormat="1" applyFont="1" applyFill="1" applyBorder="1" applyAlignment="1">
      <alignment horizontal="center" vertical="center" wrapText="1"/>
    </xf>
    <xf numFmtId="2" fontId="5" fillId="0" borderId="0" xfId="2" applyNumberFormat="1" applyFont="1" applyFill="1" applyAlignment="1">
      <alignment vertical="center"/>
    </xf>
    <xf numFmtId="1" fontId="21" fillId="2" borderId="0" xfId="2" applyNumberFormat="1" applyFont="1" applyFill="1" applyAlignment="1">
      <alignment vertical="center"/>
    </xf>
    <xf numFmtId="10" fontId="59" fillId="2" borderId="0" xfId="2" applyNumberFormat="1" applyFont="1" applyFill="1" applyAlignment="1">
      <alignment vertical="center"/>
    </xf>
    <xf numFmtId="3" fontId="59" fillId="2" borderId="0" xfId="2" applyNumberFormat="1" applyFont="1" applyFill="1" applyBorder="1" applyAlignment="1">
      <alignment horizontal="center" vertical="center" wrapText="1"/>
    </xf>
    <xf numFmtId="1" fontId="60" fillId="2" borderId="0" xfId="2" applyNumberFormat="1" applyFont="1" applyFill="1" applyAlignment="1">
      <alignment vertical="center"/>
    </xf>
    <xf numFmtId="1" fontId="59" fillId="2" borderId="0" xfId="2" applyNumberFormat="1" applyFont="1" applyFill="1" applyAlignment="1">
      <alignment vertical="center"/>
    </xf>
    <xf numFmtId="3" fontId="11" fillId="0" borderId="0" xfId="2" applyNumberFormat="1" applyFont="1" applyFill="1" applyBorder="1" applyAlignment="1">
      <alignment horizontal="center" vertical="center" wrapText="1"/>
    </xf>
    <xf numFmtId="10" fontId="9" fillId="0" borderId="0" xfId="2" applyNumberFormat="1" applyFont="1" applyFill="1" applyBorder="1" applyAlignment="1">
      <alignment horizontal="center" vertical="center" wrapText="1"/>
    </xf>
    <xf numFmtId="3" fontId="61" fillId="0" borderId="21" xfId="0" applyNumberFormat="1" applyFont="1" applyBorder="1" applyAlignment="1">
      <alignment horizontal="right" vertical="center" wrapText="1"/>
    </xf>
    <xf numFmtId="3" fontId="61" fillId="0" borderId="22" xfId="0" applyNumberFormat="1" applyFont="1" applyBorder="1" applyAlignment="1">
      <alignment horizontal="right" vertical="center" wrapText="1"/>
    </xf>
    <xf numFmtId="3" fontId="5" fillId="0" borderId="22" xfId="0" applyNumberFormat="1" applyFont="1" applyBorder="1" applyAlignment="1">
      <alignment horizontal="right" vertical="center" wrapText="1"/>
    </xf>
    <xf numFmtId="179" fontId="60" fillId="2" borderId="0" xfId="2" applyNumberFormat="1" applyFont="1" applyFill="1" applyAlignment="1">
      <alignment vertical="center"/>
    </xf>
    <xf numFmtId="173" fontId="9" fillId="0" borderId="1" xfId="2" applyNumberFormat="1" applyFont="1" applyFill="1" applyBorder="1" applyAlignment="1">
      <alignment horizontal="right" vertical="center" wrapText="1"/>
    </xf>
    <xf numFmtId="168" fontId="9" fillId="0" borderId="1" xfId="0" applyNumberFormat="1" applyFont="1" applyFill="1" applyBorder="1" applyAlignment="1">
      <alignment horizontal="right" vertical="center" wrapText="1"/>
    </xf>
    <xf numFmtId="1" fontId="9" fillId="0" borderId="0" xfId="2" applyNumberFormat="1" applyFont="1" applyFill="1" applyAlignment="1">
      <alignment horizontal="center" vertical="center" wrapText="1"/>
    </xf>
    <xf numFmtId="1" fontId="11" fillId="0" borderId="0" xfId="2" applyNumberFormat="1" applyFont="1" applyFill="1" applyAlignment="1">
      <alignment horizontal="center" vertical="center" wrapText="1"/>
    </xf>
    <xf numFmtId="0" fontId="9" fillId="0" borderId="1" xfId="0" applyFont="1" applyFill="1" applyBorder="1" applyAlignment="1">
      <alignment horizontal="center" vertical="center" wrapText="1"/>
    </xf>
    <xf numFmtId="1" fontId="11" fillId="0" borderId="0" xfId="2" applyNumberFormat="1" applyFont="1" applyFill="1" applyBorder="1" applyAlignment="1">
      <alignment horizontal="right" vertical="center"/>
    </xf>
    <xf numFmtId="3" fontId="10" fillId="0" borderId="0" xfId="2" quotePrefix="1" applyNumberFormat="1" applyFont="1" applyFill="1" applyBorder="1" applyAlignment="1">
      <alignment horizontal="center" vertical="center" wrapText="1"/>
    </xf>
    <xf numFmtId="165" fontId="10" fillId="2" borderId="1" xfId="1" applyNumberFormat="1" applyFont="1" applyFill="1" applyBorder="1" applyAlignment="1">
      <alignment horizontal="right" vertical="center" shrinkToFit="1"/>
    </xf>
    <xf numFmtId="1" fontId="10" fillId="2" borderId="1" xfId="0" applyNumberFormat="1" applyFont="1" applyFill="1" applyBorder="1" applyAlignment="1">
      <alignment vertical="center" wrapText="1"/>
    </xf>
    <xf numFmtId="0" fontId="7" fillId="2" borderId="0" xfId="0" applyFont="1" applyFill="1" applyAlignment="1">
      <alignment vertical="center"/>
    </xf>
    <xf numFmtId="3" fontId="11" fillId="4" borderId="1" xfId="2" quotePrefix="1" applyNumberFormat="1" applyFont="1" applyFill="1" applyBorder="1" applyAlignment="1">
      <alignment horizontal="center" vertical="center" wrapText="1"/>
    </xf>
    <xf numFmtId="173" fontId="9" fillId="4" borderId="1" xfId="1" applyNumberFormat="1" applyFont="1" applyFill="1" applyBorder="1" applyAlignment="1">
      <alignment horizontal="right" vertical="center" shrinkToFit="1"/>
    </xf>
    <xf numFmtId="169" fontId="9" fillId="2" borderId="1" xfId="1" applyNumberFormat="1" applyFont="1" applyFill="1" applyBorder="1" applyAlignment="1">
      <alignment horizontal="right" vertical="center" shrinkToFit="1"/>
    </xf>
    <xf numFmtId="173" fontId="10" fillId="4" borderId="1" xfId="1" applyNumberFormat="1" applyFont="1" applyFill="1" applyBorder="1" applyAlignment="1">
      <alignment horizontal="right" vertical="center" shrinkToFit="1"/>
    </xf>
    <xf numFmtId="173" fontId="10" fillId="2" borderId="1" xfId="1" applyNumberFormat="1" applyFont="1" applyFill="1" applyBorder="1" applyAlignment="1">
      <alignment horizontal="right" vertical="center"/>
    </xf>
    <xf numFmtId="169" fontId="10" fillId="2" borderId="1" xfId="1" applyNumberFormat="1" applyFont="1" applyFill="1" applyBorder="1" applyAlignment="1">
      <alignment horizontal="center" vertical="center"/>
    </xf>
    <xf numFmtId="173" fontId="10" fillId="4" borderId="1" xfId="1" applyNumberFormat="1" applyFont="1" applyFill="1" applyBorder="1" applyAlignment="1">
      <alignment horizontal="right" vertical="center"/>
    </xf>
    <xf numFmtId="173" fontId="10" fillId="4" borderId="1" xfId="1" applyNumberFormat="1" applyFont="1" applyFill="1" applyBorder="1" applyAlignment="1">
      <alignment horizontal="right" vertical="center" wrapText="1"/>
    </xf>
    <xf numFmtId="173" fontId="9" fillId="0" borderId="0" xfId="2" applyNumberFormat="1" applyFont="1" applyFill="1" applyBorder="1" applyAlignment="1">
      <alignment vertical="center" wrapText="1"/>
    </xf>
    <xf numFmtId="1" fontId="9" fillId="0" borderId="0" xfId="2" applyNumberFormat="1" applyFont="1" applyFill="1" applyAlignment="1">
      <alignment horizontal="center" vertical="center" wrapText="1"/>
    </xf>
    <xf numFmtId="3" fontId="9" fillId="0" borderId="1" xfId="2" applyNumberFormat="1" applyFont="1" applyFill="1" applyBorder="1" applyAlignment="1">
      <alignment horizontal="center" vertical="center" wrapText="1"/>
    </xf>
    <xf numFmtId="1" fontId="5" fillId="0" borderId="0" xfId="2" applyNumberFormat="1" applyFont="1" applyFill="1" applyAlignment="1">
      <alignment horizontal="left" vertical="center" wrapText="1"/>
    </xf>
    <xf numFmtId="1" fontId="10" fillId="0" borderId="0" xfId="2" applyNumberFormat="1" applyFont="1" applyFill="1" applyAlignment="1">
      <alignment horizontal="left" vertical="center" wrapText="1"/>
    </xf>
    <xf numFmtId="1" fontId="5" fillId="0" borderId="0" xfId="2" applyNumberFormat="1" applyFont="1" applyFill="1" applyAlignment="1">
      <alignment horizontal="center" vertical="center" wrapText="1"/>
    </xf>
    <xf numFmtId="3" fontId="34" fillId="0" borderId="1" xfId="2"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4" applyFont="1" applyFill="1" applyBorder="1" applyAlignment="1">
      <alignment horizontal="center" vertical="center" wrapText="1"/>
    </xf>
    <xf numFmtId="1" fontId="10" fillId="0" borderId="0" xfId="2" applyNumberFormat="1" applyFont="1" applyFill="1" applyAlignment="1">
      <alignment horizontal="left" vertical="center" wrapText="1"/>
    </xf>
    <xf numFmtId="49" fontId="11" fillId="2" borderId="5" xfId="2" applyNumberFormat="1" applyFont="1" applyFill="1" applyBorder="1" applyAlignment="1">
      <alignment horizontal="center" vertical="center" wrapText="1"/>
    </xf>
    <xf numFmtId="49" fontId="11" fillId="4" borderId="5" xfId="2" quotePrefix="1" applyNumberFormat="1" applyFont="1" applyFill="1" applyBorder="1" applyAlignment="1">
      <alignment horizontal="center" vertical="center" wrapText="1"/>
    </xf>
    <xf numFmtId="170" fontId="10" fillId="4" borderId="1" xfId="6" applyNumberFormat="1" applyFont="1" applyFill="1" applyBorder="1" applyAlignment="1">
      <alignment vertical="center"/>
    </xf>
    <xf numFmtId="0" fontId="10" fillId="0" borderId="1" xfId="0" applyFont="1" applyFill="1" applyBorder="1" applyAlignment="1">
      <alignment horizontal="justify" vertical="center" wrapText="1"/>
    </xf>
    <xf numFmtId="174" fontId="9" fillId="0" borderId="0" xfId="4" applyNumberFormat="1" applyFont="1" applyFill="1" applyAlignment="1">
      <alignment vertical="center"/>
    </xf>
    <xf numFmtId="174" fontId="9" fillId="0" borderId="0" xfId="4" applyNumberFormat="1" applyFont="1" applyFill="1" applyBorder="1" applyAlignment="1">
      <alignment vertical="center"/>
    </xf>
    <xf numFmtId="0" fontId="9" fillId="0" borderId="1" xfId="0" applyFont="1" applyFill="1" applyBorder="1" applyAlignment="1">
      <alignment vertical="center"/>
    </xf>
    <xf numFmtId="166" fontId="10" fillId="4" borderId="1" xfId="6" applyNumberFormat="1" applyFont="1" applyFill="1" applyBorder="1" applyAlignment="1">
      <alignment vertical="center"/>
    </xf>
    <xf numFmtId="0" fontId="11" fillId="4" borderId="1" xfId="2" quotePrefix="1" applyNumberFormat="1" applyFont="1" applyFill="1" applyBorder="1" applyAlignment="1">
      <alignment horizontal="center" vertical="center" wrapText="1"/>
    </xf>
    <xf numFmtId="173" fontId="9" fillId="0" borderId="1" xfId="1" applyNumberFormat="1" applyFont="1" applyFill="1" applyBorder="1" applyAlignment="1">
      <alignment shrinkToFit="1"/>
    </xf>
    <xf numFmtId="169" fontId="10" fillId="0" borderId="1" xfId="1" applyNumberFormat="1" applyFont="1" applyFill="1" applyBorder="1" applyAlignment="1">
      <alignment horizontal="center" vertical="center" wrapText="1"/>
    </xf>
    <xf numFmtId="0" fontId="10" fillId="0" borderId="1" xfId="0" applyFont="1" applyFill="1" applyBorder="1" applyAlignment="1" applyProtection="1">
      <alignment horizontal="left" vertical="center" wrapText="1"/>
    </xf>
    <xf numFmtId="173" fontId="10" fillId="0" borderId="1" xfId="1" applyNumberFormat="1" applyFont="1" applyFill="1" applyBorder="1" applyAlignment="1">
      <alignment horizontal="right" vertical="center" wrapText="1"/>
    </xf>
    <xf numFmtId="173" fontId="9" fillId="0" borderId="1" xfId="1" applyNumberFormat="1" applyFont="1" applyFill="1" applyBorder="1" applyAlignment="1">
      <alignment vertical="center" shrinkToFit="1"/>
    </xf>
    <xf numFmtId="2" fontId="10" fillId="0" borderId="0" xfId="2" applyNumberFormat="1" applyFont="1" applyFill="1" applyAlignment="1">
      <alignment vertical="center"/>
    </xf>
    <xf numFmtId="0" fontId="34" fillId="0" borderId="1" xfId="0" applyFont="1" applyFill="1" applyBorder="1" applyAlignment="1">
      <alignment horizontal="center" vertical="center" wrapText="1"/>
    </xf>
    <xf numFmtId="1" fontId="34" fillId="0" borderId="1" xfId="2" applyNumberFormat="1" applyFont="1" applyFill="1" applyBorder="1" applyAlignment="1">
      <alignment horizontal="left" vertical="center" wrapText="1"/>
    </xf>
    <xf numFmtId="173" fontId="34" fillId="0" borderId="1" xfId="1" applyNumberFormat="1" applyFont="1" applyFill="1" applyBorder="1" applyAlignment="1">
      <alignment horizontal="right" vertical="center" shrinkToFit="1"/>
    </xf>
    <xf numFmtId="173" fontId="34" fillId="4" borderId="1" xfId="1" applyNumberFormat="1" applyFont="1" applyFill="1" applyBorder="1" applyAlignment="1">
      <alignment horizontal="right" vertical="center" shrinkToFit="1"/>
    </xf>
    <xf numFmtId="173" fontId="34" fillId="0" borderId="1" xfId="1" applyNumberFormat="1" applyFont="1" applyFill="1" applyBorder="1" applyAlignment="1">
      <alignment vertical="center" shrinkToFit="1"/>
    </xf>
    <xf numFmtId="1" fontId="11" fillId="0" borderId="0" xfId="2" applyNumberFormat="1" applyFont="1" applyFill="1" applyAlignment="1">
      <alignment vertical="center"/>
    </xf>
    <xf numFmtId="1" fontId="10" fillId="0" borderId="1" xfId="2" applyNumberFormat="1" applyFont="1" applyFill="1" applyBorder="1" applyAlignment="1">
      <alignment horizontal="left" vertical="center" wrapText="1"/>
    </xf>
    <xf numFmtId="173" fontId="10" fillId="0" borderId="1" xfId="1" applyNumberFormat="1" applyFont="1" applyFill="1" applyBorder="1" applyAlignment="1">
      <alignment vertical="center" shrinkToFit="1"/>
    </xf>
    <xf numFmtId="170" fontId="10" fillId="0" borderId="1" xfId="1" applyNumberFormat="1" applyFont="1" applyFill="1" applyBorder="1" applyAlignment="1">
      <alignment horizontal="right" vertical="center" shrinkToFit="1"/>
    </xf>
    <xf numFmtId="173" fontId="10" fillId="0" borderId="1" xfId="2" applyNumberFormat="1" applyFont="1" applyFill="1" applyBorder="1" applyAlignment="1">
      <alignment horizontal="right" vertical="center" wrapText="1"/>
    </xf>
    <xf numFmtId="1" fontId="10" fillId="0" borderId="0" xfId="2" applyNumberFormat="1" applyFont="1" applyFill="1" applyAlignment="1">
      <alignment horizontal="center" vertical="center" wrapText="1"/>
    </xf>
    <xf numFmtId="3" fontId="34" fillId="0" borderId="1" xfId="2" quotePrefix="1" applyNumberFormat="1" applyFont="1" applyFill="1" applyBorder="1" applyAlignment="1">
      <alignment horizontal="center" vertical="center" wrapText="1"/>
    </xf>
    <xf numFmtId="1" fontId="34" fillId="0" borderId="0" xfId="2" applyNumberFormat="1" applyFont="1" applyFill="1" applyAlignment="1">
      <alignment vertical="center"/>
    </xf>
    <xf numFmtId="173" fontId="10" fillId="0" borderId="1" xfId="1" applyNumberFormat="1" applyFont="1" applyFill="1" applyBorder="1" applyAlignment="1">
      <alignment horizontal="center" vertical="center" wrapText="1"/>
    </xf>
    <xf numFmtId="166" fontId="34" fillId="0" borderId="1" xfId="6" applyNumberFormat="1" applyFont="1" applyFill="1" applyBorder="1" applyAlignment="1">
      <alignment vertical="center"/>
    </xf>
    <xf numFmtId="166" fontId="11" fillId="0" borderId="1" xfId="6" applyNumberFormat="1" applyFont="1" applyFill="1" applyBorder="1" applyAlignment="1">
      <alignment horizontal="right" vertical="center"/>
    </xf>
    <xf numFmtId="173" fontId="10" fillId="0" borderId="1" xfId="1" applyNumberFormat="1" applyFont="1" applyFill="1" applyBorder="1" applyAlignment="1">
      <alignment horizontal="center" vertical="center" wrapText="1" shrinkToFi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173" fontId="9" fillId="0" borderId="1" xfId="1" applyNumberFormat="1" applyFont="1" applyFill="1" applyBorder="1" applyAlignment="1">
      <alignment horizontal="right" vertical="center" wrapText="1"/>
    </xf>
    <xf numFmtId="173" fontId="9" fillId="4" borderId="1" xfId="1" applyNumberFormat="1" applyFont="1" applyFill="1" applyBorder="1" applyAlignment="1">
      <alignment horizontal="right" vertical="center" wrapText="1"/>
    </xf>
    <xf numFmtId="169" fontId="9" fillId="0" borderId="1" xfId="1" applyNumberFormat="1" applyFont="1" applyFill="1" applyBorder="1" applyAlignment="1">
      <alignment horizontal="center" vertical="center"/>
    </xf>
    <xf numFmtId="173" fontId="10" fillId="0" borderId="1" xfId="1" applyNumberFormat="1" applyFont="1" applyFill="1" applyBorder="1" applyAlignment="1">
      <alignment horizontal="right" vertical="center"/>
    </xf>
    <xf numFmtId="16" fontId="11" fillId="0" borderId="1" xfId="2" quotePrefix="1" applyNumberFormat="1" applyFont="1" applyFill="1" applyBorder="1" applyAlignment="1">
      <alignment horizontal="center" vertical="center" wrapText="1"/>
    </xf>
    <xf numFmtId="169" fontId="9" fillId="0" borderId="1" xfId="1" applyNumberFormat="1" applyFont="1" applyFill="1" applyBorder="1" applyAlignment="1">
      <alignment horizontal="right" vertical="center" shrinkToFit="1"/>
    </xf>
    <xf numFmtId="169" fontId="10" fillId="0" borderId="1" xfId="1" applyNumberFormat="1" applyFont="1" applyFill="1" applyBorder="1" applyAlignment="1">
      <alignment horizontal="center" vertical="center"/>
    </xf>
    <xf numFmtId="3" fontId="19" fillId="0" borderId="1" xfId="20" applyNumberFormat="1" applyFont="1" applyFill="1" applyBorder="1" applyAlignment="1">
      <alignment horizontal="right" vertical="center" wrapText="1"/>
    </xf>
    <xf numFmtId="4" fontId="9" fillId="0" borderId="1" xfId="1" applyNumberFormat="1" applyFont="1" applyFill="1" applyBorder="1" applyAlignment="1">
      <alignment horizontal="right" vertical="center" shrinkToFit="1"/>
    </xf>
    <xf numFmtId="169" fontId="10" fillId="0" borderId="1" xfId="1" applyNumberFormat="1" applyFont="1" applyFill="1" applyBorder="1" applyAlignment="1" applyProtection="1">
      <alignment horizontal="center" vertical="center" wrapText="1"/>
    </xf>
    <xf numFmtId="3" fontId="9" fillId="2" borderId="0" xfId="0" applyNumberFormat="1" applyFont="1" applyFill="1" applyAlignment="1">
      <alignment vertical="center"/>
    </xf>
    <xf numFmtId="0" fontId="10" fillId="2" borderId="0" xfId="0" applyFont="1" applyFill="1" applyAlignment="1">
      <alignment horizontal="center" vertical="center"/>
    </xf>
    <xf numFmtId="168" fontId="10" fillId="2" borderId="0" xfId="0" applyNumberFormat="1" applyFont="1" applyFill="1" applyAlignment="1">
      <alignment vertical="center"/>
    </xf>
    <xf numFmtId="168" fontId="10" fillId="2" borderId="0" xfId="0" applyNumberFormat="1" applyFont="1" applyFill="1" applyAlignment="1">
      <alignment horizontal="right" vertical="center"/>
    </xf>
    <xf numFmtId="0" fontId="11" fillId="2" borderId="0" xfId="0" applyFont="1" applyFill="1" applyAlignment="1">
      <alignment vertical="center"/>
    </xf>
    <xf numFmtId="168" fontId="9" fillId="2" borderId="0" xfId="0" applyNumberFormat="1" applyFont="1" applyFill="1" applyAlignment="1">
      <alignment vertical="center"/>
    </xf>
    <xf numFmtId="173" fontId="10" fillId="2" borderId="0" xfId="0" applyNumberFormat="1" applyFont="1" applyFill="1" applyAlignment="1">
      <alignment vertical="center"/>
    </xf>
    <xf numFmtId="0" fontId="10" fillId="2" borderId="1" xfId="5" applyFont="1" applyFill="1" applyBorder="1" applyAlignment="1">
      <alignment horizontal="center" vertical="center"/>
    </xf>
    <xf numFmtId="169" fontId="10" fillId="2" borderId="1" xfId="1" applyNumberFormat="1" applyFont="1" applyFill="1" applyBorder="1" applyAlignment="1">
      <alignment vertical="center"/>
    </xf>
    <xf numFmtId="3" fontId="10" fillId="2" borderId="1" xfId="0" applyNumberFormat="1" applyFont="1" applyFill="1" applyBorder="1" applyAlignment="1">
      <alignment horizontal="left" vertical="center" wrapText="1"/>
    </xf>
    <xf numFmtId="0" fontId="10" fillId="2" borderId="1" xfId="0" applyFont="1" applyFill="1" applyBorder="1" applyAlignment="1">
      <alignment horizontal="left" vertical="center" wrapText="1"/>
    </xf>
    <xf numFmtId="0" fontId="9" fillId="2" borderId="1" xfId="7" applyFont="1" applyFill="1" applyBorder="1" applyAlignment="1">
      <alignment horizontal="right" vertical="center" wrapText="1"/>
    </xf>
    <xf numFmtId="0" fontId="9" fillId="2" borderId="1" xfId="0" applyFont="1" applyFill="1" applyBorder="1" applyAlignment="1">
      <alignment horizontal="left" vertical="center"/>
    </xf>
    <xf numFmtId="0" fontId="9" fillId="2" borderId="1" xfId="4" applyFont="1" applyFill="1" applyBorder="1" applyAlignment="1">
      <alignment horizontal="right" vertical="center" wrapText="1"/>
    </xf>
    <xf numFmtId="168" fontId="9" fillId="2" borderId="0" xfId="0" applyNumberFormat="1" applyFont="1" applyFill="1" applyAlignment="1">
      <alignment horizontal="right" vertical="center"/>
    </xf>
    <xf numFmtId="173" fontId="9" fillId="2" borderId="0" xfId="0" applyNumberFormat="1" applyFont="1" applyFill="1" applyAlignment="1">
      <alignment horizontal="right" vertical="center"/>
    </xf>
    <xf numFmtId="0" fontId="9" fillId="2" borderId="0" xfId="0" applyFont="1" applyFill="1" applyAlignment="1">
      <alignment horizontal="right" vertical="center"/>
    </xf>
    <xf numFmtId="169" fontId="10" fillId="2" borderId="1" xfId="1" applyNumberFormat="1" applyFont="1" applyFill="1" applyBorder="1" applyAlignment="1">
      <alignment vertical="center" wrapText="1"/>
    </xf>
    <xf numFmtId="3" fontId="9" fillId="2" borderId="1" xfId="0" applyNumberFormat="1" applyFont="1" applyFill="1" applyBorder="1" applyAlignment="1">
      <alignment horizontal="center" vertical="center" wrapText="1"/>
    </xf>
    <xf numFmtId="169" fontId="9" fillId="2" borderId="1" xfId="1" applyNumberFormat="1" applyFont="1" applyFill="1" applyBorder="1" applyAlignment="1">
      <alignment horizontal="center" vertical="center" wrapText="1"/>
    </xf>
    <xf numFmtId="169" fontId="10" fillId="2" borderId="1" xfId="1" applyNumberFormat="1" applyFont="1" applyFill="1" applyBorder="1" applyAlignment="1">
      <alignment horizontal="right" vertical="center"/>
    </xf>
    <xf numFmtId="169" fontId="10" fillId="2" borderId="1" xfId="1" applyNumberFormat="1" applyFont="1" applyFill="1" applyBorder="1" applyAlignment="1">
      <alignment horizontal="center" vertical="center" wrapText="1"/>
    </xf>
    <xf numFmtId="166" fontId="9" fillId="2" borderId="1" xfId="1" applyNumberFormat="1" applyFont="1" applyFill="1" applyBorder="1" applyAlignment="1">
      <alignment horizontal="right" vertical="center" shrinkToFit="1"/>
    </xf>
    <xf numFmtId="3" fontId="9" fillId="2" borderId="1" xfId="1" applyNumberFormat="1" applyFont="1" applyFill="1" applyBorder="1" applyAlignment="1">
      <alignment horizontal="right" vertical="center" shrinkToFit="1"/>
    </xf>
    <xf numFmtId="169" fontId="9" fillId="2" borderId="1" xfId="1" applyNumberFormat="1" applyFont="1" applyFill="1" applyBorder="1" applyAlignment="1">
      <alignment horizontal="right" vertical="center"/>
    </xf>
    <xf numFmtId="166" fontId="10" fillId="2" borderId="1" xfId="1" applyNumberFormat="1" applyFont="1" applyFill="1" applyBorder="1" applyAlignment="1">
      <alignment horizontal="right" vertical="center" shrinkToFit="1"/>
    </xf>
    <xf numFmtId="3" fontId="10" fillId="2" borderId="1" xfId="4" applyNumberFormat="1" applyFont="1" applyFill="1" applyBorder="1" applyAlignment="1">
      <alignment vertical="center" shrinkToFit="1"/>
    </xf>
    <xf numFmtId="0" fontId="10" fillId="2" borderId="11" xfId="0" applyFont="1" applyFill="1" applyBorder="1" applyAlignment="1">
      <alignment vertical="center"/>
    </xf>
    <xf numFmtId="0" fontId="10" fillId="2" borderId="11" xfId="0" applyFont="1" applyFill="1" applyBorder="1" applyAlignment="1">
      <alignment horizontal="right" vertical="center"/>
    </xf>
    <xf numFmtId="3" fontId="10" fillId="2" borderId="11" xfId="0" applyNumberFormat="1" applyFont="1" applyFill="1" applyBorder="1" applyAlignment="1">
      <alignment vertical="center"/>
    </xf>
    <xf numFmtId="0" fontId="10" fillId="2" borderId="11" xfId="0" applyFont="1" applyFill="1" applyBorder="1" applyAlignment="1">
      <alignment vertical="center" wrapText="1"/>
    </xf>
    <xf numFmtId="0" fontId="10" fillId="2" borderId="0" xfId="0" applyFont="1" applyFill="1" applyAlignment="1">
      <alignment horizontal="right" vertical="center"/>
    </xf>
    <xf numFmtId="3" fontId="10" fillId="2" borderId="0" xfId="0" applyNumberFormat="1" applyFont="1" applyFill="1" applyAlignment="1">
      <alignment vertical="center"/>
    </xf>
    <xf numFmtId="0" fontId="10" fillId="2" borderId="0" xfId="0" applyFont="1" applyFill="1" applyAlignment="1">
      <alignment vertical="center" wrapText="1"/>
    </xf>
    <xf numFmtId="174" fontId="10" fillId="2" borderId="0" xfId="0" applyNumberFormat="1" applyFont="1" applyFill="1" applyAlignment="1">
      <alignment vertical="center" wrapText="1"/>
    </xf>
    <xf numFmtId="0" fontId="7" fillId="0" borderId="0" xfId="4" applyFont="1" applyFill="1" applyAlignment="1">
      <alignment vertical="center"/>
    </xf>
    <xf numFmtId="168" fontId="10" fillId="0" borderId="0" xfId="4" applyNumberFormat="1" applyFont="1" applyFill="1" applyAlignment="1">
      <alignment vertical="center"/>
    </xf>
    <xf numFmtId="168" fontId="10" fillId="0" borderId="0" xfId="4" applyNumberFormat="1" applyFont="1" applyFill="1" applyAlignment="1">
      <alignment horizontal="right" vertical="center"/>
    </xf>
    <xf numFmtId="0" fontId="9" fillId="0" borderId="0" xfId="4" applyFont="1" applyFill="1" applyBorder="1" applyAlignment="1">
      <alignment vertical="center"/>
    </xf>
    <xf numFmtId="49" fontId="11" fillId="0" borderId="5" xfId="2" applyNumberFormat="1" applyFont="1" applyFill="1" applyBorder="1" applyAlignment="1">
      <alignment horizontal="center" vertical="center" wrapText="1"/>
    </xf>
    <xf numFmtId="49" fontId="11" fillId="0" borderId="5" xfId="2" quotePrefix="1" applyNumberFormat="1" applyFont="1" applyFill="1" applyBorder="1" applyAlignment="1">
      <alignment horizontal="center" vertical="center" wrapText="1"/>
    </xf>
    <xf numFmtId="3" fontId="11" fillId="0" borderId="5" xfId="2" applyNumberFormat="1" applyFont="1" applyFill="1" applyBorder="1" applyAlignment="1">
      <alignment horizontal="center" vertical="center" wrapText="1"/>
    </xf>
    <xf numFmtId="173" fontId="10" fillId="0" borderId="0" xfId="4" applyNumberFormat="1" applyFont="1" applyFill="1" applyBorder="1" applyAlignment="1">
      <alignment vertical="center"/>
    </xf>
    <xf numFmtId="173" fontId="9" fillId="0" borderId="1" xfId="6" applyNumberFormat="1" applyFont="1" applyFill="1" applyBorder="1" applyAlignment="1">
      <alignment horizontal="right" vertical="center" shrinkToFit="1"/>
    </xf>
    <xf numFmtId="3" fontId="9" fillId="0" borderId="1" xfId="6" applyNumberFormat="1" applyFont="1" applyFill="1" applyBorder="1" applyAlignment="1">
      <alignment horizontal="right" vertical="center" shrinkToFit="1"/>
    </xf>
    <xf numFmtId="172" fontId="9" fillId="0" borderId="1" xfId="6" applyNumberFormat="1" applyFont="1" applyFill="1" applyBorder="1" applyAlignment="1">
      <alignment horizontal="right" vertical="center" shrinkToFit="1"/>
    </xf>
    <xf numFmtId="165" fontId="10" fillId="0" borderId="1" xfId="4" applyNumberFormat="1" applyFont="1" applyFill="1" applyBorder="1" applyAlignment="1">
      <alignment vertical="center" wrapText="1"/>
    </xf>
    <xf numFmtId="165" fontId="9" fillId="0" borderId="1" xfId="4" applyNumberFormat="1" applyFont="1" applyFill="1" applyBorder="1" applyAlignment="1">
      <alignment vertical="center" wrapText="1"/>
    </xf>
    <xf numFmtId="0" fontId="10" fillId="0" borderId="1" xfId="5" quotePrefix="1" applyFont="1" applyFill="1" applyBorder="1" applyAlignment="1">
      <alignment horizontal="center" vertical="center"/>
    </xf>
    <xf numFmtId="173" fontId="10" fillId="0" borderId="1" xfId="6" applyNumberFormat="1" applyFont="1" applyFill="1" applyBorder="1" applyAlignment="1">
      <alignment horizontal="right" vertical="center" shrinkToFit="1"/>
    </xf>
    <xf numFmtId="173" fontId="10" fillId="0" borderId="1" xfId="6" applyNumberFormat="1" applyFont="1" applyFill="1" applyBorder="1" applyAlignment="1">
      <alignment vertical="center"/>
    </xf>
    <xf numFmtId="0" fontId="10" fillId="0" borderId="0" xfId="4" applyFont="1" applyFill="1" applyBorder="1" applyAlignment="1">
      <alignment horizontal="center" vertical="center"/>
    </xf>
    <xf numFmtId="170" fontId="10" fillId="0" borderId="1" xfId="6" applyNumberFormat="1" applyFont="1" applyFill="1" applyBorder="1" applyAlignment="1">
      <alignment vertical="center"/>
    </xf>
    <xf numFmtId="4" fontId="10" fillId="0" borderId="1" xfId="6" applyNumberFormat="1" applyFont="1" applyFill="1" applyBorder="1" applyAlignment="1">
      <alignment vertical="center"/>
    </xf>
    <xf numFmtId="167" fontId="10" fillId="0" borderId="1" xfId="6" applyNumberFormat="1" applyFont="1" applyFill="1" applyBorder="1" applyAlignment="1">
      <alignment vertical="center"/>
    </xf>
    <xf numFmtId="0" fontId="9" fillId="0" borderId="1" xfId="5" applyFont="1" applyFill="1" applyBorder="1" applyAlignment="1">
      <alignment horizontal="center" vertical="center"/>
    </xf>
    <xf numFmtId="3" fontId="9" fillId="0" borderId="1" xfId="4" applyNumberFormat="1" applyFont="1" applyFill="1" applyBorder="1" applyAlignment="1">
      <alignment horizontal="left" vertical="center" wrapText="1"/>
    </xf>
    <xf numFmtId="0" fontId="9" fillId="0" borderId="1" xfId="7" applyFont="1" applyFill="1" applyBorder="1" applyAlignment="1">
      <alignment horizontal="center" vertical="center" wrapText="1"/>
    </xf>
    <xf numFmtId="0" fontId="10" fillId="0" borderId="1" xfId="7" quotePrefix="1" applyFont="1" applyFill="1" applyBorder="1" applyAlignment="1">
      <alignment horizontal="center" vertical="center" wrapText="1"/>
    </xf>
    <xf numFmtId="0" fontId="10" fillId="0" borderId="1" xfId="4" applyFont="1" applyFill="1" applyBorder="1" applyAlignment="1">
      <alignment horizontal="left" vertical="center" wrapText="1"/>
    </xf>
    <xf numFmtId="3" fontId="10" fillId="0" borderId="1" xfId="4" applyNumberFormat="1" applyFont="1" applyFill="1" applyBorder="1" applyAlignment="1">
      <alignment horizontal="left" vertical="center" wrapText="1"/>
    </xf>
    <xf numFmtId="0" fontId="10" fillId="0" borderId="1" xfId="4" applyFont="1" applyFill="1" applyBorder="1" applyAlignment="1">
      <alignment horizontal="center" vertical="center"/>
    </xf>
    <xf numFmtId="173" fontId="9" fillId="0" borderId="1" xfId="4" applyNumberFormat="1" applyFont="1" applyFill="1" applyBorder="1" applyAlignment="1">
      <alignment horizontal="right" vertical="center" wrapText="1"/>
    </xf>
    <xf numFmtId="165" fontId="9" fillId="0" borderId="1" xfId="4" applyNumberFormat="1" applyFont="1" applyFill="1" applyBorder="1" applyAlignment="1">
      <alignment horizontal="center" vertical="center" wrapText="1"/>
    </xf>
    <xf numFmtId="173" fontId="9" fillId="0" borderId="1" xfId="6" applyNumberFormat="1" applyFont="1" applyFill="1" applyBorder="1" applyAlignment="1">
      <alignment vertical="center"/>
    </xf>
    <xf numFmtId="0" fontId="10" fillId="0" borderId="1" xfId="4" applyFont="1" applyFill="1" applyBorder="1" applyAlignment="1">
      <alignment vertical="center" wrapText="1"/>
    </xf>
    <xf numFmtId="0" fontId="9" fillId="0" borderId="1" xfId="4" applyFont="1" applyFill="1" applyBorder="1" applyAlignment="1">
      <alignment vertical="center" wrapText="1"/>
    </xf>
    <xf numFmtId="0" fontId="10" fillId="0" borderId="1" xfId="8" quotePrefix="1" applyFont="1" applyFill="1" applyBorder="1" applyAlignment="1">
      <alignment horizontal="center" vertical="center" wrapText="1"/>
    </xf>
    <xf numFmtId="173" fontId="10" fillId="0" borderId="1" xfId="22" applyNumberFormat="1" applyFont="1" applyFill="1" applyBorder="1" applyAlignment="1">
      <alignment horizontal="right" vertical="center" shrinkToFit="1"/>
    </xf>
    <xf numFmtId="168" fontId="10" fillId="0" borderId="1" xfId="4" applyNumberFormat="1" applyFont="1" applyFill="1" applyBorder="1" applyAlignment="1">
      <alignment horizontal="center" vertical="center" wrapText="1"/>
    </xf>
    <xf numFmtId="0" fontId="10" fillId="0" borderId="0" xfId="4" applyFont="1" applyFill="1" applyAlignment="1">
      <alignment horizontal="right" vertical="center"/>
    </xf>
    <xf numFmtId="0" fontId="10" fillId="0" borderId="0" xfId="4" applyFont="1" applyFill="1" applyAlignment="1">
      <alignment vertical="center" wrapText="1"/>
    </xf>
    <xf numFmtId="49" fontId="11" fillId="4" borderId="1" xfId="2" quotePrefix="1" applyNumberFormat="1" applyFont="1" applyFill="1" applyBorder="1" applyAlignment="1">
      <alignment horizontal="center" vertical="center" wrapText="1"/>
    </xf>
    <xf numFmtId="166" fontId="9" fillId="4" borderId="1" xfId="6" applyNumberFormat="1" applyFont="1" applyFill="1" applyBorder="1" applyAlignment="1">
      <alignment vertical="center"/>
    </xf>
    <xf numFmtId="170" fontId="9" fillId="4" borderId="1" xfId="6" applyNumberFormat="1" applyFont="1" applyFill="1" applyBorder="1" applyAlignment="1">
      <alignment vertical="center"/>
    </xf>
    <xf numFmtId="3" fontId="10" fillId="0" borderId="1" xfId="4" quotePrefix="1" applyNumberFormat="1" applyFont="1" applyFill="1" applyBorder="1" applyAlignment="1">
      <alignment horizontal="center" vertical="center" wrapText="1"/>
    </xf>
    <xf numFmtId="197" fontId="28" fillId="0" borderId="20" xfId="0" applyNumberFormat="1" applyFont="1" applyFill="1" applyBorder="1" applyAlignment="1">
      <alignment horizontal="center" vertical="center" wrapText="1"/>
    </xf>
    <xf numFmtId="1" fontId="10" fillId="0" borderId="1" xfId="10" applyNumberFormat="1" applyFont="1" applyFill="1" applyBorder="1" applyAlignment="1">
      <alignment horizontal="right" vertical="center" shrinkToFit="1"/>
    </xf>
    <xf numFmtId="3" fontId="9" fillId="0" borderId="1" xfId="10" applyNumberFormat="1" applyFont="1" applyFill="1" applyBorder="1" applyAlignment="1">
      <alignment horizontal="right" vertical="center" shrinkToFit="1"/>
    </xf>
    <xf numFmtId="3" fontId="10" fillId="0" borderId="1" xfId="10" applyNumberFormat="1" applyFont="1" applyFill="1" applyBorder="1" applyAlignment="1">
      <alignment horizontal="right" vertical="center" shrinkToFit="1"/>
    </xf>
    <xf numFmtId="166" fontId="10" fillId="0" borderId="1" xfId="6" applyNumberFormat="1" applyFont="1" applyFill="1" applyBorder="1" applyAlignment="1">
      <alignment horizontal="right" vertical="center"/>
    </xf>
    <xf numFmtId="166" fontId="9" fillId="0" borderId="1" xfId="1" applyNumberFormat="1" applyFont="1" applyFill="1" applyBorder="1" applyAlignment="1">
      <alignment horizontal="right" vertical="center" shrinkToFit="1"/>
    </xf>
    <xf numFmtId="166" fontId="10" fillId="0" borderId="1" xfId="1" applyNumberFormat="1" applyFont="1" applyFill="1" applyBorder="1" applyAlignment="1">
      <alignment horizontal="right" vertical="center" shrinkToFit="1"/>
    </xf>
    <xf numFmtId="0" fontId="10" fillId="0" borderId="11" xfId="0" applyFont="1" applyFill="1" applyBorder="1" applyAlignment="1">
      <alignment horizontal="right" vertical="center"/>
    </xf>
    <xf numFmtId="49" fontId="11" fillId="0" borderId="1" xfId="2" quotePrefix="1" applyNumberFormat="1"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11" xfId="0" applyFont="1" applyFill="1" applyBorder="1" applyAlignment="1" applyProtection="1">
      <alignment horizontal="left" vertical="center" wrapText="1"/>
    </xf>
    <xf numFmtId="0" fontId="10" fillId="0" borderId="11" xfId="0" applyFont="1" applyFill="1" applyBorder="1" applyAlignment="1">
      <alignment horizontal="center" vertical="center" wrapText="1"/>
    </xf>
    <xf numFmtId="173" fontId="10" fillId="0" borderId="11" xfId="1" applyNumberFormat="1" applyFont="1" applyFill="1" applyBorder="1" applyAlignment="1">
      <alignment horizontal="right" vertical="center" wrapText="1"/>
    </xf>
    <xf numFmtId="173" fontId="10" fillId="0" borderId="11" xfId="1" applyNumberFormat="1" applyFont="1" applyFill="1" applyBorder="1" applyAlignment="1">
      <alignment horizontal="right" vertical="center" shrinkToFit="1"/>
    </xf>
    <xf numFmtId="173" fontId="10" fillId="0" borderId="11" xfId="1" applyNumberFormat="1" applyFont="1" applyFill="1" applyBorder="1" applyAlignment="1">
      <alignment horizontal="right" vertical="center"/>
    </xf>
    <xf numFmtId="169" fontId="10" fillId="0" borderId="11" xfId="1" applyNumberFormat="1" applyFont="1" applyFill="1" applyBorder="1" applyAlignment="1" applyProtection="1">
      <alignment horizontal="center" vertical="center" wrapText="1"/>
    </xf>
    <xf numFmtId="49" fontId="11" fillId="2" borderId="11" xfId="2" applyNumberFormat="1" applyFont="1" applyFill="1" applyBorder="1" applyAlignment="1">
      <alignment horizontal="center" vertical="center"/>
    </xf>
    <xf numFmtId="1" fontId="11" fillId="2" borderId="11" xfId="2" applyNumberFormat="1" applyFont="1" applyFill="1" applyBorder="1" applyAlignment="1">
      <alignment vertical="center" wrapText="1"/>
    </xf>
    <xf numFmtId="165" fontId="11" fillId="2" borderId="11" xfId="2" applyNumberFormat="1" applyFont="1" applyFill="1" applyBorder="1" applyAlignment="1">
      <alignment horizontal="right" vertical="center" shrinkToFit="1"/>
    </xf>
    <xf numFmtId="175" fontId="11" fillId="2" borderId="11" xfId="10" applyNumberFormat="1" applyFont="1" applyFill="1" applyBorder="1" applyAlignment="1">
      <alignment horizontal="right" vertical="center" shrinkToFit="1"/>
    </xf>
    <xf numFmtId="175" fontId="11" fillId="2" borderId="11" xfId="2" applyNumberFormat="1" applyFont="1" applyFill="1" applyBorder="1" applyAlignment="1">
      <alignment horizontal="right" vertical="center" wrapText="1"/>
    </xf>
    <xf numFmtId="49" fontId="10" fillId="0" borderId="11" xfId="2" applyNumberFormat="1" applyFont="1" applyFill="1" applyBorder="1" applyAlignment="1">
      <alignment horizontal="center" vertical="center"/>
    </xf>
    <xf numFmtId="1" fontId="10" fillId="0" borderId="11" xfId="2" applyNumberFormat="1" applyFont="1" applyFill="1" applyBorder="1" applyAlignment="1">
      <alignment vertical="center" wrapText="1"/>
    </xf>
    <xf numFmtId="1" fontId="10" fillId="4" borderId="11" xfId="2" applyNumberFormat="1" applyFont="1" applyFill="1" applyBorder="1" applyAlignment="1">
      <alignment horizontal="right" vertical="center"/>
    </xf>
    <xf numFmtId="1" fontId="10" fillId="0" borderId="11" xfId="2" applyNumberFormat="1" applyFont="1" applyFill="1" applyBorder="1" applyAlignment="1">
      <alignment horizontal="right" vertical="center"/>
    </xf>
    <xf numFmtId="173" fontId="10" fillId="2" borderId="11" xfId="1" applyNumberFormat="1" applyFont="1" applyFill="1" applyBorder="1" applyAlignment="1">
      <alignment horizontal="right" vertical="center"/>
    </xf>
    <xf numFmtId="1" fontId="10" fillId="0" borderId="11" xfId="2" applyNumberFormat="1" applyFont="1" applyFill="1" applyBorder="1" applyAlignment="1">
      <alignment horizontal="center" vertical="center"/>
    </xf>
    <xf numFmtId="3" fontId="10" fillId="0" borderId="11" xfId="2" quotePrefix="1" applyNumberFormat="1" applyFont="1" applyFill="1" applyBorder="1" applyAlignment="1">
      <alignment horizontal="center" vertical="center" wrapText="1"/>
    </xf>
    <xf numFmtId="173" fontId="10" fillId="4" borderId="11" xfId="1" applyNumberFormat="1" applyFont="1" applyFill="1" applyBorder="1" applyAlignment="1">
      <alignment horizontal="right" vertical="center" wrapText="1"/>
    </xf>
    <xf numFmtId="173" fontId="10" fillId="4" borderId="11" xfId="1" applyNumberFormat="1" applyFont="1" applyFill="1" applyBorder="1" applyAlignment="1">
      <alignment horizontal="right" vertical="center"/>
    </xf>
    <xf numFmtId="0" fontId="10" fillId="0" borderId="11" xfId="7" applyFont="1" applyFill="1" applyBorder="1" applyAlignment="1">
      <alignment horizontal="center" vertical="center" wrapText="1"/>
    </xf>
    <xf numFmtId="0" fontId="10" fillId="0" borderId="11" xfId="4" applyFont="1" applyFill="1" applyBorder="1" applyAlignment="1">
      <alignment horizontal="left" vertical="center" wrapText="1"/>
    </xf>
    <xf numFmtId="0" fontId="10" fillId="0" borderId="11" xfId="4" applyFont="1" applyFill="1" applyBorder="1" applyAlignment="1">
      <alignment horizontal="center" vertical="center" wrapText="1"/>
    </xf>
    <xf numFmtId="166" fontId="10" fillId="0" borderId="11" xfId="6" applyNumberFormat="1" applyFont="1" applyFill="1" applyBorder="1" applyAlignment="1">
      <alignment vertical="center"/>
    </xf>
    <xf numFmtId="3" fontId="10" fillId="0" borderId="11" xfId="4" applyNumberFormat="1" applyFont="1" applyFill="1" applyBorder="1" applyAlignment="1">
      <alignment horizontal="center" vertical="center" wrapText="1"/>
    </xf>
    <xf numFmtId="3" fontId="10" fillId="0" borderId="11" xfId="4" applyNumberFormat="1" applyFont="1" applyFill="1" applyBorder="1" applyAlignment="1">
      <alignment horizontal="left" vertical="center" wrapText="1"/>
    </xf>
    <xf numFmtId="173" fontId="10" fillId="0" borderId="11" xfId="2" applyNumberFormat="1" applyFont="1" applyFill="1" applyBorder="1" applyAlignment="1">
      <alignment vertical="center" wrapText="1"/>
    </xf>
    <xf numFmtId="165" fontId="10" fillId="0" borderId="11" xfId="2" applyNumberFormat="1" applyFont="1" applyFill="1" applyBorder="1" applyAlignment="1">
      <alignment horizontal="right" vertical="center" shrinkToFit="1"/>
    </xf>
    <xf numFmtId="168" fontId="9" fillId="0" borderId="11" xfId="0" applyNumberFormat="1" applyFont="1" applyFill="1" applyBorder="1" applyAlignment="1">
      <alignment vertical="center" wrapText="1"/>
    </xf>
    <xf numFmtId="175" fontId="10" fillId="0" borderId="11" xfId="10" applyNumberFormat="1" applyFont="1" applyFill="1" applyBorder="1" applyAlignment="1">
      <alignment horizontal="right" vertical="center" shrinkToFit="1"/>
    </xf>
    <xf numFmtId="200" fontId="10" fillId="0" borderId="0" xfId="2" applyNumberFormat="1" applyFont="1" applyFill="1" applyAlignment="1">
      <alignment vertical="center"/>
    </xf>
    <xf numFmtId="173" fontId="9" fillId="0" borderId="0" xfId="2" applyNumberFormat="1" applyFont="1" applyFill="1" applyBorder="1" applyAlignment="1">
      <alignment horizontal="center" vertical="center" wrapText="1"/>
    </xf>
    <xf numFmtId="173" fontId="10" fillId="0" borderId="1" xfId="1" applyNumberFormat="1" applyFont="1" applyFill="1" applyBorder="1" applyAlignment="1">
      <alignment vertical="center" wrapText="1" shrinkToFit="1"/>
    </xf>
    <xf numFmtId="10" fontId="10" fillId="0" borderId="0" xfId="2" applyNumberFormat="1" applyFont="1" applyFill="1" applyBorder="1" applyAlignment="1">
      <alignment vertical="center" wrapText="1"/>
    </xf>
    <xf numFmtId="199" fontId="10" fillId="0" borderId="0" xfId="2" applyNumberFormat="1" applyFont="1" applyFill="1" applyAlignment="1">
      <alignment vertical="center"/>
    </xf>
    <xf numFmtId="200" fontId="9" fillId="2" borderId="0" xfId="2" applyNumberFormat="1" applyFont="1" applyFill="1" applyAlignment="1">
      <alignment vertical="center"/>
    </xf>
    <xf numFmtId="2" fontId="2" fillId="0" borderId="0" xfId="2" applyNumberFormat="1" applyFont="1" applyFill="1" applyBorder="1" applyAlignment="1">
      <alignment horizontal="center" vertical="center" wrapText="1"/>
    </xf>
    <xf numFmtId="2" fontId="1" fillId="0" borderId="0" xfId="2" applyNumberFormat="1" applyFont="1" applyFill="1" applyBorder="1" applyAlignment="1">
      <alignment vertical="center" wrapText="1"/>
    </xf>
    <xf numFmtId="2" fontId="5" fillId="0" borderId="0" xfId="2" applyNumberFormat="1" applyFont="1" applyFill="1" applyAlignment="1">
      <alignment horizontal="center" vertical="center"/>
    </xf>
    <xf numFmtId="3" fontId="5" fillId="0" borderId="8"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xf>
    <xf numFmtId="0" fontId="1" fillId="0" borderId="2" xfId="0" applyFont="1" applyBorder="1" applyAlignment="1">
      <alignment horizontal="right"/>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8" fillId="0" borderId="0" xfId="0" applyFont="1" applyAlignment="1">
      <alignment horizontal="center"/>
    </xf>
    <xf numFmtId="0" fontId="57" fillId="0" borderId="0" xfId="0" applyFont="1" applyAlignment="1">
      <alignment horizont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3" fontId="9" fillId="0" borderId="3" xfId="2" applyNumberFormat="1" applyFont="1" applyFill="1" applyBorder="1" applyAlignment="1">
      <alignment horizontal="center" vertical="center" wrapText="1"/>
    </xf>
    <xf numFmtId="3" fontId="9" fillId="0" borderId="4" xfId="2" applyNumberFormat="1" applyFont="1" applyFill="1" applyBorder="1" applyAlignment="1">
      <alignment horizontal="center" vertical="center" wrapText="1"/>
    </xf>
    <xf numFmtId="3" fontId="9" fillId="0" borderId="5" xfId="2" applyNumberFormat="1" applyFont="1" applyFill="1" applyBorder="1" applyAlignment="1">
      <alignment horizontal="center" vertical="center" wrapText="1"/>
    </xf>
    <xf numFmtId="1" fontId="9" fillId="0" borderId="0" xfId="2" applyNumberFormat="1" applyFont="1" applyFill="1" applyAlignment="1">
      <alignment horizontal="center" vertical="center" wrapText="1"/>
    </xf>
    <xf numFmtId="1" fontId="11" fillId="0" borderId="0" xfId="2" applyNumberFormat="1" applyFont="1" applyFill="1" applyAlignment="1">
      <alignment horizontal="center" vertical="center" wrapText="1"/>
    </xf>
    <xf numFmtId="1" fontId="11" fillId="0" borderId="2" xfId="2" applyNumberFormat="1" applyFont="1" applyFill="1" applyBorder="1" applyAlignment="1">
      <alignment horizontal="right" vertical="center"/>
    </xf>
    <xf numFmtId="49" fontId="9" fillId="0" borderId="1" xfId="2" applyNumberFormat="1" applyFont="1" applyFill="1" applyBorder="1" applyAlignment="1">
      <alignment horizontal="center" vertical="center" wrapText="1"/>
    </xf>
    <xf numFmtId="3" fontId="9" fillId="0" borderId="1" xfId="2" applyNumberFormat="1" applyFont="1" applyFill="1" applyBorder="1" applyAlignment="1">
      <alignment horizontal="center" vertical="center" wrapText="1"/>
    </xf>
    <xf numFmtId="1" fontId="5" fillId="0" borderId="0" xfId="2" applyNumberFormat="1" applyFont="1" applyFill="1" applyAlignment="1">
      <alignment horizontal="left" vertical="center" wrapText="1"/>
    </xf>
    <xf numFmtId="3" fontId="9" fillId="0" borderId="6" xfId="2" applyNumberFormat="1" applyFont="1" applyFill="1" applyBorder="1" applyAlignment="1">
      <alignment horizontal="center" vertical="center" wrapText="1"/>
    </xf>
    <xf numFmtId="3" fontId="9" fillId="0" borderId="7" xfId="2" applyNumberFormat="1" applyFont="1" applyFill="1" applyBorder="1" applyAlignment="1">
      <alignment horizontal="center" vertical="center" wrapText="1"/>
    </xf>
    <xf numFmtId="3" fontId="9" fillId="0" borderId="13" xfId="2" applyNumberFormat="1" applyFont="1" applyFill="1" applyBorder="1" applyAlignment="1">
      <alignment horizontal="center" vertical="center" wrapText="1"/>
    </xf>
    <xf numFmtId="3" fontId="9" fillId="0" borderId="16" xfId="2" applyNumberFormat="1" applyFont="1" applyFill="1" applyBorder="1" applyAlignment="1">
      <alignment horizontal="center" vertical="center" wrapText="1"/>
    </xf>
    <xf numFmtId="3" fontId="9" fillId="0" borderId="2" xfId="2" applyNumberFormat="1" applyFont="1" applyFill="1" applyBorder="1" applyAlignment="1">
      <alignment horizontal="center" vertical="center" wrapText="1"/>
    </xf>
    <xf numFmtId="3" fontId="9" fillId="0" borderId="17" xfId="2" applyNumberFormat="1" applyFont="1" applyFill="1" applyBorder="1" applyAlignment="1">
      <alignment horizontal="center" vertical="center" wrapText="1"/>
    </xf>
    <xf numFmtId="1" fontId="10" fillId="0" borderId="0" xfId="2" applyNumberFormat="1" applyFont="1" applyFill="1" applyAlignment="1">
      <alignment horizontal="left" vertical="center" wrapText="1"/>
    </xf>
    <xf numFmtId="3" fontId="9" fillId="2" borderId="6" xfId="2" applyNumberFormat="1" applyFont="1" applyFill="1" applyBorder="1" applyAlignment="1">
      <alignment horizontal="center" vertical="center" wrapText="1"/>
    </xf>
    <xf numFmtId="3" fontId="9" fillId="2" borderId="7" xfId="2" applyNumberFormat="1" applyFont="1" applyFill="1" applyBorder="1" applyAlignment="1">
      <alignment horizontal="center" vertical="center" wrapText="1"/>
    </xf>
    <xf numFmtId="3" fontId="9" fillId="2" borderId="14" xfId="2" applyNumberFormat="1" applyFont="1" applyFill="1" applyBorder="1" applyAlignment="1">
      <alignment horizontal="center" vertical="center" wrapText="1"/>
    </xf>
    <xf numFmtId="3" fontId="9" fillId="2" borderId="15" xfId="2" applyNumberFormat="1" applyFont="1" applyFill="1" applyBorder="1" applyAlignment="1">
      <alignment horizontal="center" vertical="center" wrapText="1"/>
    </xf>
    <xf numFmtId="3" fontId="9" fillId="2" borderId="16" xfId="2" applyNumberFormat="1" applyFont="1" applyFill="1" applyBorder="1" applyAlignment="1">
      <alignment horizontal="center" vertical="center" wrapText="1"/>
    </xf>
    <xf numFmtId="3" fontId="9" fillId="2" borderId="17" xfId="2" applyNumberFormat="1" applyFont="1" applyFill="1" applyBorder="1" applyAlignment="1">
      <alignment horizontal="center" vertical="center" wrapText="1"/>
    </xf>
    <xf numFmtId="3" fontId="9" fillId="2" borderId="13" xfId="2" applyNumberFormat="1" applyFont="1" applyFill="1" applyBorder="1" applyAlignment="1">
      <alignment horizontal="center" vertical="center" wrapText="1"/>
    </xf>
    <xf numFmtId="3" fontId="9" fillId="2" borderId="2" xfId="2" applyNumberFormat="1" applyFont="1" applyFill="1" applyBorder="1" applyAlignment="1">
      <alignment horizontal="center" vertical="center" wrapText="1"/>
    </xf>
    <xf numFmtId="1" fontId="10" fillId="0" borderId="0" xfId="2" applyNumberFormat="1" applyFont="1" applyFill="1" applyAlignment="1">
      <alignment horizontal="center" vertical="center" wrapText="1"/>
    </xf>
    <xf numFmtId="173" fontId="10" fillId="0" borderId="3" xfId="1" applyNumberFormat="1" applyFont="1" applyFill="1" applyBorder="1" applyAlignment="1">
      <alignment horizontal="center" vertical="center" wrapText="1" shrinkToFit="1"/>
    </xf>
    <xf numFmtId="173" fontId="10" fillId="0" borderId="4" xfId="1" applyNumberFormat="1" applyFont="1" applyFill="1" applyBorder="1" applyAlignment="1">
      <alignment horizontal="center" vertical="center" wrapText="1" shrinkToFit="1"/>
    </xf>
    <xf numFmtId="169" fontId="62" fillId="0" borderId="3" xfId="1" applyNumberFormat="1" applyFont="1" applyFill="1" applyBorder="1" applyAlignment="1">
      <alignment horizontal="center" vertical="center" wrapText="1"/>
    </xf>
    <xf numFmtId="169" fontId="62" fillId="0" borderId="4" xfId="1" applyNumberFormat="1" applyFont="1" applyFill="1" applyBorder="1" applyAlignment="1">
      <alignment horizontal="center" vertical="center" wrapText="1"/>
    </xf>
    <xf numFmtId="169" fontId="62" fillId="0" borderId="23" xfId="1" applyNumberFormat="1" applyFont="1" applyFill="1" applyBorder="1" applyAlignment="1">
      <alignment horizontal="center" vertical="center" wrapText="1"/>
    </xf>
    <xf numFmtId="0" fontId="9" fillId="2" borderId="0" xfId="0" applyFont="1" applyFill="1" applyAlignment="1">
      <alignment horizontal="center" vertical="center"/>
    </xf>
    <xf numFmtId="0" fontId="10" fillId="2" borderId="0" xfId="0" applyFont="1" applyFill="1" applyAlignment="1">
      <alignment horizontal="center" vertical="center"/>
    </xf>
    <xf numFmtId="1" fontId="11" fillId="2" borderId="0" xfId="0" applyNumberFormat="1" applyFont="1" applyFill="1" applyAlignment="1">
      <alignment horizontal="center" vertical="center"/>
    </xf>
    <xf numFmtId="0" fontId="11" fillId="2" borderId="0" xfId="0" applyFont="1" applyFill="1" applyAlignment="1">
      <alignment horizontal="center" vertical="center"/>
    </xf>
    <xf numFmtId="3" fontId="11" fillId="2" borderId="2" xfId="0" applyNumberFormat="1" applyFont="1" applyFill="1" applyBorder="1" applyAlignment="1">
      <alignment horizontal="right" vertical="center"/>
    </xf>
    <xf numFmtId="49" fontId="9" fillId="2" borderId="3" xfId="2" applyNumberFormat="1" applyFont="1" applyFill="1" applyBorder="1" applyAlignment="1">
      <alignment horizontal="center" vertical="center" wrapText="1"/>
    </xf>
    <xf numFmtId="49" fontId="9" fillId="2" borderId="4" xfId="2" applyNumberFormat="1" applyFont="1" applyFill="1" applyBorder="1" applyAlignment="1">
      <alignment horizontal="center" vertical="center" wrapText="1"/>
    </xf>
    <xf numFmtId="49" fontId="9" fillId="2" borderId="5" xfId="2" applyNumberFormat="1" applyFont="1" applyFill="1" applyBorder="1" applyAlignment="1">
      <alignment horizontal="center" vertical="center" wrapText="1"/>
    </xf>
    <xf numFmtId="3" fontId="9" fillId="2" borderId="8" xfId="2" applyNumberFormat="1" applyFont="1" applyFill="1" applyBorder="1" applyAlignment="1">
      <alignment horizontal="center" vertical="center" wrapText="1"/>
    </xf>
    <xf numFmtId="3" fontId="9" fillId="2" borderId="10" xfId="2" applyNumberFormat="1" applyFont="1" applyFill="1" applyBorder="1" applyAlignment="1">
      <alignment horizontal="center" vertical="center" wrapText="1"/>
    </xf>
    <xf numFmtId="3" fontId="9" fillId="2" borderId="3" xfId="2" applyNumberFormat="1" applyFont="1" applyFill="1" applyBorder="1" applyAlignment="1">
      <alignment horizontal="center" vertical="center" wrapText="1"/>
    </xf>
    <xf numFmtId="3" fontId="9" fillId="2" borderId="4" xfId="2" applyNumberFormat="1" applyFont="1" applyFill="1" applyBorder="1" applyAlignment="1">
      <alignment horizontal="center" vertical="center" wrapText="1"/>
    </xf>
    <xf numFmtId="3" fontId="9" fillId="2" borderId="5" xfId="2" applyNumberFormat="1" applyFont="1" applyFill="1" applyBorder="1" applyAlignment="1">
      <alignment horizontal="center" vertical="center" wrapText="1"/>
    </xf>
    <xf numFmtId="3" fontId="9" fillId="2" borderId="1" xfId="2" applyNumberFormat="1" applyFont="1" applyFill="1" applyBorder="1" applyAlignment="1">
      <alignment horizontal="center" vertical="center" wrapText="1"/>
    </xf>
    <xf numFmtId="49" fontId="9" fillId="2" borderId="6" xfId="2" applyNumberFormat="1" applyFont="1" applyFill="1" applyBorder="1" applyAlignment="1">
      <alignment horizontal="center" vertical="center" wrapText="1"/>
    </xf>
    <xf numFmtId="49" fontId="9" fillId="2" borderId="13" xfId="2" applyNumberFormat="1" applyFont="1" applyFill="1" applyBorder="1" applyAlignment="1">
      <alignment horizontal="center" vertical="center" wrapText="1"/>
    </xf>
    <xf numFmtId="49" fontId="9" fillId="2" borderId="7" xfId="2" applyNumberFormat="1" applyFont="1" applyFill="1" applyBorder="1" applyAlignment="1">
      <alignment horizontal="center" vertical="center" wrapText="1"/>
    </xf>
    <xf numFmtId="49" fontId="9" fillId="2" borderId="14" xfId="2" applyNumberFormat="1" applyFont="1" applyFill="1" applyBorder="1" applyAlignment="1">
      <alignment horizontal="center" vertical="center" wrapText="1"/>
    </xf>
    <xf numFmtId="49" fontId="9" fillId="2" borderId="0" xfId="2" applyNumberFormat="1" applyFont="1" applyFill="1" applyBorder="1" applyAlignment="1">
      <alignment horizontal="center" vertical="center" wrapText="1"/>
    </xf>
    <xf numFmtId="49" fontId="9" fillId="2" borderId="15" xfId="2" applyNumberFormat="1" applyFont="1" applyFill="1" applyBorder="1" applyAlignment="1">
      <alignment horizontal="center" vertical="center" wrapText="1"/>
    </xf>
    <xf numFmtId="49" fontId="9" fillId="2" borderId="16" xfId="2" applyNumberFormat="1" applyFont="1" applyFill="1" applyBorder="1" applyAlignment="1">
      <alignment horizontal="center" vertical="center" wrapText="1"/>
    </xf>
    <xf numFmtId="49" fontId="9" fillId="2" borderId="2" xfId="2" applyNumberFormat="1" applyFont="1" applyFill="1" applyBorder="1" applyAlignment="1">
      <alignment horizontal="center" vertical="center" wrapText="1"/>
    </xf>
    <xf numFmtId="49" fontId="9" fillId="2" borderId="17" xfId="2" applyNumberFormat="1" applyFont="1" applyFill="1" applyBorder="1" applyAlignment="1">
      <alignment horizontal="center" vertical="center" wrapText="1"/>
    </xf>
    <xf numFmtId="0" fontId="7" fillId="0" borderId="0" xfId="0" applyFont="1" applyFill="1" applyAlignment="1">
      <alignment horizontal="left" vertical="center"/>
    </xf>
    <xf numFmtId="173" fontId="9" fillId="0" borderId="1" xfId="2" applyNumberFormat="1" applyFont="1" applyFill="1" applyBorder="1" applyAlignment="1">
      <alignment horizontal="center" vertical="center" wrapText="1"/>
    </xf>
    <xf numFmtId="3" fontId="34" fillId="0" borderId="1" xfId="2" applyNumberFormat="1" applyFont="1" applyFill="1" applyBorder="1" applyAlignment="1">
      <alignment horizontal="center" vertical="center" wrapText="1"/>
    </xf>
    <xf numFmtId="0" fontId="10" fillId="0" borderId="3" xfId="4" applyFont="1" applyFill="1" applyBorder="1" applyAlignment="1">
      <alignment horizontal="center" vertical="center" wrapText="1"/>
    </xf>
    <xf numFmtId="0" fontId="10" fillId="0" borderId="4" xfId="4" applyFont="1" applyFill="1" applyBorder="1" applyAlignment="1">
      <alignment horizontal="center" vertical="center" wrapText="1"/>
    </xf>
    <xf numFmtId="0" fontId="10" fillId="0" borderId="5" xfId="4" applyFont="1" applyFill="1" applyBorder="1" applyAlignment="1">
      <alignment horizontal="center" vertical="center" wrapText="1"/>
    </xf>
    <xf numFmtId="3" fontId="11" fillId="0" borderId="2" xfId="4" applyNumberFormat="1" applyFont="1" applyFill="1" applyBorder="1" applyAlignment="1">
      <alignment horizontal="right" vertical="center"/>
    </xf>
    <xf numFmtId="0" fontId="9" fillId="0" borderId="0" xfId="4" applyFont="1" applyFill="1" applyAlignment="1">
      <alignment horizontal="center" vertical="center"/>
    </xf>
    <xf numFmtId="1" fontId="11" fillId="0" borderId="0" xfId="4" applyNumberFormat="1" applyFont="1" applyFill="1" applyAlignment="1">
      <alignment horizontal="center" vertical="center"/>
    </xf>
    <xf numFmtId="0" fontId="11" fillId="0" borderId="0" xfId="4" applyFont="1" applyFill="1" applyAlignment="1">
      <alignment horizontal="center" vertical="center"/>
    </xf>
    <xf numFmtId="49" fontId="9" fillId="0" borderId="3" xfId="2" applyNumberFormat="1" applyFont="1" applyFill="1" applyBorder="1" applyAlignment="1">
      <alignment horizontal="center" vertical="center" wrapText="1"/>
    </xf>
    <xf numFmtId="49" fontId="9" fillId="0" borderId="5" xfId="2" applyNumberFormat="1" applyFont="1" applyFill="1" applyBorder="1" applyAlignment="1">
      <alignment horizontal="center" vertical="center" wrapText="1"/>
    </xf>
    <xf numFmtId="49" fontId="9" fillId="0" borderId="6" xfId="2" applyNumberFormat="1" applyFont="1" applyFill="1" applyBorder="1" applyAlignment="1">
      <alignment horizontal="center" vertical="center" wrapText="1"/>
    </xf>
    <xf numFmtId="49" fontId="9" fillId="0" borderId="13" xfId="2" applyNumberFormat="1" applyFont="1" applyFill="1" applyBorder="1" applyAlignment="1">
      <alignment horizontal="center" vertical="center" wrapText="1"/>
    </xf>
    <xf numFmtId="49" fontId="9" fillId="0" borderId="7" xfId="2" applyNumberFormat="1" applyFont="1" applyFill="1" applyBorder="1" applyAlignment="1">
      <alignment horizontal="center" vertical="center" wrapText="1"/>
    </xf>
    <xf numFmtId="49" fontId="9" fillId="0" borderId="16" xfId="2" applyNumberFormat="1" applyFont="1" applyFill="1" applyBorder="1" applyAlignment="1">
      <alignment horizontal="center" vertical="center" wrapText="1"/>
    </xf>
    <xf numFmtId="49" fontId="9" fillId="0" borderId="2" xfId="2" applyNumberFormat="1" applyFont="1" applyFill="1" applyBorder="1" applyAlignment="1">
      <alignment horizontal="center" vertical="center" wrapText="1"/>
    </xf>
    <xf numFmtId="49" fontId="9" fillId="0" borderId="17" xfId="2" applyNumberFormat="1" applyFont="1" applyFill="1" applyBorder="1" applyAlignment="1">
      <alignment horizontal="center" vertical="center" wrapText="1"/>
    </xf>
    <xf numFmtId="0" fontId="7" fillId="2" borderId="0" xfId="5" applyFont="1" applyFill="1" applyAlignment="1">
      <alignment horizontal="left" vertical="center" wrapText="1"/>
    </xf>
    <xf numFmtId="0" fontId="9" fillId="2" borderId="0" xfId="4" applyFont="1" applyFill="1" applyBorder="1" applyAlignment="1">
      <alignment horizontal="center" vertical="center"/>
    </xf>
    <xf numFmtId="1" fontId="11" fillId="2" borderId="0" xfId="4" applyNumberFormat="1" applyFont="1" applyFill="1" applyBorder="1" applyAlignment="1">
      <alignment horizontal="center" vertical="center"/>
    </xf>
    <xf numFmtId="0" fontId="11" fillId="2" borderId="0" xfId="4" applyFont="1" applyFill="1" applyBorder="1" applyAlignment="1">
      <alignment horizontal="center" vertical="center"/>
    </xf>
    <xf numFmtId="0" fontId="11" fillId="2" borderId="2" xfId="4" applyFont="1" applyFill="1" applyBorder="1" applyAlignment="1">
      <alignment horizontal="right" vertical="center"/>
    </xf>
    <xf numFmtId="0" fontId="9" fillId="2" borderId="1" xfId="4" applyFont="1" applyFill="1" applyBorder="1" applyAlignment="1">
      <alignment horizontal="center" vertical="center" wrapText="1"/>
    </xf>
    <xf numFmtId="49" fontId="9" fillId="2" borderId="1" xfId="2" applyNumberFormat="1" applyFont="1" applyFill="1" applyBorder="1" applyAlignment="1">
      <alignment horizontal="center" vertical="center" wrapText="1"/>
    </xf>
    <xf numFmtId="0" fontId="5" fillId="2" borderId="0" xfId="0" applyFont="1" applyFill="1" applyAlignment="1">
      <alignment horizontal="center" vertical="center"/>
    </xf>
    <xf numFmtId="169" fontId="5" fillId="2" borderId="3" xfId="1" applyNumberFormat="1" applyFont="1" applyFill="1" applyBorder="1" applyAlignment="1">
      <alignment horizontal="center" vertical="center" wrapText="1"/>
    </xf>
    <xf numFmtId="169" fontId="5" fillId="2" borderId="4" xfId="1" applyNumberFormat="1" applyFont="1" applyFill="1" applyBorder="1" applyAlignment="1">
      <alignment horizontal="center" vertical="center" wrapText="1"/>
    </xf>
    <xf numFmtId="169" fontId="5" fillId="2" borderId="5" xfId="1" applyNumberFormat="1" applyFont="1" applyFill="1" applyBorder="1" applyAlignment="1">
      <alignment horizontal="center" vertical="center" wrapText="1"/>
    </xf>
    <xf numFmtId="49" fontId="2" fillId="2" borderId="6" xfId="2" applyNumberFormat="1" applyFont="1" applyFill="1" applyBorder="1" applyAlignment="1">
      <alignment horizontal="center" vertical="center" wrapText="1"/>
    </xf>
    <xf numFmtId="49" fontId="2" fillId="2" borderId="7" xfId="2" applyNumberFormat="1" applyFont="1" applyFill="1" applyBorder="1" applyAlignment="1">
      <alignment horizontal="center" vertical="center" wrapText="1"/>
    </xf>
    <xf numFmtId="49" fontId="2" fillId="2" borderId="14" xfId="2" applyNumberFormat="1" applyFont="1" applyFill="1" applyBorder="1" applyAlignment="1">
      <alignment horizontal="center" vertical="center" wrapText="1"/>
    </xf>
    <xf numFmtId="49" fontId="2" fillId="2" borderId="15" xfId="2" applyNumberFormat="1" applyFont="1" applyFill="1" applyBorder="1" applyAlignment="1">
      <alignment horizontal="center" vertical="center" wrapText="1"/>
    </xf>
    <xf numFmtId="49" fontId="2" fillId="2" borderId="16" xfId="2" applyNumberFormat="1" applyFont="1" applyFill="1" applyBorder="1" applyAlignment="1">
      <alignment horizontal="center" vertical="center" wrapText="1"/>
    </xf>
    <xf numFmtId="49" fontId="2" fillId="2" borderId="17" xfId="2" applyNumberFormat="1" applyFont="1" applyFill="1" applyBorder="1" applyAlignment="1">
      <alignment horizontal="center" vertical="center" wrapText="1"/>
    </xf>
    <xf numFmtId="0" fontId="2" fillId="2" borderId="0" xfId="0" applyFont="1" applyFill="1" applyAlignment="1">
      <alignment horizontal="center" vertical="center"/>
    </xf>
    <xf numFmtId="1" fontId="1" fillId="2" borderId="0" xfId="0" applyNumberFormat="1" applyFont="1" applyFill="1" applyAlignment="1">
      <alignment horizontal="center" vertical="center"/>
    </xf>
    <xf numFmtId="0" fontId="1" fillId="2" borderId="0" xfId="0" applyFont="1" applyFill="1" applyAlignment="1">
      <alignment horizontal="center" vertical="center"/>
    </xf>
    <xf numFmtId="3" fontId="1" fillId="2" borderId="2" xfId="0" applyNumberFormat="1" applyFont="1" applyFill="1" applyBorder="1" applyAlignment="1">
      <alignment horizontal="right" vertical="center"/>
    </xf>
    <xf numFmtId="49" fontId="2" fillId="2" borderId="3" xfId="2" applyNumberFormat="1" applyFont="1" applyFill="1" applyBorder="1" applyAlignment="1">
      <alignment horizontal="center" vertical="center" wrapText="1"/>
    </xf>
    <xf numFmtId="49" fontId="2" fillId="2" borderId="4" xfId="2" applyNumberFormat="1" applyFont="1" applyFill="1" applyBorder="1" applyAlignment="1">
      <alignment horizontal="center" vertical="center" wrapText="1"/>
    </xf>
    <xf numFmtId="49" fontId="2" fillId="2" borderId="5" xfId="2" applyNumberFormat="1" applyFont="1" applyFill="1" applyBorder="1" applyAlignment="1">
      <alignment horizontal="center" vertical="center" wrapText="1"/>
    </xf>
    <xf numFmtId="3" fontId="2" fillId="2" borderId="8" xfId="2" applyNumberFormat="1" applyFont="1" applyFill="1" applyBorder="1" applyAlignment="1">
      <alignment horizontal="center" vertical="center" wrapText="1"/>
    </xf>
    <xf numFmtId="3" fontId="2" fillId="2" borderId="10"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3" fontId="2" fillId="2" borderId="4" xfId="2" applyNumberFormat="1" applyFont="1" applyFill="1" applyBorder="1" applyAlignment="1">
      <alignment horizontal="center" vertical="center" wrapText="1"/>
    </xf>
    <xf numFmtId="3" fontId="2" fillId="2" borderId="5" xfId="2"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0" fontId="9" fillId="0" borderId="0" xfId="0" applyFont="1" applyFill="1" applyAlignment="1">
      <alignment horizontal="left"/>
    </xf>
    <xf numFmtId="0" fontId="9" fillId="0" borderId="0" xfId="0" applyFont="1" applyFill="1" applyAlignment="1">
      <alignment horizontal="center"/>
    </xf>
    <xf numFmtId="164"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8" xfId="0" applyNumberFormat="1" applyFont="1" applyFill="1" applyBorder="1" applyAlignment="1">
      <alignment horizontal="center" vertical="center" wrapText="1"/>
    </xf>
    <xf numFmtId="3" fontId="9" fillId="0" borderId="10" xfId="0" applyNumberFormat="1" applyFont="1" applyFill="1" applyBorder="1" applyAlignment="1">
      <alignment horizontal="center" vertical="center" wrapText="1"/>
    </xf>
    <xf numFmtId="3" fontId="9" fillId="0" borderId="9"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4" fontId="9" fillId="0" borderId="3" xfId="0" applyNumberFormat="1" applyFont="1" applyFill="1" applyBorder="1" applyAlignment="1">
      <alignment horizontal="center" vertical="center" wrapText="1"/>
    </xf>
    <xf numFmtId="4" fontId="9" fillId="0" borderId="4" xfId="0" applyNumberFormat="1" applyFont="1" applyFill="1" applyBorder="1" applyAlignment="1">
      <alignment horizontal="center" vertical="center" wrapText="1"/>
    </xf>
    <xf numFmtId="4" fontId="9" fillId="0" borderId="5"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0" fontId="23" fillId="0" borderId="0" xfId="0" applyFont="1" applyAlignment="1">
      <alignment horizontal="center"/>
    </xf>
    <xf numFmtId="1" fontId="24" fillId="0" borderId="0" xfId="2" applyNumberFormat="1" applyFont="1" applyFill="1" applyAlignment="1">
      <alignment horizontal="center" vertical="center" wrapText="1"/>
    </xf>
    <xf numFmtId="1" fontId="25" fillId="0" borderId="0" xfId="2" applyNumberFormat="1" applyFont="1" applyFill="1" applyAlignment="1">
      <alignment horizontal="center" vertical="center" wrapText="1"/>
    </xf>
    <xf numFmtId="1" fontId="25" fillId="0" borderId="2" xfId="2" applyNumberFormat="1" applyFont="1" applyFill="1" applyBorder="1" applyAlignment="1">
      <alignment horizontal="right" vertical="center"/>
    </xf>
    <xf numFmtId="3" fontId="9" fillId="0" borderId="1" xfId="2" applyNumberFormat="1" applyFont="1" applyBorder="1" applyAlignment="1">
      <alignment horizontal="center" vertical="center" wrapText="1"/>
    </xf>
    <xf numFmtId="0" fontId="2" fillId="0" borderId="0" xfId="0" applyFont="1" applyAlignment="1">
      <alignment horizontal="center" vertical="center"/>
    </xf>
    <xf numFmtId="1" fontId="31" fillId="0" borderId="0" xfId="0" applyNumberFormat="1" applyFont="1" applyAlignment="1">
      <alignment horizontal="center"/>
    </xf>
    <xf numFmtId="0" fontId="31" fillId="0" borderId="0" xfId="0" applyFont="1" applyAlignment="1">
      <alignment horizontal="center"/>
    </xf>
    <xf numFmtId="0" fontId="1" fillId="0" borderId="2" xfId="0" applyFont="1" applyBorder="1" applyAlignment="1">
      <alignment horizontal="right" vertical="center"/>
    </xf>
    <xf numFmtId="3" fontId="9" fillId="2" borderId="9" xfId="2"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3" fontId="9" fillId="0" borderId="15" xfId="2" applyNumberFormat="1" applyFont="1" applyFill="1" applyBorder="1" applyAlignment="1">
      <alignment horizontal="center" vertical="center" wrapText="1"/>
    </xf>
    <xf numFmtId="0" fontId="0" fillId="0" borderId="1" xfId="0"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9" fillId="0" borderId="1" xfId="4" applyFont="1" applyFill="1" applyBorder="1" applyAlignment="1">
      <alignment horizontal="center" vertical="center" wrapText="1"/>
    </xf>
    <xf numFmtId="0" fontId="7" fillId="0" borderId="0" xfId="5" applyFont="1" applyFill="1" applyAlignment="1">
      <alignment horizontal="left" vertical="center" wrapText="1"/>
    </xf>
    <xf numFmtId="0" fontId="9" fillId="0" borderId="0" xfId="4" applyFont="1" applyFill="1" applyBorder="1" applyAlignment="1">
      <alignment horizontal="center" vertical="center"/>
    </xf>
    <xf numFmtId="1" fontId="11" fillId="0" borderId="0" xfId="4" applyNumberFormat="1" applyFont="1" applyFill="1" applyBorder="1" applyAlignment="1">
      <alignment horizontal="center" vertical="center"/>
    </xf>
    <xf numFmtId="0" fontId="11" fillId="0" borderId="0" xfId="4" applyFont="1" applyFill="1" applyBorder="1" applyAlignment="1">
      <alignment horizontal="center" vertical="center"/>
    </xf>
    <xf numFmtId="0" fontId="11" fillId="0" borderId="2" xfId="4" applyFont="1" applyFill="1" applyBorder="1" applyAlignment="1">
      <alignment horizontal="right" vertical="center"/>
    </xf>
    <xf numFmtId="1" fontId="10" fillId="0" borderId="14" xfId="2" applyNumberFormat="1" applyFont="1" applyFill="1" applyBorder="1" applyAlignment="1">
      <alignment horizontal="center" vertical="center" wrapText="1"/>
    </xf>
    <xf numFmtId="173" fontId="34" fillId="0" borderId="8" xfId="2" applyNumberFormat="1" applyFont="1" applyFill="1" applyBorder="1" applyAlignment="1">
      <alignment horizontal="center" vertical="center" wrapText="1"/>
    </xf>
    <xf numFmtId="173" fontId="34" fillId="0" borderId="10" xfId="2" applyNumberFormat="1" applyFont="1" applyFill="1" applyBorder="1" applyAlignment="1">
      <alignment horizontal="center" vertical="center" wrapText="1"/>
    </xf>
    <xf numFmtId="3" fontId="34" fillId="0" borderId="8" xfId="2" applyNumberFormat="1" applyFont="1" applyFill="1" applyBorder="1" applyAlignment="1">
      <alignment horizontal="center" vertical="center" wrapText="1"/>
    </xf>
    <xf numFmtId="3" fontId="34" fillId="0" borderId="10" xfId="2" applyNumberFormat="1" applyFont="1" applyFill="1" applyBorder="1" applyAlignment="1">
      <alignment horizontal="center" vertical="center" wrapText="1"/>
    </xf>
  </cellXfs>
  <cellStyles count="102">
    <cellStyle name="_x000d__x000a_JournalTemplate=C:\COMFO\CTALK\JOURSTD.TPL_x000d__x000a_LbStateAddress=3 3 0 251 1 89 2 311_x000d__x000a_LbStateJou" xfId="17" xr:uid="{00000000-0005-0000-0000-000000000000}"/>
    <cellStyle name="_x000d__x000a_JournalTemplate=C:\COMFO\CTALK\JOURSTD.TPL_x000d__x000a_LbStateAddress=3 3 0 251 1 89 2 311_x000d__x000a_LbStateJou 2" xfId="18" xr:uid="{00000000-0005-0000-0000-000001000000}"/>
    <cellStyle name="_x000d__x000a_JournalTemplate=C:\COMFO\CTALK\JOURSTD.TPL_x000d__x000a_LbStateAddress=3 3 0 251 1 89 2 311_x000d__x000a_LbStateJou 3" xfId="19" xr:uid="{00000000-0005-0000-0000-000002000000}"/>
    <cellStyle name="??" xfId="48" xr:uid="{00000000-0005-0000-0000-000003000000}"/>
    <cellStyle name="?? [0.00]_PRODUCT DETAIL Q1" xfId="49" xr:uid="{00000000-0005-0000-0000-000004000000}"/>
    <cellStyle name="?? [0]" xfId="50" xr:uid="{00000000-0005-0000-0000-000005000000}"/>
    <cellStyle name="???? [0.00]_PRODUCT DETAIL Q1" xfId="51" xr:uid="{00000000-0005-0000-0000-000006000000}"/>
    <cellStyle name="????_PRODUCT DETAIL Q1" xfId="52" xr:uid="{00000000-0005-0000-0000-000007000000}"/>
    <cellStyle name="???_HOBONG" xfId="53" xr:uid="{00000000-0005-0000-0000-000008000000}"/>
    <cellStyle name="??_(????)??????" xfId="54" xr:uid="{00000000-0005-0000-0000-000009000000}"/>
    <cellStyle name="AeE­ [0]_INQUIRY ¿μ¾÷AßAø " xfId="55" xr:uid="{00000000-0005-0000-0000-00000A000000}"/>
    <cellStyle name="AeE­_INQUIRY ¿µ¾÷AßAø " xfId="56" xr:uid="{00000000-0005-0000-0000-00000B000000}"/>
    <cellStyle name="AÞ¸¶ [0]_INQUIRY ¿?¾÷AßAø " xfId="57" xr:uid="{00000000-0005-0000-0000-00000C000000}"/>
    <cellStyle name="AÞ¸¶_INQUIRY ¿?¾÷AßAø " xfId="58" xr:uid="{00000000-0005-0000-0000-00000D000000}"/>
    <cellStyle name="C?AØ_¿?¾÷CoE² " xfId="59" xr:uid="{00000000-0005-0000-0000-00000E000000}"/>
    <cellStyle name="C￥AØ_¿μ¾÷CoE² " xfId="60" xr:uid="{00000000-0005-0000-0000-00000F000000}"/>
    <cellStyle name="Comma" xfId="1" builtinId="3"/>
    <cellStyle name="Comma 10 10" xfId="20" xr:uid="{00000000-0005-0000-0000-000011000000}"/>
    <cellStyle name="Comma 10 10 2" xfId="21" xr:uid="{00000000-0005-0000-0000-000012000000}"/>
    <cellStyle name="Comma 10 2" xfId="22" xr:uid="{00000000-0005-0000-0000-000013000000}"/>
    <cellStyle name="Comma 2" xfId="6" xr:uid="{00000000-0005-0000-0000-000014000000}"/>
    <cellStyle name="Comma 2 2" xfId="23" xr:uid="{00000000-0005-0000-0000-000015000000}"/>
    <cellStyle name="Comma 2 4" xfId="24" xr:uid="{00000000-0005-0000-0000-000016000000}"/>
    <cellStyle name="Comma 28" xfId="25" xr:uid="{00000000-0005-0000-0000-000017000000}"/>
    <cellStyle name="Comma 3" xfId="3" xr:uid="{00000000-0005-0000-0000-000018000000}"/>
    <cellStyle name="Comma 3 2" xfId="26" xr:uid="{00000000-0005-0000-0000-000019000000}"/>
    <cellStyle name="Comma 3 2 2" xfId="27" xr:uid="{00000000-0005-0000-0000-00001A000000}"/>
    <cellStyle name="Comma 3 3" xfId="61" xr:uid="{00000000-0005-0000-0000-00001B000000}"/>
    <cellStyle name="Comma 30" xfId="28" xr:uid="{00000000-0005-0000-0000-00001C000000}"/>
    <cellStyle name="Comma 4" xfId="9" xr:uid="{00000000-0005-0000-0000-00001D000000}"/>
    <cellStyle name="Comma 4 2" xfId="62" xr:uid="{00000000-0005-0000-0000-00001E000000}"/>
    <cellStyle name="Comma 47" xfId="29" xr:uid="{00000000-0005-0000-0000-00001F000000}"/>
    <cellStyle name="Comma 48" xfId="30" xr:uid="{00000000-0005-0000-0000-000020000000}"/>
    <cellStyle name="Comma 5" xfId="31" xr:uid="{00000000-0005-0000-0000-000021000000}"/>
    <cellStyle name="Comma 5 2" xfId="32" xr:uid="{00000000-0005-0000-0000-000022000000}"/>
    <cellStyle name="Comma 51" xfId="33" xr:uid="{00000000-0005-0000-0000-000023000000}"/>
    <cellStyle name="Comma 6" xfId="16" xr:uid="{00000000-0005-0000-0000-000024000000}"/>
    <cellStyle name="Comma 6 2" xfId="11" xr:uid="{00000000-0005-0000-0000-000025000000}"/>
    <cellStyle name="Comma 7 2" xfId="12" xr:uid="{00000000-0005-0000-0000-000026000000}"/>
    <cellStyle name="Comma 97" xfId="34" xr:uid="{00000000-0005-0000-0000-000027000000}"/>
    <cellStyle name="Comma 97 2" xfId="35" xr:uid="{00000000-0005-0000-0000-000028000000}"/>
    <cellStyle name="Comma0" xfId="63" xr:uid="{00000000-0005-0000-0000-000029000000}"/>
    <cellStyle name="Currency0" xfId="64" xr:uid="{00000000-0005-0000-0000-00002A000000}"/>
    <cellStyle name="Date" xfId="65" xr:uid="{00000000-0005-0000-0000-00002B000000}"/>
    <cellStyle name="Fixed" xfId="66" xr:uid="{00000000-0005-0000-0000-00002C000000}"/>
    <cellStyle name="Header1" xfId="67" xr:uid="{00000000-0005-0000-0000-00002D000000}"/>
    <cellStyle name="Header2" xfId="68" xr:uid="{00000000-0005-0000-0000-00002E000000}"/>
    <cellStyle name="Heading 1 2" xfId="69" xr:uid="{00000000-0005-0000-0000-00002F000000}"/>
    <cellStyle name="Heading 2 2" xfId="70" xr:uid="{00000000-0005-0000-0000-000030000000}"/>
    <cellStyle name="Kiểu 1" xfId="13" xr:uid="{00000000-0005-0000-0000-000031000000}"/>
    <cellStyle name="Ledger 17 x 11 in 2" xfId="71" xr:uid="{00000000-0005-0000-0000-000032000000}"/>
    <cellStyle name="n" xfId="72" xr:uid="{00000000-0005-0000-0000-000033000000}"/>
    <cellStyle name="Normal" xfId="0" builtinId="0"/>
    <cellStyle name="Normal - Style1" xfId="73" xr:uid="{00000000-0005-0000-0000-000035000000}"/>
    <cellStyle name="Normal 10" xfId="36" xr:uid="{00000000-0005-0000-0000-000036000000}"/>
    <cellStyle name="Normal 11" xfId="74" xr:uid="{00000000-0005-0000-0000-000037000000}"/>
    <cellStyle name="Normal 19 2" xfId="37" xr:uid="{00000000-0005-0000-0000-000038000000}"/>
    <cellStyle name="Normal 19 3" xfId="38" xr:uid="{00000000-0005-0000-0000-000039000000}"/>
    <cellStyle name="Normal 2" xfId="39" xr:uid="{00000000-0005-0000-0000-00003A000000}"/>
    <cellStyle name="Normal 2 2" xfId="40" xr:uid="{00000000-0005-0000-0000-00003B000000}"/>
    <cellStyle name="Normal 2 2 2" xfId="75" xr:uid="{00000000-0005-0000-0000-00003C000000}"/>
    <cellStyle name="Normal 22" xfId="8" xr:uid="{00000000-0005-0000-0000-00003D000000}"/>
    <cellStyle name="Normal 28 2 3" xfId="41" xr:uid="{00000000-0005-0000-0000-00003E000000}"/>
    <cellStyle name="Normal 3" xfId="4" xr:uid="{00000000-0005-0000-0000-00003F000000}"/>
    <cellStyle name="Normal 3 2" xfId="14" xr:uid="{00000000-0005-0000-0000-000040000000}"/>
    <cellStyle name="Normal 4" xfId="15" xr:uid="{00000000-0005-0000-0000-000041000000}"/>
    <cellStyle name="Normal 4 18" xfId="42" xr:uid="{00000000-0005-0000-0000-000042000000}"/>
    <cellStyle name="Normal 4 26" xfId="43" xr:uid="{00000000-0005-0000-0000-000043000000}"/>
    <cellStyle name="Normal 4 26 2" xfId="44" xr:uid="{00000000-0005-0000-0000-000044000000}"/>
    <cellStyle name="Normal 5 3" xfId="76" xr:uid="{00000000-0005-0000-0000-000045000000}"/>
    <cellStyle name="Normal 63" xfId="45" xr:uid="{00000000-0005-0000-0000-000046000000}"/>
    <cellStyle name="Normal 63 2" xfId="46" xr:uid="{00000000-0005-0000-0000-000047000000}"/>
    <cellStyle name="Normal 80 2 3" xfId="47" xr:uid="{00000000-0005-0000-0000-000048000000}"/>
    <cellStyle name="Normal 89" xfId="7" xr:uid="{00000000-0005-0000-0000-000049000000}"/>
    <cellStyle name="Normal_Bieu mau (CV )" xfId="2" xr:uid="{00000000-0005-0000-0000-00004A000000}"/>
    <cellStyle name="Normal_Sheet1" xfId="5" xr:uid="{00000000-0005-0000-0000-00004B000000}"/>
    <cellStyle name="Percent" xfId="10" builtinId="5"/>
    <cellStyle name="T" xfId="77" xr:uid="{00000000-0005-0000-0000-00004D000000}"/>
    <cellStyle name="Total 2" xfId="78" xr:uid="{00000000-0005-0000-0000-00004F000000}"/>
    <cellStyle name="th" xfId="79" xr:uid="{00000000-0005-0000-0000-00004E000000}"/>
    <cellStyle name="viet" xfId="80" xr:uid="{00000000-0005-0000-0000-000050000000}"/>
    <cellStyle name="viet2" xfId="81" xr:uid="{00000000-0005-0000-0000-000051000000}"/>
    <cellStyle name=" [0.00]_ Att. 1- Cover" xfId="82" xr:uid="{00000000-0005-0000-0000-000052000000}"/>
    <cellStyle name="_ Att. 1- Cover" xfId="83" xr:uid="{00000000-0005-0000-0000-000053000000}"/>
    <cellStyle name="?_ Att. 1- Cover" xfId="84" xr:uid="{00000000-0005-0000-0000-000054000000}"/>
    <cellStyle name="똿뗦먛귟 [0.00]_PRODUCT DETAIL Q1" xfId="85" xr:uid="{00000000-0005-0000-0000-000055000000}"/>
    <cellStyle name="똿뗦먛귟_PRODUCT DETAIL Q1" xfId="86" xr:uid="{00000000-0005-0000-0000-000056000000}"/>
    <cellStyle name="믅됞 [0.00]_PRODUCT DETAIL Q1" xfId="87" xr:uid="{00000000-0005-0000-0000-000057000000}"/>
    <cellStyle name="믅됞_PRODUCT DETAIL Q1" xfId="88" xr:uid="{00000000-0005-0000-0000-000058000000}"/>
    <cellStyle name="백분율_95" xfId="89" xr:uid="{00000000-0005-0000-0000-000059000000}"/>
    <cellStyle name="뷭?_BOOKSHIP" xfId="90" xr:uid="{00000000-0005-0000-0000-00005A000000}"/>
    <cellStyle name="콤마 [0]_1202" xfId="91" xr:uid="{00000000-0005-0000-0000-00005B000000}"/>
    <cellStyle name="콤마_1202" xfId="92" xr:uid="{00000000-0005-0000-0000-00005C000000}"/>
    <cellStyle name="통화 [0]_1202" xfId="93" xr:uid="{00000000-0005-0000-0000-00005D000000}"/>
    <cellStyle name="통화_1202" xfId="94" xr:uid="{00000000-0005-0000-0000-00005E000000}"/>
    <cellStyle name="표준_(정보부문)월별인원계획" xfId="95" xr:uid="{00000000-0005-0000-0000-00005F000000}"/>
    <cellStyle name="一般_00Q3902REV.1" xfId="96" xr:uid="{00000000-0005-0000-0000-000060000000}"/>
    <cellStyle name="千分位[0]_00Q3902REV.1" xfId="97" xr:uid="{00000000-0005-0000-0000-000061000000}"/>
    <cellStyle name="千分位_00Q3902REV.1" xfId="98" xr:uid="{00000000-0005-0000-0000-000062000000}"/>
    <cellStyle name="貨幣 [0]_00Q3902REV.1" xfId="99" xr:uid="{00000000-0005-0000-0000-000063000000}"/>
    <cellStyle name="貨幣[0]_BRE" xfId="100" xr:uid="{00000000-0005-0000-0000-000064000000}"/>
    <cellStyle name="貨幣_00Q3902REV.1" xfId="101" xr:uid="{00000000-0005-0000-0000-000065000000}"/>
  </cellStyles>
  <dxfs count="0"/>
  <tableStyles count="0" defaultTableStyle="TableStyleMedium2" defaultPivotStyle="PivotStyleLight16"/>
  <colors>
    <mruColors>
      <color rgb="FF0000CC"/>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xdr:col>
      <xdr:colOff>685800</xdr:colOff>
      <xdr:row>79</xdr:row>
      <xdr:rowOff>0</xdr:rowOff>
    </xdr:from>
    <xdr:to>
      <xdr:col>4</xdr:col>
      <xdr:colOff>685800</xdr:colOff>
      <xdr:row>79</xdr:row>
      <xdr:rowOff>66675</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7829550" y="2012632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685800</xdr:colOff>
      <xdr:row>79</xdr:row>
      <xdr:rowOff>0</xdr:rowOff>
    </xdr:from>
    <xdr:to>
      <xdr:col>7</xdr:col>
      <xdr:colOff>685800</xdr:colOff>
      <xdr:row>79</xdr:row>
      <xdr:rowOff>66675</xdr:rowOff>
    </xdr:to>
    <xdr:sp macro="" textlink="">
      <xdr:nvSpPr>
        <xdr:cNvPr id="3" name="Text Box 1">
          <a:extLst>
            <a:ext uri="{FF2B5EF4-FFF2-40B4-BE49-F238E27FC236}">
              <a16:creationId xmlns:a16="http://schemas.microsoft.com/office/drawing/2014/main" id="{00000000-0008-0000-0A00-000003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685800</xdr:colOff>
      <xdr:row>79</xdr:row>
      <xdr:rowOff>0</xdr:rowOff>
    </xdr:from>
    <xdr:to>
      <xdr:col>8</xdr:col>
      <xdr:colOff>685800</xdr:colOff>
      <xdr:row>79</xdr:row>
      <xdr:rowOff>66675</xdr:rowOff>
    </xdr:to>
    <xdr:sp macro="" textlink="">
      <xdr:nvSpPr>
        <xdr:cNvPr id="4" name="Text Box 1">
          <a:extLst>
            <a:ext uri="{FF2B5EF4-FFF2-40B4-BE49-F238E27FC236}">
              <a16:creationId xmlns:a16="http://schemas.microsoft.com/office/drawing/2014/main" id="{00000000-0008-0000-0A00-000004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685800</xdr:colOff>
      <xdr:row>79</xdr:row>
      <xdr:rowOff>0</xdr:rowOff>
    </xdr:from>
    <xdr:to>
      <xdr:col>9</xdr:col>
      <xdr:colOff>685800</xdr:colOff>
      <xdr:row>79</xdr:row>
      <xdr:rowOff>66675</xdr:rowOff>
    </xdr:to>
    <xdr:sp macro="" textlink="">
      <xdr:nvSpPr>
        <xdr:cNvPr id="5" name="Text Box 1">
          <a:extLst>
            <a:ext uri="{FF2B5EF4-FFF2-40B4-BE49-F238E27FC236}">
              <a16:creationId xmlns:a16="http://schemas.microsoft.com/office/drawing/2014/main" id="{00000000-0008-0000-0A00-000005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685800</xdr:colOff>
      <xdr:row>79</xdr:row>
      <xdr:rowOff>0</xdr:rowOff>
    </xdr:from>
    <xdr:to>
      <xdr:col>10</xdr:col>
      <xdr:colOff>685800</xdr:colOff>
      <xdr:row>79</xdr:row>
      <xdr:rowOff>66675</xdr:rowOff>
    </xdr:to>
    <xdr:sp macro="" textlink="">
      <xdr:nvSpPr>
        <xdr:cNvPr id="6" name="Text Box 1">
          <a:extLst>
            <a:ext uri="{FF2B5EF4-FFF2-40B4-BE49-F238E27FC236}">
              <a16:creationId xmlns:a16="http://schemas.microsoft.com/office/drawing/2014/main" id="{00000000-0008-0000-0A00-000006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11</xdr:col>
      <xdr:colOff>685800</xdr:colOff>
      <xdr:row>79</xdr:row>
      <xdr:rowOff>0</xdr:rowOff>
    </xdr:from>
    <xdr:ext cx="0" cy="66675"/>
    <xdr:sp macro="" textlink="">
      <xdr:nvSpPr>
        <xdr:cNvPr id="7" name="Text Box 1">
          <a:extLst>
            <a:ext uri="{FF2B5EF4-FFF2-40B4-BE49-F238E27FC236}">
              <a16:creationId xmlns:a16="http://schemas.microsoft.com/office/drawing/2014/main" id="{00000000-0008-0000-0A00-000007000000}"/>
            </a:ext>
          </a:extLst>
        </xdr:cNvPr>
        <xdr:cNvSpPr txBox="1">
          <a:spLocks noChangeArrowheads="1"/>
        </xdr:cNvSpPr>
      </xdr:nvSpPr>
      <xdr:spPr bwMode="auto">
        <a:xfrm>
          <a:off x="9982200" y="30079950"/>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685800</xdr:colOff>
      <xdr:row>79</xdr:row>
      <xdr:rowOff>0</xdr:rowOff>
    </xdr:from>
    <xdr:to>
      <xdr:col>5</xdr:col>
      <xdr:colOff>685800</xdr:colOff>
      <xdr:row>79</xdr:row>
      <xdr:rowOff>66675</xdr:rowOff>
    </xdr:to>
    <xdr:sp macro="" textlink="">
      <xdr:nvSpPr>
        <xdr:cNvPr id="8" name="Text Box 1">
          <a:extLst>
            <a:ext uri="{FF2B5EF4-FFF2-40B4-BE49-F238E27FC236}">
              <a16:creationId xmlns:a16="http://schemas.microsoft.com/office/drawing/2014/main" id="{00000000-0008-0000-0A00-000008000000}"/>
            </a:ext>
          </a:extLst>
        </xdr:cNvPr>
        <xdr:cNvSpPr txBox="1">
          <a:spLocks noChangeArrowheads="1"/>
        </xdr:cNvSpPr>
      </xdr:nvSpPr>
      <xdr:spPr bwMode="auto">
        <a:xfrm>
          <a:off x="6618514" y="29976536"/>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685800</xdr:colOff>
      <xdr:row>79</xdr:row>
      <xdr:rowOff>0</xdr:rowOff>
    </xdr:from>
    <xdr:to>
      <xdr:col>6</xdr:col>
      <xdr:colOff>685800</xdr:colOff>
      <xdr:row>79</xdr:row>
      <xdr:rowOff>66675</xdr:rowOff>
    </xdr:to>
    <xdr:sp macro="" textlink="">
      <xdr:nvSpPr>
        <xdr:cNvPr id="9" name="Text Box 1">
          <a:extLst>
            <a:ext uri="{FF2B5EF4-FFF2-40B4-BE49-F238E27FC236}">
              <a16:creationId xmlns:a16="http://schemas.microsoft.com/office/drawing/2014/main" id="{00000000-0008-0000-0A00-000009000000}"/>
            </a:ext>
          </a:extLst>
        </xdr:cNvPr>
        <xdr:cNvSpPr txBox="1">
          <a:spLocks noChangeArrowheads="1"/>
        </xdr:cNvSpPr>
      </xdr:nvSpPr>
      <xdr:spPr bwMode="auto">
        <a:xfrm>
          <a:off x="6618514" y="29976536"/>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685800</xdr:colOff>
      <xdr:row>33</xdr:row>
      <xdr:rowOff>0</xdr:rowOff>
    </xdr:from>
    <xdr:to>
      <xdr:col>4</xdr:col>
      <xdr:colOff>685800</xdr:colOff>
      <xdr:row>33</xdr:row>
      <xdr:rowOff>66675</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9610725" y="29908500"/>
          <a:ext cx="2095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L&#192;M%20VI&#7878;C%20&#272;O&#192;N%20C&#212;NG%20T&#193;C%20C&#7910;A%20UBND%20T&#7880;NH/New%20folder/2.Bieu%20giai%20ngan%20CTM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01"/>
      <sheetName val="foxz"/>
      <sheetName val="foxz_2"/>
      <sheetName val="foxz_3"/>
      <sheetName val="foxz_4"/>
      <sheetName val="foxz_5"/>
      <sheetName val="foxz_6"/>
      <sheetName val="Biểu số 04 (ĐTC huyện)"/>
      <sheetName val="Biểu số 04 (SN)"/>
      <sheetName val="Biểu số 05 (SNGD)"/>
      <sheetName val="Biểu 04 DC trung han  2021-2025"/>
      <sheetName val="Biểu 5 ĐC KHV 2022 vốn NSĐP"/>
      <sheetName val="Bểu 06 ĐCKHV 2022, CTMTQG"/>
      <sheetName val="Bieur 07 Đề xuất KHV"/>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K24">
            <v>18.963000000000001</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R10"/>
  <sheetViews>
    <sheetView workbookViewId="0">
      <selection sqref="A1:R1"/>
    </sheetView>
  </sheetViews>
  <sheetFormatPr defaultRowHeight="15.6"/>
  <cols>
    <col min="1" max="1" width="4.5" customWidth="1"/>
    <col min="2" max="2" width="26.5" customWidth="1"/>
    <col min="3" max="3" width="5.5" customWidth="1"/>
    <col min="4" max="4" width="9.3984375" customWidth="1"/>
    <col min="5" max="5" width="7.8984375" customWidth="1"/>
    <col min="6" max="6" width="7.19921875" customWidth="1"/>
    <col min="7" max="7" width="7.69921875" customWidth="1"/>
    <col min="8" max="8" width="6.69921875" customWidth="1"/>
    <col min="9" max="9" width="7.69921875" customWidth="1"/>
    <col min="10" max="10" width="7.8984375" customWidth="1"/>
    <col min="11" max="11" width="7" customWidth="1"/>
    <col min="12" max="12" width="6.59765625" customWidth="1"/>
    <col min="13" max="17" width="7.19921875" customWidth="1"/>
    <col min="18" max="18" width="6.59765625" customWidth="1"/>
  </cols>
  <sheetData>
    <row r="1" spans="1:18">
      <c r="A1" s="649" t="s">
        <v>26</v>
      </c>
      <c r="B1" s="649"/>
      <c r="C1" s="649"/>
      <c r="D1" s="649"/>
      <c r="E1" s="649"/>
      <c r="F1" s="649"/>
      <c r="G1" s="649"/>
      <c r="H1" s="649"/>
      <c r="I1" s="649"/>
      <c r="J1" s="649"/>
      <c r="K1" s="649"/>
      <c r="L1" s="649"/>
      <c r="M1" s="649"/>
      <c r="N1" s="649"/>
      <c r="O1" s="649"/>
      <c r="P1" s="649"/>
      <c r="Q1" s="649"/>
      <c r="R1" s="649"/>
    </row>
    <row r="2" spans="1:18">
      <c r="P2" s="650" t="s">
        <v>10</v>
      </c>
      <c r="Q2" s="650"/>
      <c r="R2" s="650"/>
    </row>
    <row r="3" spans="1:18" s="1" customFormat="1" ht="66.75" customHeight="1">
      <c r="A3" s="643" t="s">
        <v>0</v>
      </c>
      <c r="B3" s="644" t="s">
        <v>1</v>
      </c>
      <c r="C3" s="644" t="s">
        <v>11</v>
      </c>
      <c r="D3" s="643" t="s">
        <v>2</v>
      </c>
      <c r="E3" s="643"/>
      <c r="F3" s="643"/>
      <c r="G3" s="651" t="s">
        <v>13</v>
      </c>
      <c r="H3" s="652"/>
      <c r="I3" s="643" t="s">
        <v>14</v>
      </c>
      <c r="J3" s="643"/>
      <c r="K3" s="643"/>
      <c r="L3" s="643"/>
      <c r="M3" s="643"/>
      <c r="N3" s="643"/>
      <c r="O3" s="643"/>
      <c r="P3" s="643"/>
      <c r="Q3" s="643"/>
      <c r="R3" s="644" t="s">
        <v>8</v>
      </c>
    </row>
    <row r="4" spans="1:18" s="1" customFormat="1" ht="27.75" customHeight="1">
      <c r="A4" s="643"/>
      <c r="B4" s="645"/>
      <c r="C4" s="645"/>
      <c r="D4" s="648" t="s">
        <v>3</v>
      </c>
      <c r="E4" s="643" t="s">
        <v>5</v>
      </c>
      <c r="F4" s="643"/>
      <c r="G4" s="647" t="str">
        <f>E5</f>
        <v>Tổng số (tất cả các nguồn vốn)</v>
      </c>
      <c r="H4" s="647" t="str">
        <f>F5</f>
        <v>Trong đó: NSĐP</v>
      </c>
      <c r="I4" s="648" t="str">
        <f>E5</f>
        <v>Tổng số (tất cả các nguồn vốn)</v>
      </c>
      <c r="J4" s="643" t="str">
        <f>H4</f>
        <v>Trong đó: NSĐP</v>
      </c>
      <c r="K4" s="643"/>
      <c r="L4" s="643"/>
      <c r="M4" s="648" t="s">
        <v>17</v>
      </c>
      <c r="N4" s="648"/>
      <c r="O4" s="648"/>
      <c r="P4" s="648"/>
      <c r="Q4" s="648"/>
      <c r="R4" s="645"/>
    </row>
    <row r="5" spans="1:18" s="1" customFormat="1">
      <c r="A5" s="643"/>
      <c r="B5" s="645"/>
      <c r="C5" s="645"/>
      <c r="D5" s="648"/>
      <c r="E5" s="648" t="s">
        <v>4</v>
      </c>
      <c r="F5" s="648" t="s">
        <v>12</v>
      </c>
      <c r="G5" s="647"/>
      <c r="H5" s="647"/>
      <c r="I5" s="648"/>
      <c r="J5" s="644" t="s">
        <v>6</v>
      </c>
      <c r="K5" s="643" t="s">
        <v>15</v>
      </c>
      <c r="L5" s="643"/>
      <c r="M5" s="648" t="s">
        <v>18</v>
      </c>
      <c r="N5" s="648" t="s">
        <v>19</v>
      </c>
      <c r="O5" s="648" t="s">
        <v>20</v>
      </c>
      <c r="P5" s="648" t="s">
        <v>21</v>
      </c>
      <c r="Q5" s="648" t="s">
        <v>22</v>
      </c>
      <c r="R5" s="645"/>
    </row>
    <row r="6" spans="1:18" s="1" customFormat="1" ht="78.75" customHeight="1">
      <c r="A6" s="643"/>
      <c r="B6" s="646"/>
      <c r="C6" s="646"/>
      <c r="D6" s="648"/>
      <c r="E6" s="648"/>
      <c r="F6" s="648"/>
      <c r="G6" s="647"/>
      <c r="H6" s="647"/>
      <c r="I6" s="648"/>
      <c r="J6" s="646"/>
      <c r="K6" s="4" t="s">
        <v>16</v>
      </c>
      <c r="L6" s="4" t="s">
        <v>7</v>
      </c>
      <c r="M6" s="648"/>
      <c r="N6" s="648"/>
      <c r="O6" s="648"/>
      <c r="P6" s="648"/>
      <c r="Q6" s="648"/>
      <c r="R6" s="646"/>
    </row>
    <row r="7" spans="1:18" s="1" customFormat="1" ht="21.75" customHeight="1">
      <c r="A7" s="2"/>
      <c r="B7" s="3" t="s">
        <v>9</v>
      </c>
      <c r="C7" s="3"/>
      <c r="D7" s="2"/>
      <c r="E7" s="5"/>
      <c r="F7" s="5"/>
      <c r="G7" s="5"/>
      <c r="H7" s="5"/>
      <c r="I7" s="5">
        <f>I8</f>
        <v>125336</v>
      </c>
      <c r="J7" s="5">
        <f>J8</f>
        <v>125336</v>
      </c>
      <c r="K7" s="5"/>
      <c r="L7" s="5"/>
      <c r="M7" s="5">
        <f>M8</f>
        <v>22234</v>
      </c>
      <c r="N7" s="5">
        <f>N8</f>
        <v>24705</v>
      </c>
      <c r="O7" s="5"/>
      <c r="P7" s="5"/>
      <c r="Q7" s="5"/>
      <c r="R7" s="2"/>
    </row>
    <row r="8" spans="1:18" s="1" customFormat="1" ht="39.75" customHeight="1">
      <c r="A8" s="6" t="s">
        <v>23</v>
      </c>
      <c r="B8" s="7" t="s">
        <v>24</v>
      </c>
      <c r="C8" s="3"/>
      <c r="D8" s="2"/>
      <c r="E8" s="5"/>
      <c r="F8" s="5"/>
      <c r="G8" s="5"/>
      <c r="H8" s="5"/>
      <c r="I8" s="5">
        <v>125336</v>
      </c>
      <c r="J8" s="5">
        <f>I8</f>
        <v>125336</v>
      </c>
      <c r="K8" s="5"/>
      <c r="L8" s="2"/>
      <c r="M8" s="5">
        <v>22234</v>
      </c>
      <c r="N8" s="5">
        <v>24705</v>
      </c>
      <c r="O8" s="640" t="s">
        <v>25</v>
      </c>
      <c r="P8" s="641"/>
      <c r="Q8" s="642"/>
      <c r="R8" s="2"/>
    </row>
    <row r="10" spans="1:18">
      <c r="I10" s="11">
        <f>J7-M7-N7</f>
        <v>78397</v>
      </c>
    </row>
  </sheetData>
  <mergeCells count="26">
    <mergeCell ref="R3:R6"/>
    <mergeCell ref="A1:R1"/>
    <mergeCell ref="P2:R2"/>
    <mergeCell ref="J4:L4"/>
    <mergeCell ref="K5:L5"/>
    <mergeCell ref="M4:Q4"/>
    <mergeCell ref="M5:M6"/>
    <mergeCell ref="N5:N6"/>
    <mergeCell ref="O5:O6"/>
    <mergeCell ref="P5:P6"/>
    <mergeCell ref="Q5:Q6"/>
    <mergeCell ref="J5:J6"/>
    <mergeCell ref="C3:C6"/>
    <mergeCell ref="G3:H3"/>
    <mergeCell ref="G4:G6"/>
    <mergeCell ref="O8:Q8"/>
    <mergeCell ref="A3:A6"/>
    <mergeCell ref="B3:B6"/>
    <mergeCell ref="D3:F3"/>
    <mergeCell ref="H4:H6"/>
    <mergeCell ref="I3:Q3"/>
    <mergeCell ref="I4:I6"/>
    <mergeCell ref="D4:D6"/>
    <mergeCell ref="E4:F4"/>
    <mergeCell ref="E5:E6"/>
    <mergeCell ref="F5:F6"/>
  </mergeCells>
  <pageMargins left="0.39370078740157483" right="0" top="0.39370078740157483" bottom="0.39370078740157483" header="0.31496062992125984" footer="0.31496062992125984"/>
  <pageSetup paperSize="9" scale="90"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FFFF00"/>
    <pageSetUpPr fitToPage="1"/>
  </sheetPr>
  <dimension ref="A1:V340"/>
  <sheetViews>
    <sheetView showZeros="0" zoomScale="55" zoomScaleNormal="55" zoomScaleSheetLayoutView="55" workbookViewId="0">
      <selection activeCell="Y15" sqref="Y15"/>
    </sheetView>
  </sheetViews>
  <sheetFormatPr defaultRowHeight="15.6"/>
  <cols>
    <col min="1" max="1" width="6.19921875" style="384" customWidth="1"/>
    <col min="2" max="2" width="53.19921875" style="388" customWidth="1"/>
    <col min="3" max="3" width="16.19921875" style="465" customWidth="1"/>
    <col min="4" max="5" width="11.69921875" style="465" customWidth="1"/>
    <col min="6" max="8" width="11.69921875" style="389" hidden="1" customWidth="1"/>
    <col min="9" max="13" width="12.8984375" style="389" customWidth="1"/>
    <col min="14" max="14" width="12.8984375" style="389" hidden="1" customWidth="1"/>
    <col min="15" max="15" width="18.59765625" style="386" customWidth="1"/>
    <col min="16" max="21" width="12.69921875" style="159" customWidth="1"/>
    <col min="22" max="22" width="18.09765625" style="430" customWidth="1"/>
    <col min="23" max="34" width="9" style="159" customWidth="1"/>
    <col min="35" max="232" width="9" style="159"/>
    <col min="233" max="233" width="6.19921875" style="159" customWidth="1"/>
    <col min="234" max="234" width="40.3984375" style="159" customWidth="1"/>
    <col min="235" max="235" width="12.5" style="159" customWidth="1"/>
    <col min="236" max="248" width="0" style="159" hidden="1" customWidth="1"/>
    <col min="249" max="250" width="16" style="159" customWidth="1"/>
    <col min="251" max="252" width="13.8984375" style="159" customWidth="1"/>
    <col min="253" max="253" width="11.09765625" style="159" customWidth="1"/>
    <col min="254" max="254" width="11.19921875" style="159" customWidth="1"/>
    <col min="255" max="255" width="11.69921875" style="159" bestFit="1" customWidth="1"/>
    <col min="256" max="488" width="9" style="159"/>
    <col min="489" max="489" width="6.19921875" style="159" customWidth="1"/>
    <col min="490" max="490" width="40.3984375" style="159" customWidth="1"/>
    <col min="491" max="491" width="12.5" style="159" customWidth="1"/>
    <col min="492" max="504" width="0" style="159" hidden="1" customWidth="1"/>
    <col min="505" max="506" width="16" style="159" customWidth="1"/>
    <col min="507" max="508" width="13.8984375" style="159" customWidth="1"/>
    <col min="509" max="509" width="11.09765625" style="159" customWidth="1"/>
    <col min="510" max="510" width="11.19921875" style="159" customWidth="1"/>
    <col min="511" max="511" width="11.69921875" style="159" bestFit="1" customWidth="1"/>
    <col min="512" max="744" width="9" style="159"/>
    <col min="745" max="745" width="6.19921875" style="159" customWidth="1"/>
    <col min="746" max="746" width="40.3984375" style="159" customWidth="1"/>
    <col min="747" max="747" width="12.5" style="159" customWidth="1"/>
    <col min="748" max="760" width="0" style="159" hidden="1" customWidth="1"/>
    <col min="761" max="762" width="16" style="159" customWidth="1"/>
    <col min="763" max="764" width="13.8984375" style="159" customWidth="1"/>
    <col min="765" max="765" width="11.09765625" style="159" customWidth="1"/>
    <col min="766" max="766" width="11.19921875" style="159" customWidth="1"/>
    <col min="767" max="767" width="11.69921875" style="159" bestFit="1" customWidth="1"/>
    <col min="768" max="1000" width="9" style="159"/>
    <col min="1001" max="1001" width="6.19921875" style="159" customWidth="1"/>
    <col min="1002" max="1002" width="40.3984375" style="159" customWidth="1"/>
    <col min="1003" max="1003" width="12.5" style="159" customWidth="1"/>
    <col min="1004" max="1016" width="0" style="159" hidden="1" customWidth="1"/>
    <col min="1017" max="1018" width="16" style="159" customWidth="1"/>
    <col min="1019" max="1020" width="13.8984375" style="159" customWidth="1"/>
    <col min="1021" max="1021" width="11.09765625" style="159" customWidth="1"/>
    <col min="1022" max="1022" width="11.19921875" style="159" customWidth="1"/>
    <col min="1023" max="1023" width="11.69921875" style="159" bestFit="1" customWidth="1"/>
    <col min="1024" max="1256" width="9" style="159"/>
    <col min="1257" max="1257" width="6.19921875" style="159" customWidth="1"/>
    <col min="1258" max="1258" width="40.3984375" style="159" customWidth="1"/>
    <col min="1259" max="1259" width="12.5" style="159" customWidth="1"/>
    <col min="1260" max="1272" width="0" style="159" hidden="1" customWidth="1"/>
    <col min="1273" max="1274" width="16" style="159" customWidth="1"/>
    <col min="1275" max="1276" width="13.8984375" style="159" customWidth="1"/>
    <col min="1277" max="1277" width="11.09765625" style="159" customWidth="1"/>
    <col min="1278" max="1278" width="11.19921875" style="159" customWidth="1"/>
    <col min="1279" max="1279" width="11.69921875" style="159" bestFit="1" customWidth="1"/>
    <col min="1280" max="1512" width="9" style="159"/>
    <col min="1513" max="1513" width="6.19921875" style="159" customWidth="1"/>
    <col min="1514" max="1514" width="40.3984375" style="159" customWidth="1"/>
    <col min="1515" max="1515" width="12.5" style="159" customWidth="1"/>
    <col min="1516" max="1528" width="0" style="159" hidden="1" customWidth="1"/>
    <col min="1529" max="1530" width="16" style="159" customWidth="1"/>
    <col min="1531" max="1532" width="13.8984375" style="159" customWidth="1"/>
    <col min="1533" max="1533" width="11.09765625" style="159" customWidth="1"/>
    <col min="1534" max="1534" width="11.19921875" style="159" customWidth="1"/>
    <col min="1535" max="1535" width="11.69921875" style="159" bestFit="1" customWidth="1"/>
    <col min="1536" max="1768" width="9" style="159"/>
    <col min="1769" max="1769" width="6.19921875" style="159" customWidth="1"/>
    <col min="1770" max="1770" width="40.3984375" style="159" customWidth="1"/>
    <col min="1771" max="1771" width="12.5" style="159" customWidth="1"/>
    <col min="1772" max="1784" width="0" style="159" hidden="1" customWidth="1"/>
    <col min="1785" max="1786" width="16" style="159" customWidth="1"/>
    <col min="1787" max="1788" width="13.8984375" style="159" customWidth="1"/>
    <col min="1789" max="1789" width="11.09765625" style="159" customWidth="1"/>
    <col min="1790" max="1790" width="11.19921875" style="159" customWidth="1"/>
    <col min="1791" max="1791" width="11.69921875" style="159" bestFit="1" customWidth="1"/>
    <col min="1792" max="2024" width="9" style="159"/>
    <col min="2025" max="2025" width="6.19921875" style="159" customWidth="1"/>
    <col min="2026" max="2026" width="40.3984375" style="159" customWidth="1"/>
    <col min="2027" max="2027" width="12.5" style="159" customWidth="1"/>
    <col min="2028" max="2040" width="0" style="159" hidden="1" customWidth="1"/>
    <col min="2041" max="2042" width="16" style="159" customWidth="1"/>
    <col min="2043" max="2044" width="13.8984375" style="159" customWidth="1"/>
    <col min="2045" max="2045" width="11.09765625" style="159" customWidth="1"/>
    <col min="2046" max="2046" width="11.19921875" style="159" customWidth="1"/>
    <col min="2047" max="2047" width="11.69921875" style="159" bestFit="1" customWidth="1"/>
    <col min="2048" max="2280" width="9" style="159"/>
    <col min="2281" max="2281" width="6.19921875" style="159" customWidth="1"/>
    <col min="2282" max="2282" width="40.3984375" style="159" customWidth="1"/>
    <col min="2283" max="2283" width="12.5" style="159" customWidth="1"/>
    <col min="2284" max="2296" width="0" style="159" hidden="1" customWidth="1"/>
    <col min="2297" max="2298" width="16" style="159" customWidth="1"/>
    <col min="2299" max="2300" width="13.8984375" style="159" customWidth="1"/>
    <col min="2301" max="2301" width="11.09765625" style="159" customWidth="1"/>
    <col min="2302" max="2302" width="11.19921875" style="159" customWidth="1"/>
    <col min="2303" max="2303" width="11.69921875" style="159" bestFit="1" customWidth="1"/>
    <col min="2304" max="2536" width="9" style="159"/>
    <col min="2537" max="2537" width="6.19921875" style="159" customWidth="1"/>
    <col min="2538" max="2538" width="40.3984375" style="159" customWidth="1"/>
    <col min="2539" max="2539" width="12.5" style="159" customWidth="1"/>
    <col min="2540" max="2552" width="0" style="159" hidden="1" customWidth="1"/>
    <col min="2553" max="2554" width="16" style="159" customWidth="1"/>
    <col min="2555" max="2556" width="13.8984375" style="159" customWidth="1"/>
    <col min="2557" max="2557" width="11.09765625" style="159" customWidth="1"/>
    <col min="2558" max="2558" width="11.19921875" style="159" customWidth="1"/>
    <col min="2559" max="2559" width="11.69921875" style="159" bestFit="1" customWidth="1"/>
    <col min="2560" max="2792" width="9" style="159"/>
    <col min="2793" max="2793" width="6.19921875" style="159" customWidth="1"/>
    <col min="2794" max="2794" width="40.3984375" style="159" customWidth="1"/>
    <col min="2795" max="2795" width="12.5" style="159" customWidth="1"/>
    <col min="2796" max="2808" width="0" style="159" hidden="1" customWidth="1"/>
    <col min="2809" max="2810" width="16" style="159" customWidth="1"/>
    <col min="2811" max="2812" width="13.8984375" style="159" customWidth="1"/>
    <col min="2813" max="2813" width="11.09765625" style="159" customWidth="1"/>
    <col min="2814" max="2814" width="11.19921875" style="159" customWidth="1"/>
    <col min="2815" max="2815" width="11.69921875" style="159" bestFit="1" customWidth="1"/>
    <col min="2816" max="3048" width="9" style="159"/>
    <col min="3049" max="3049" width="6.19921875" style="159" customWidth="1"/>
    <col min="3050" max="3050" width="40.3984375" style="159" customWidth="1"/>
    <col min="3051" max="3051" width="12.5" style="159" customWidth="1"/>
    <col min="3052" max="3064" width="0" style="159" hidden="1" customWidth="1"/>
    <col min="3065" max="3066" width="16" style="159" customWidth="1"/>
    <col min="3067" max="3068" width="13.8984375" style="159" customWidth="1"/>
    <col min="3069" max="3069" width="11.09765625" style="159" customWidth="1"/>
    <col min="3070" max="3070" width="11.19921875" style="159" customWidth="1"/>
    <col min="3071" max="3071" width="11.69921875" style="159" bestFit="1" customWidth="1"/>
    <col min="3072" max="3304" width="9" style="159"/>
    <col min="3305" max="3305" width="6.19921875" style="159" customWidth="1"/>
    <col min="3306" max="3306" width="40.3984375" style="159" customWidth="1"/>
    <col min="3307" max="3307" width="12.5" style="159" customWidth="1"/>
    <col min="3308" max="3320" width="0" style="159" hidden="1" customWidth="1"/>
    <col min="3321" max="3322" width="16" style="159" customWidth="1"/>
    <col min="3323" max="3324" width="13.8984375" style="159" customWidth="1"/>
    <col min="3325" max="3325" width="11.09765625" style="159" customWidth="1"/>
    <col min="3326" max="3326" width="11.19921875" style="159" customWidth="1"/>
    <col min="3327" max="3327" width="11.69921875" style="159" bestFit="1" customWidth="1"/>
    <col min="3328" max="3560" width="9" style="159"/>
    <col min="3561" max="3561" width="6.19921875" style="159" customWidth="1"/>
    <col min="3562" max="3562" width="40.3984375" style="159" customWidth="1"/>
    <col min="3563" max="3563" width="12.5" style="159" customWidth="1"/>
    <col min="3564" max="3576" width="0" style="159" hidden="1" customWidth="1"/>
    <col min="3577" max="3578" width="16" style="159" customWidth="1"/>
    <col min="3579" max="3580" width="13.8984375" style="159" customWidth="1"/>
    <col min="3581" max="3581" width="11.09765625" style="159" customWidth="1"/>
    <col min="3582" max="3582" width="11.19921875" style="159" customWidth="1"/>
    <col min="3583" max="3583" width="11.69921875" style="159" bestFit="1" customWidth="1"/>
    <col min="3584" max="3816" width="9" style="159"/>
    <col min="3817" max="3817" width="6.19921875" style="159" customWidth="1"/>
    <col min="3818" max="3818" width="40.3984375" style="159" customWidth="1"/>
    <col min="3819" max="3819" width="12.5" style="159" customWidth="1"/>
    <col min="3820" max="3832" width="0" style="159" hidden="1" customWidth="1"/>
    <col min="3833" max="3834" width="16" style="159" customWidth="1"/>
    <col min="3835" max="3836" width="13.8984375" style="159" customWidth="1"/>
    <col min="3837" max="3837" width="11.09765625" style="159" customWidth="1"/>
    <col min="3838" max="3838" width="11.19921875" style="159" customWidth="1"/>
    <col min="3839" max="3839" width="11.69921875" style="159" bestFit="1" customWidth="1"/>
    <col min="3840" max="4072" width="9" style="159"/>
    <col min="4073" max="4073" width="6.19921875" style="159" customWidth="1"/>
    <col min="4074" max="4074" width="40.3984375" style="159" customWidth="1"/>
    <col min="4075" max="4075" width="12.5" style="159" customWidth="1"/>
    <col min="4076" max="4088" width="0" style="159" hidden="1" customWidth="1"/>
    <col min="4089" max="4090" width="16" style="159" customWidth="1"/>
    <col min="4091" max="4092" width="13.8984375" style="159" customWidth="1"/>
    <col min="4093" max="4093" width="11.09765625" style="159" customWidth="1"/>
    <col min="4094" max="4094" width="11.19921875" style="159" customWidth="1"/>
    <col min="4095" max="4095" width="11.69921875" style="159" bestFit="1" customWidth="1"/>
    <col min="4096" max="4328" width="9" style="159"/>
    <col min="4329" max="4329" width="6.19921875" style="159" customWidth="1"/>
    <col min="4330" max="4330" width="40.3984375" style="159" customWidth="1"/>
    <col min="4331" max="4331" width="12.5" style="159" customWidth="1"/>
    <col min="4332" max="4344" width="0" style="159" hidden="1" customWidth="1"/>
    <col min="4345" max="4346" width="16" style="159" customWidth="1"/>
    <col min="4347" max="4348" width="13.8984375" style="159" customWidth="1"/>
    <col min="4349" max="4349" width="11.09765625" style="159" customWidth="1"/>
    <col min="4350" max="4350" width="11.19921875" style="159" customWidth="1"/>
    <col min="4351" max="4351" width="11.69921875" style="159" bestFit="1" customWidth="1"/>
    <col min="4352" max="4584" width="9" style="159"/>
    <col min="4585" max="4585" width="6.19921875" style="159" customWidth="1"/>
    <col min="4586" max="4586" width="40.3984375" style="159" customWidth="1"/>
    <col min="4587" max="4587" width="12.5" style="159" customWidth="1"/>
    <col min="4588" max="4600" width="0" style="159" hidden="1" customWidth="1"/>
    <col min="4601" max="4602" width="16" style="159" customWidth="1"/>
    <col min="4603" max="4604" width="13.8984375" style="159" customWidth="1"/>
    <col min="4605" max="4605" width="11.09765625" style="159" customWidth="1"/>
    <col min="4606" max="4606" width="11.19921875" style="159" customWidth="1"/>
    <col min="4607" max="4607" width="11.69921875" style="159" bestFit="1" customWidth="1"/>
    <col min="4608" max="4840" width="9" style="159"/>
    <col min="4841" max="4841" width="6.19921875" style="159" customWidth="1"/>
    <col min="4842" max="4842" width="40.3984375" style="159" customWidth="1"/>
    <col min="4843" max="4843" width="12.5" style="159" customWidth="1"/>
    <col min="4844" max="4856" width="0" style="159" hidden="1" customWidth="1"/>
    <col min="4857" max="4858" width="16" style="159" customWidth="1"/>
    <col min="4859" max="4860" width="13.8984375" style="159" customWidth="1"/>
    <col min="4861" max="4861" width="11.09765625" style="159" customWidth="1"/>
    <col min="4862" max="4862" width="11.19921875" style="159" customWidth="1"/>
    <col min="4863" max="4863" width="11.69921875" style="159" bestFit="1" customWidth="1"/>
    <col min="4864" max="5096" width="9" style="159"/>
    <col min="5097" max="5097" width="6.19921875" style="159" customWidth="1"/>
    <col min="5098" max="5098" width="40.3984375" style="159" customWidth="1"/>
    <col min="5099" max="5099" width="12.5" style="159" customWidth="1"/>
    <col min="5100" max="5112" width="0" style="159" hidden="1" customWidth="1"/>
    <col min="5113" max="5114" width="16" style="159" customWidth="1"/>
    <col min="5115" max="5116" width="13.8984375" style="159" customWidth="1"/>
    <col min="5117" max="5117" width="11.09765625" style="159" customWidth="1"/>
    <col min="5118" max="5118" width="11.19921875" style="159" customWidth="1"/>
    <col min="5119" max="5119" width="11.69921875" style="159" bestFit="1" customWidth="1"/>
    <col min="5120" max="5352" width="9" style="159"/>
    <col min="5353" max="5353" width="6.19921875" style="159" customWidth="1"/>
    <col min="5354" max="5354" width="40.3984375" style="159" customWidth="1"/>
    <col min="5355" max="5355" width="12.5" style="159" customWidth="1"/>
    <col min="5356" max="5368" width="0" style="159" hidden="1" customWidth="1"/>
    <col min="5369" max="5370" width="16" style="159" customWidth="1"/>
    <col min="5371" max="5372" width="13.8984375" style="159" customWidth="1"/>
    <col min="5373" max="5373" width="11.09765625" style="159" customWidth="1"/>
    <col min="5374" max="5374" width="11.19921875" style="159" customWidth="1"/>
    <col min="5375" max="5375" width="11.69921875" style="159" bestFit="1" customWidth="1"/>
    <col min="5376" max="5608" width="9" style="159"/>
    <col min="5609" max="5609" width="6.19921875" style="159" customWidth="1"/>
    <col min="5610" max="5610" width="40.3984375" style="159" customWidth="1"/>
    <col min="5611" max="5611" width="12.5" style="159" customWidth="1"/>
    <col min="5612" max="5624" width="0" style="159" hidden="1" customWidth="1"/>
    <col min="5625" max="5626" width="16" style="159" customWidth="1"/>
    <col min="5627" max="5628" width="13.8984375" style="159" customWidth="1"/>
    <col min="5629" max="5629" width="11.09765625" style="159" customWidth="1"/>
    <col min="5630" max="5630" width="11.19921875" style="159" customWidth="1"/>
    <col min="5631" max="5631" width="11.69921875" style="159" bestFit="1" customWidth="1"/>
    <col min="5632" max="5864" width="9" style="159"/>
    <col min="5865" max="5865" width="6.19921875" style="159" customWidth="1"/>
    <col min="5866" max="5866" width="40.3984375" style="159" customWidth="1"/>
    <col min="5867" max="5867" width="12.5" style="159" customWidth="1"/>
    <col min="5868" max="5880" width="0" style="159" hidden="1" customWidth="1"/>
    <col min="5881" max="5882" width="16" style="159" customWidth="1"/>
    <col min="5883" max="5884" width="13.8984375" style="159" customWidth="1"/>
    <col min="5885" max="5885" width="11.09765625" style="159" customWidth="1"/>
    <col min="5886" max="5886" width="11.19921875" style="159" customWidth="1"/>
    <col min="5887" max="5887" width="11.69921875" style="159" bestFit="1" customWidth="1"/>
    <col min="5888" max="6120" width="9" style="159"/>
    <col min="6121" max="6121" width="6.19921875" style="159" customWidth="1"/>
    <col min="6122" max="6122" width="40.3984375" style="159" customWidth="1"/>
    <col min="6123" max="6123" width="12.5" style="159" customWidth="1"/>
    <col min="6124" max="6136" width="0" style="159" hidden="1" customWidth="1"/>
    <col min="6137" max="6138" width="16" style="159" customWidth="1"/>
    <col min="6139" max="6140" width="13.8984375" style="159" customWidth="1"/>
    <col min="6141" max="6141" width="11.09765625" style="159" customWidth="1"/>
    <col min="6142" max="6142" width="11.19921875" style="159" customWidth="1"/>
    <col min="6143" max="6143" width="11.69921875" style="159" bestFit="1" customWidth="1"/>
    <col min="6144" max="6376" width="9" style="159"/>
    <col min="6377" max="6377" width="6.19921875" style="159" customWidth="1"/>
    <col min="6378" max="6378" width="40.3984375" style="159" customWidth="1"/>
    <col min="6379" max="6379" width="12.5" style="159" customWidth="1"/>
    <col min="6380" max="6392" width="0" style="159" hidden="1" customWidth="1"/>
    <col min="6393" max="6394" width="16" style="159" customWidth="1"/>
    <col min="6395" max="6396" width="13.8984375" style="159" customWidth="1"/>
    <col min="6397" max="6397" width="11.09765625" style="159" customWidth="1"/>
    <col min="6398" max="6398" width="11.19921875" style="159" customWidth="1"/>
    <col min="6399" max="6399" width="11.69921875" style="159" bestFit="1" customWidth="1"/>
    <col min="6400" max="6632" width="9" style="159"/>
    <col min="6633" max="6633" width="6.19921875" style="159" customWidth="1"/>
    <col min="6634" max="6634" width="40.3984375" style="159" customWidth="1"/>
    <col min="6635" max="6635" width="12.5" style="159" customWidth="1"/>
    <col min="6636" max="6648" width="0" style="159" hidden="1" customWidth="1"/>
    <col min="6649" max="6650" width="16" style="159" customWidth="1"/>
    <col min="6651" max="6652" width="13.8984375" style="159" customWidth="1"/>
    <col min="6653" max="6653" width="11.09765625" style="159" customWidth="1"/>
    <col min="6654" max="6654" width="11.19921875" style="159" customWidth="1"/>
    <col min="6655" max="6655" width="11.69921875" style="159" bestFit="1" customWidth="1"/>
    <col min="6656" max="6888" width="9" style="159"/>
    <col min="6889" max="6889" width="6.19921875" style="159" customWidth="1"/>
    <col min="6890" max="6890" width="40.3984375" style="159" customWidth="1"/>
    <col min="6891" max="6891" width="12.5" style="159" customWidth="1"/>
    <col min="6892" max="6904" width="0" style="159" hidden="1" customWidth="1"/>
    <col min="6905" max="6906" width="16" style="159" customWidth="1"/>
    <col min="6907" max="6908" width="13.8984375" style="159" customWidth="1"/>
    <col min="6909" max="6909" width="11.09765625" style="159" customWidth="1"/>
    <col min="6910" max="6910" width="11.19921875" style="159" customWidth="1"/>
    <col min="6911" max="6911" width="11.69921875" style="159" bestFit="1" customWidth="1"/>
    <col min="6912" max="7144" width="9" style="159"/>
    <col min="7145" max="7145" width="6.19921875" style="159" customWidth="1"/>
    <col min="7146" max="7146" width="40.3984375" style="159" customWidth="1"/>
    <col min="7147" max="7147" width="12.5" style="159" customWidth="1"/>
    <col min="7148" max="7160" width="0" style="159" hidden="1" customWidth="1"/>
    <col min="7161" max="7162" width="16" style="159" customWidth="1"/>
    <col min="7163" max="7164" width="13.8984375" style="159" customWidth="1"/>
    <col min="7165" max="7165" width="11.09765625" style="159" customWidth="1"/>
    <col min="7166" max="7166" width="11.19921875" style="159" customWidth="1"/>
    <col min="7167" max="7167" width="11.69921875" style="159" bestFit="1" customWidth="1"/>
    <col min="7168" max="7400" width="9" style="159"/>
    <col min="7401" max="7401" width="6.19921875" style="159" customWidth="1"/>
    <col min="7402" max="7402" width="40.3984375" style="159" customWidth="1"/>
    <col min="7403" max="7403" width="12.5" style="159" customWidth="1"/>
    <col min="7404" max="7416" width="0" style="159" hidden="1" customWidth="1"/>
    <col min="7417" max="7418" width="16" style="159" customWidth="1"/>
    <col min="7419" max="7420" width="13.8984375" style="159" customWidth="1"/>
    <col min="7421" max="7421" width="11.09765625" style="159" customWidth="1"/>
    <col min="7422" max="7422" width="11.19921875" style="159" customWidth="1"/>
    <col min="7423" max="7423" width="11.69921875" style="159" bestFit="1" customWidth="1"/>
    <col min="7424" max="7656" width="9" style="159"/>
    <col min="7657" max="7657" width="6.19921875" style="159" customWidth="1"/>
    <col min="7658" max="7658" width="40.3984375" style="159" customWidth="1"/>
    <col min="7659" max="7659" width="12.5" style="159" customWidth="1"/>
    <col min="7660" max="7672" width="0" style="159" hidden="1" customWidth="1"/>
    <col min="7673" max="7674" width="16" style="159" customWidth="1"/>
    <col min="7675" max="7676" width="13.8984375" style="159" customWidth="1"/>
    <col min="7677" max="7677" width="11.09765625" style="159" customWidth="1"/>
    <col min="7678" max="7678" width="11.19921875" style="159" customWidth="1"/>
    <col min="7679" max="7679" width="11.69921875" style="159" bestFit="1" customWidth="1"/>
    <col min="7680" max="7912" width="9" style="159"/>
    <col min="7913" max="7913" width="6.19921875" style="159" customWidth="1"/>
    <col min="7914" max="7914" width="40.3984375" style="159" customWidth="1"/>
    <col min="7915" max="7915" width="12.5" style="159" customWidth="1"/>
    <col min="7916" max="7928" width="0" style="159" hidden="1" customWidth="1"/>
    <col min="7929" max="7930" width="16" style="159" customWidth="1"/>
    <col min="7931" max="7932" width="13.8984375" style="159" customWidth="1"/>
    <col min="7933" max="7933" width="11.09765625" style="159" customWidth="1"/>
    <col min="7934" max="7934" width="11.19921875" style="159" customWidth="1"/>
    <col min="7935" max="7935" width="11.69921875" style="159" bestFit="1" customWidth="1"/>
    <col min="7936" max="8168" width="9" style="159"/>
    <col min="8169" max="8169" width="6.19921875" style="159" customWidth="1"/>
    <col min="8170" max="8170" width="40.3984375" style="159" customWidth="1"/>
    <col min="8171" max="8171" width="12.5" style="159" customWidth="1"/>
    <col min="8172" max="8184" width="0" style="159" hidden="1" customWidth="1"/>
    <col min="8185" max="8186" width="16" style="159" customWidth="1"/>
    <col min="8187" max="8188" width="13.8984375" style="159" customWidth="1"/>
    <col min="8189" max="8189" width="11.09765625" style="159" customWidth="1"/>
    <col min="8190" max="8190" width="11.19921875" style="159" customWidth="1"/>
    <col min="8191" max="8191" width="11.69921875" style="159" bestFit="1" customWidth="1"/>
    <col min="8192" max="8424" width="9" style="159"/>
    <col min="8425" max="8425" width="6.19921875" style="159" customWidth="1"/>
    <col min="8426" max="8426" width="40.3984375" style="159" customWidth="1"/>
    <col min="8427" max="8427" width="12.5" style="159" customWidth="1"/>
    <col min="8428" max="8440" width="0" style="159" hidden="1" customWidth="1"/>
    <col min="8441" max="8442" width="16" style="159" customWidth="1"/>
    <col min="8443" max="8444" width="13.8984375" style="159" customWidth="1"/>
    <col min="8445" max="8445" width="11.09765625" style="159" customWidth="1"/>
    <col min="8446" max="8446" width="11.19921875" style="159" customWidth="1"/>
    <col min="8447" max="8447" width="11.69921875" style="159" bestFit="1" customWidth="1"/>
    <col min="8448" max="8680" width="9" style="159"/>
    <col min="8681" max="8681" width="6.19921875" style="159" customWidth="1"/>
    <col min="8682" max="8682" width="40.3984375" style="159" customWidth="1"/>
    <col min="8683" max="8683" width="12.5" style="159" customWidth="1"/>
    <col min="8684" max="8696" width="0" style="159" hidden="1" customWidth="1"/>
    <col min="8697" max="8698" width="16" style="159" customWidth="1"/>
    <col min="8699" max="8700" width="13.8984375" style="159" customWidth="1"/>
    <col min="8701" max="8701" width="11.09765625" style="159" customWidth="1"/>
    <col min="8702" max="8702" width="11.19921875" style="159" customWidth="1"/>
    <col min="8703" max="8703" width="11.69921875" style="159" bestFit="1" customWidth="1"/>
    <col min="8704" max="8936" width="9" style="159"/>
    <col min="8937" max="8937" width="6.19921875" style="159" customWidth="1"/>
    <col min="8938" max="8938" width="40.3984375" style="159" customWidth="1"/>
    <col min="8939" max="8939" width="12.5" style="159" customWidth="1"/>
    <col min="8940" max="8952" width="0" style="159" hidden="1" customWidth="1"/>
    <col min="8953" max="8954" width="16" style="159" customWidth="1"/>
    <col min="8955" max="8956" width="13.8984375" style="159" customWidth="1"/>
    <col min="8957" max="8957" width="11.09765625" style="159" customWidth="1"/>
    <col min="8958" max="8958" width="11.19921875" style="159" customWidth="1"/>
    <col min="8959" max="8959" width="11.69921875" style="159" bestFit="1" customWidth="1"/>
    <col min="8960" max="9192" width="9" style="159"/>
    <col min="9193" max="9193" width="6.19921875" style="159" customWidth="1"/>
    <col min="9194" max="9194" width="40.3984375" style="159" customWidth="1"/>
    <col min="9195" max="9195" width="12.5" style="159" customWidth="1"/>
    <col min="9196" max="9208" width="0" style="159" hidden="1" customWidth="1"/>
    <col min="9209" max="9210" width="16" style="159" customWidth="1"/>
    <col min="9211" max="9212" width="13.8984375" style="159" customWidth="1"/>
    <col min="9213" max="9213" width="11.09765625" style="159" customWidth="1"/>
    <col min="9214" max="9214" width="11.19921875" style="159" customWidth="1"/>
    <col min="9215" max="9215" width="11.69921875" style="159" bestFit="1" customWidth="1"/>
    <col min="9216" max="9448" width="9" style="159"/>
    <col min="9449" max="9449" width="6.19921875" style="159" customWidth="1"/>
    <col min="9450" max="9450" width="40.3984375" style="159" customWidth="1"/>
    <col min="9451" max="9451" width="12.5" style="159" customWidth="1"/>
    <col min="9452" max="9464" width="0" style="159" hidden="1" customWidth="1"/>
    <col min="9465" max="9466" width="16" style="159" customWidth="1"/>
    <col min="9467" max="9468" width="13.8984375" style="159" customWidth="1"/>
    <col min="9469" max="9469" width="11.09765625" style="159" customWidth="1"/>
    <col min="9470" max="9470" width="11.19921875" style="159" customWidth="1"/>
    <col min="9471" max="9471" width="11.69921875" style="159" bestFit="1" customWidth="1"/>
    <col min="9472" max="9704" width="9" style="159"/>
    <col min="9705" max="9705" width="6.19921875" style="159" customWidth="1"/>
    <col min="9706" max="9706" width="40.3984375" style="159" customWidth="1"/>
    <col min="9707" max="9707" width="12.5" style="159" customWidth="1"/>
    <col min="9708" max="9720" width="0" style="159" hidden="1" customWidth="1"/>
    <col min="9721" max="9722" width="16" style="159" customWidth="1"/>
    <col min="9723" max="9724" width="13.8984375" style="159" customWidth="1"/>
    <col min="9725" max="9725" width="11.09765625" style="159" customWidth="1"/>
    <col min="9726" max="9726" width="11.19921875" style="159" customWidth="1"/>
    <col min="9727" max="9727" width="11.69921875" style="159" bestFit="1" customWidth="1"/>
    <col min="9728" max="9960" width="9" style="159"/>
    <col min="9961" max="9961" width="6.19921875" style="159" customWidth="1"/>
    <col min="9962" max="9962" width="40.3984375" style="159" customWidth="1"/>
    <col min="9963" max="9963" width="12.5" style="159" customWidth="1"/>
    <col min="9964" max="9976" width="0" style="159" hidden="1" customWidth="1"/>
    <col min="9977" max="9978" width="16" style="159" customWidth="1"/>
    <col min="9979" max="9980" width="13.8984375" style="159" customWidth="1"/>
    <col min="9981" max="9981" width="11.09765625" style="159" customWidth="1"/>
    <col min="9982" max="9982" width="11.19921875" style="159" customWidth="1"/>
    <col min="9983" max="9983" width="11.69921875" style="159" bestFit="1" customWidth="1"/>
    <col min="9984" max="10216" width="9" style="159"/>
    <col min="10217" max="10217" width="6.19921875" style="159" customWidth="1"/>
    <col min="10218" max="10218" width="40.3984375" style="159" customWidth="1"/>
    <col min="10219" max="10219" width="12.5" style="159" customWidth="1"/>
    <col min="10220" max="10232" width="0" style="159" hidden="1" customWidth="1"/>
    <col min="10233" max="10234" width="16" style="159" customWidth="1"/>
    <col min="10235" max="10236" width="13.8984375" style="159" customWidth="1"/>
    <col min="10237" max="10237" width="11.09765625" style="159" customWidth="1"/>
    <col min="10238" max="10238" width="11.19921875" style="159" customWidth="1"/>
    <col min="10239" max="10239" width="11.69921875" style="159" bestFit="1" customWidth="1"/>
    <col min="10240" max="10472" width="9" style="159"/>
    <col min="10473" max="10473" width="6.19921875" style="159" customWidth="1"/>
    <col min="10474" max="10474" width="40.3984375" style="159" customWidth="1"/>
    <col min="10475" max="10475" width="12.5" style="159" customWidth="1"/>
    <col min="10476" max="10488" width="0" style="159" hidden="1" customWidth="1"/>
    <col min="10489" max="10490" width="16" style="159" customWidth="1"/>
    <col min="10491" max="10492" width="13.8984375" style="159" customWidth="1"/>
    <col min="10493" max="10493" width="11.09765625" style="159" customWidth="1"/>
    <col min="10494" max="10494" width="11.19921875" style="159" customWidth="1"/>
    <col min="10495" max="10495" width="11.69921875" style="159" bestFit="1" customWidth="1"/>
    <col min="10496" max="10728" width="9" style="159"/>
    <col min="10729" max="10729" width="6.19921875" style="159" customWidth="1"/>
    <col min="10730" max="10730" width="40.3984375" style="159" customWidth="1"/>
    <col min="10731" max="10731" width="12.5" style="159" customWidth="1"/>
    <col min="10732" max="10744" width="0" style="159" hidden="1" customWidth="1"/>
    <col min="10745" max="10746" width="16" style="159" customWidth="1"/>
    <col min="10747" max="10748" width="13.8984375" style="159" customWidth="1"/>
    <col min="10749" max="10749" width="11.09765625" style="159" customWidth="1"/>
    <col min="10750" max="10750" width="11.19921875" style="159" customWidth="1"/>
    <col min="10751" max="10751" width="11.69921875" style="159" bestFit="1" customWidth="1"/>
    <col min="10752" max="10984" width="9" style="159"/>
    <col min="10985" max="10985" width="6.19921875" style="159" customWidth="1"/>
    <col min="10986" max="10986" width="40.3984375" style="159" customWidth="1"/>
    <col min="10987" max="10987" width="12.5" style="159" customWidth="1"/>
    <col min="10988" max="11000" width="0" style="159" hidden="1" customWidth="1"/>
    <col min="11001" max="11002" width="16" style="159" customWidth="1"/>
    <col min="11003" max="11004" width="13.8984375" style="159" customWidth="1"/>
    <col min="11005" max="11005" width="11.09765625" style="159" customWidth="1"/>
    <col min="11006" max="11006" width="11.19921875" style="159" customWidth="1"/>
    <col min="11007" max="11007" width="11.69921875" style="159" bestFit="1" customWidth="1"/>
    <col min="11008" max="11240" width="9" style="159"/>
    <col min="11241" max="11241" width="6.19921875" style="159" customWidth="1"/>
    <col min="11242" max="11242" width="40.3984375" style="159" customWidth="1"/>
    <col min="11243" max="11243" width="12.5" style="159" customWidth="1"/>
    <col min="11244" max="11256" width="0" style="159" hidden="1" customWidth="1"/>
    <col min="11257" max="11258" width="16" style="159" customWidth="1"/>
    <col min="11259" max="11260" width="13.8984375" style="159" customWidth="1"/>
    <col min="11261" max="11261" width="11.09765625" style="159" customWidth="1"/>
    <col min="11262" max="11262" width="11.19921875" style="159" customWidth="1"/>
    <col min="11263" max="11263" width="11.69921875" style="159" bestFit="1" customWidth="1"/>
    <col min="11264" max="11496" width="9" style="159"/>
    <col min="11497" max="11497" width="6.19921875" style="159" customWidth="1"/>
    <col min="11498" max="11498" width="40.3984375" style="159" customWidth="1"/>
    <col min="11499" max="11499" width="12.5" style="159" customWidth="1"/>
    <col min="11500" max="11512" width="0" style="159" hidden="1" customWidth="1"/>
    <col min="11513" max="11514" width="16" style="159" customWidth="1"/>
    <col min="11515" max="11516" width="13.8984375" style="159" customWidth="1"/>
    <col min="11517" max="11517" width="11.09765625" style="159" customWidth="1"/>
    <col min="11518" max="11518" width="11.19921875" style="159" customWidth="1"/>
    <col min="11519" max="11519" width="11.69921875" style="159" bestFit="1" customWidth="1"/>
    <col min="11520" max="11752" width="9" style="159"/>
    <col min="11753" max="11753" width="6.19921875" style="159" customWidth="1"/>
    <col min="11754" max="11754" width="40.3984375" style="159" customWidth="1"/>
    <col min="11755" max="11755" width="12.5" style="159" customWidth="1"/>
    <col min="11756" max="11768" width="0" style="159" hidden="1" customWidth="1"/>
    <col min="11769" max="11770" width="16" style="159" customWidth="1"/>
    <col min="11771" max="11772" width="13.8984375" style="159" customWidth="1"/>
    <col min="11773" max="11773" width="11.09765625" style="159" customWidth="1"/>
    <col min="11774" max="11774" width="11.19921875" style="159" customWidth="1"/>
    <col min="11775" max="11775" width="11.69921875" style="159" bestFit="1" customWidth="1"/>
    <col min="11776" max="12008" width="9" style="159"/>
    <col min="12009" max="12009" width="6.19921875" style="159" customWidth="1"/>
    <col min="12010" max="12010" width="40.3984375" style="159" customWidth="1"/>
    <col min="12011" max="12011" width="12.5" style="159" customWidth="1"/>
    <col min="12012" max="12024" width="0" style="159" hidden="1" customWidth="1"/>
    <col min="12025" max="12026" width="16" style="159" customWidth="1"/>
    <col min="12027" max="12028" width="13.8984375" style="159" customWidth="1"/>
    <col min="12029" max="12029" width="11.09765625" style="159" customWidth="1"/>
    <col min="12030" max="12030" width="11.19921875" style="159" customWidth="1"/>
    <col min="12031" max="12031" width="11.69921875" style="159" bestFit="1" customWidth="1"/>
    <col min="12032" max="12264" width="9" style="159"/>
    <col min="12265" max="12265" width="6.19921875" style="159" customWidth="1"/>
    <col min="12266" max="12266" width="40.3984375" style="159" customWidth="1"/>
    <col min="12267" max="12267" width="12.5" style="159" customWidth="1"/>
    <col min="12268" max="12280" width="0" style="159" hidden="1" customWidth="1"/>
    <col min="12281" max="12282" width="16" style="159" customWidth="1"/>
    <col min="12283" max="12284" width="13.8984375" style="159" customWidth="1"/>
    <col min="12285" max="12285" width="11.09765625" style="159" customWidth="1"/>
    <col min="12286" max="12286" width="11.19921875" style="159" customWidth="1"/>
    <col min="12287" max="12287" width="11.69921875" style="159" bestFit="1" customWidth="1"/>
    <col min="12288" max="12520" width="9" style="159"/>
    <col min="12521" max="12521" width="6.19921875" style="159" customWidth="1"/>
    <col min="12522" max="12522" width="40.3984375" style="159" customWidth="1"/>
    <col min="12523" max="12523" width="12.5" style="159" customWidth="1"/>
    <col min="12524" max="12536" width="0" style="159" hidden="1" customWidth="1"/>
    <col min="12537" max="12538" width="16" style="159" customWidth="1"/>
    <col min="12539" max="12540" width="13.8984375" style="159" customWidth="1"/>
    <col min="12541" max="12541" width="11.09765625" style="159" customWidth="1"/>
    <col min="12542" max="12542" width="11.19921875" style="159" customWidth="1"/>
    <col min="12543" max="12543" width="11.69921875" style="159" bestFit="1" customWidth="1"/>
    <col min="12544" max="12776" width="9" style="159"/>
    <col min="12777" max="12777" width="6.19921875" style="159" customWidth="1"/>
    <col min="12778" max="12778" width="40.3984375" style="159" customWidth="1"/>
    <col min="12779" max="12779" width="12.5" style="159" customWidth="1"/>
    <col min="12780" max="12792" width="0" style="159" hidden="1" customWidth="1"/>
    <col min="12793" max="12794" width="16" style="159" customWidth="1"/>
    <col min="12795" max="12796" width="13.8984375" style="159" customWidth="1"/>
    <col min="12797" max="12797" width="11.09765625" style="159" customWidth="1"/>
    <col min="12798" max="12798" width="11.19921875" style="159" customWidth="1"/>
    <col min="12799" max="12799" width="11.69921875" style="159" bestFit="1" customWidth="1"/>
    <col min="12800" max="13032" width="9" style="159"/>
    <col min="13033" max="13033" width="6.19921875" style="159" customWidth="1"/>
    <col min="13034" max="13034" width="40.3984375" style="159" customWidth="1"/>
    <col min="13035" max="13035" width="12.5" style="159" customWidth="1"/>
    <col min="13036" max="13048" width="0" style="159" hidden="1" customWidth="1"/>
    <col min="13049" max="13050" width="16" style="159" customWidth="1"/>
    <col min="13051" max="13052" width="13.8984375" style="159" customWidth="1"/>
    <col min="13053" max="13053" width="11.09765625" style="159" customWidth="1"/>
    <col min="13054" max="13054" width="11.19921875" style="159" customWidth="1"/>
    <col min="13055" max="13055" width="11.69921875" style="159" bestFit="1" customWidth="1"/>
    <col min="13056" max="13288" width="9" style="159"/>
    <col min="13289" max="13289" width="6.19921875" style="159" customWidth="1"/>
    <col min="13290" max="13290" width="40.3984375" style="159" customWidth="1"/>
    <col min="13291" max="13291" width="12.5" style="159" customWidth="1"/>
    <col min="13292" max="13304" width="0" style="159" hidden="1" customWidth="1"/>
    <col min="13305" max="13306" width="16" style="159" customWidth="1"/>
    <col min="13307" max="13308" width="13.8984375" style="159" customWidth="1"/>
    <col min="13309" max="13309" width="11.09765625" style="159" customWidth="1"/>
    <col min="13310" max="13310" width="11.19921875" style="159" customWidth="1"/>
    <col min="13311" max="13311" width="11.69921875" style="159" bestFit="1" customWidth="1"/>
    <col min="13312" max="13544" width="9" style="159"/>
    <col min="13545" max="13545" width="6.19921875" style="159" customWidth="1"/>
    <col min="13546" max="13546" width="40.3984375" style="159" customWidth="1"/>
    <col min="13547" max="13547" width="12.5" style="159" customWidth="1"/>
    <col min="13548" max="13560" width="0" style="159" hidden="1" customWidth="1"/>
    <col min="13561" max="13562" width="16" style="159" customWidth="1"/>
    <col min="13563" max="13564" width="13.8984375" style="159" customWidth="1"/>
    <col min="13565" max="13565" width="11.09765625" style="159" customWidth="1"/>
    <col min="13566" max="13566" width="11.19921875" style="159" customWidth="1"/>
    <col min="13567" max="13567" width="11.69921875" style="159" bestFit="1" customWidth="1"/>
    <col min="13568" max="13800" width="9" style="159"/>
    <col min="13801" max="13801" width="6.19921875" style="159" customWidth="1"/>
    <col min="13802" max="13802" width="40.3984375" style="159" customWidth="1"/>
    <col min="13803" max="13803" width="12.5" style="159" customWidth="1"/>
    <col min="13804" max="13816" width="0" style="159" hidden="1" customWidth="1"/>
    <col min="13817" max="13818" width="16" style="159" customWidth="1"/>
    <col min="13819" max="13820" width="13.8984375" style="159" customWidth="1"/>
    <col min="13821" max="13821" width="11.09765625" style="159" customWidth="1"/>
    <col min="13822" max="13822" width="11.19921875" style="159" customWidth="1"/>
    <col min="13823" max="13823" width="11.69921875" style="159" bestFit="1" customWidth="1"/>
    <col min="13824" max="14056" width="9" style="159"/>
    <col min="14057" max="14057" width="6.19921875" style="159" customWidth="1"/>
    <col min="14058" max="14058" width="40.3984375" style="159" customWidth="1"/>
    <col min="14059" max="14059" width="12.5" style="159" customWidth="1"/>
    <col min="14060" max="14072" width="0" style="159" hidden="1" customWidth="1"/>
    <col min="14073" max="14074" width="16" style="159" customWidth="1"/>
    <col min="14075" max="14076" width="13.8984375" style="159" customWidth="1"/>
    <col min="14077" max="14077" width="11.09765625" style="159" customWidth="1"/>
    <col min="14078" max="14078" width="11.19921875" style="159" customWidth="1"/>
    <col min="14079" max="14079" width="11.69921875" style="159" bestFit="1" customWidth="1"/>
    <col min="14080" max="14312" width="9" style="159"/>
    <col min="14313" max="14313" width="6.19921875" style="159" customWidth="1"/>
    <col min="14314" max="14314" width="40.3984375" style="159" customWidth="1"/>
    <col min="14315" max="14315" width="12.5" style="159" customWidth="1"/>
    <col min="14316" max="14328" width="0" style="159" hidden="1" customWidth="1"/>
    <col min="14329" max="14330" width="16" style="159" customWidth="1"/>
    <col min="14331" max="14332" width="13.8984375" style="159" customWidth="1"/>
    <col min="14333" max="14333" width="11.09765625" style="159" customWidth="1"/>
    <col min="14334" max="14334" width="11.19921875" style="159" customWidth="1"/>
    <col min="14335" max="14335" width="11.69921875" style="159" bestFit="1" customWidth="1"/>
    <col min="14336" max="14568" width="9" style="159"/>
    <col min="14569" max="14569" width="6.19921875" style="159" customWidth="1"/>
    <col min="14570" max="14570" width="40.3984375" style="159" customWidth="1"/>
    <col min="14571" max="14571" width="12.5" style="159" customWidth="1"/>
    <col min="14572" max="14584" width="0" style="159" hidden="1" customWidth="1"/>
    <col min="14585" max="14586" width="16" style="159" customWidth="1"/>
    <col min="14587" max="14588" width="13.8984375" style="159" customWidth="1"/>
    <col min="14589" max="14589" width="11.09765625" style="159" customWidth="1"/>
    <col min="14590" max="14590" width="11.19921875" style="159" customWidth="1"/>
    <col min="14591" max="14591" width="11.69921875" style="159" bestFit="1" customWidth="1"/>
    <col min="14592" max="14824" width="9" style="159"/>
    <col min="14825" max="14825" width="6.19921875" style="159" customWidth="1"/>
    <col min="14826" max="14826" width="40.3984375" style="159" customWidth="1"/>
    <col min="14827" max="14827" width="12.5" style="159" customWidth="1"/>
    <col min="14828" max="14840" width="0" style="159" hidden="1" customWidth="1"/>
    <col min="14841" max="14842" width="16" style="159" customWidth="1"/>
    <col min="14843" max="14844" width="13.8984375" style="159" customWidth="1"/>
    <col min="14845" max="14845" width="11.09765625" style="159" customWidth="1"/>
    <col min="14846" max="14846" width="11.19921875" style="159" customWidth="1"/>
    <col min="14847" max="14847" width="11.69921875" style="159" bestFit="1" customWidth="1"/>
    <col min="14848" max="15080" width="9" style="159"/>
    <col min="15081" max="15081" width="6.19921875" style="159" customWidth="1"/>
    <col min="15082" max="15082" width="40.3984375" style="159" customWidth="1"/>
    <col min="15083" max="15083" width="12.5" style="159" customWidth="1"/>
    <col min="15084" max="15096" width="0" style="159" hidden="1" customWidth="1"/>
    <col min="15097" max="15098" width="16" style="159" customWidth="1"/>
    <col min="15099" max="15100" width="13.8984375" style="159" customWidth="1"/>
    <col min="15101" max="15101" width="11.09765625" style="159" customWidth="1"/>
    <col min="15102" max="15102" width="11.19921875" style="159" customWidth="1"/>
    <col min="15103" max="15103" width="11.69921875" style="159" bestFit="1" customWidth="1"/>
    <col min="15104" max="15336" width="9" style="159"/>
    <col min="15337" max="15337" width="6.19921875" style="159" customWidth="1"/>
    <col min="15338" max="15338" width="40.3984375" style="159" customWidth="1"/>
    <col min="15339" max="15339" width="12.5" style="159" customWidth="1"/>
    <col min="15340" max="15352" width="0" style="159" hidden="1" customWidth="1"/>
    <col min="15353" max="15354" width="16" style="159" customWidth="1"/>
    <col min="15355" max="15356" width="13.8984375" style="159" customWidth="1"/>
    <col min="15357" max="15357" width="11.09765625" style="159" customWidth="1"/>
    <col min="15358" max="15358" width="11.19921875" style="159" customWidth="1"/>
    <col min="15359" max="15359" width="11.69921875" style="159" bestFit="1" customWidth="1"/>
    <col min="15360" max="15592" width="9" style="159"/>
    <col min="15593" max="15593" width="6.19921875" style="159" customWidth="1"/>
    <col min="15594" max="15594" width="40.3984375" style="159" customWidth="1"/>
    <col min="15595" max="15595" width="12.5" style="159" customWidth="1"/>
    <col min="15596" max="15608" width="0" style="159" hidden="1" customWidth="1"/>
    <col min="15609" max="15610" width="16" style="159" customWidth="1"/>
    <col min="15611" max="15612" width="13.8984375" style="159" customWidth="1"/>
    <col min="15613" max="15613" width="11.09765625" style="159" customWidth="1"/>
    <col min="15614" max="15614" width="11.19921875" style="159" customWidth="1"/>
    <col min="15615" max="15615" width="11.69921875" style="159" bestFit="1" customWidth="1"/>
    <col min="15616" max="15848" width="9" style="159"/>
    <col min="15849" max="15849" width="6.19921875" style="159" customWidth="1"/>
    <col min="15850" max="15850" width="40.3984375" style="159" customWidth="1"/>
    <col min="15851" max="15851" width="12.5" style="159" customWidth="1"/>
    <col min="15852" max="15864" width="0" style="159" hidden="1" customWidth="1"/>
    <col min="15865" max="15866" width="16" style="159" customWidth="1"/>
    <col min="15867" max="15868" width="13.8984375" style="159" customWidth="1"/>
    <col min="15869" max="15869" width="11.09765625" style="159" customWidth="1"/>
    <col min="15870" max="15870" width="11.19921875" style="159" customWidth="1"/>
    <col min="15871" max="15871" width="11.69921875" style="159" bestFit="1" customWidth="1"/>
    <col min="15872" max="16104" width="9" style="159"/>
    <col min="16105" max="16105" width="6.19921875" style="159" customWidth="1"/>
    <col min="16106" max="16106" width="40.3984375" style="159" customWidth="1"/>
    <col min="16107" max="16107" width="12.5" style="159" customWidth="1"/>
    <col min="16108" max="16120" width="0" style="159" hidden="1" customWidth="1"/>
    <col min="16121" max="16122" width="16" style="159" customWidth="1"/>
    <col min="16123" max="16124" width="13.8984375" style="159" customWidth="1"/>
    <col min="16125" max="16125" width="11.09765625" style="159" customWidth="1"/>
    <col min="16126" max="16126" width="11.19921875" style="159" customWidth="1"/>
    <col min="16127" max="16127" width="11.69921875" style="159" bestFit="1" customWidth="1"/>
    <col min="16128" max="16384" width="9" style="159"/>
  </cols>
  <sheetData>
    <row r="1" spans="1:22" ht="27.75" customHeight="1">
      <c r="A1" s="12" t="s">
        <v>479</v>
      </c>
      <c r="B1" s="24"/>
      <c r="C1" s="24"/>
      <c r="D1" s="24"/>
      <c r="E1" s="24"/>
      <c r="F1" s="24"/>
      <c r="G1" s="24"/>
      <c r="H1" s="24"/>
      <c r="I1" s="24"/>
      <c r="J1" s="24"/>
      <c r="K1" s="24"/>
      <c r="L1" s="24"/>
      <c r="M1" s="24"/>
      <c r="N1" s="24"/>
      <c r="O1" s="24"/>
    </row>
    <row r="2" spans="1:22" ht="31.5" customHeight="1">
      <c r="A2" s="661" t="s">
        <v>364</v>
      </c>
      <c r="B2" s="661"/>
      <c r="C2" s="661"/>
      <c r="D2" s="661"/>
      <c r="E2" s="661"/>
      <c r="F2" s="661"/>
      <c r="G2" s="661"/>
      <c r="H2" s="661"/>
      <c r="I2" s="661"/>
      <c r="J2" s="661"/>
      <c r="K2" s="661"/>
      <c r="L2" s="661"/>
      <c r="M2" s="661"/>
      <c r="N2" s="661"/>
      <c r="O2" s="661"/>
    </row>
    <row r="3" spans="1:22">
      <c r="A3" s="662" t="str">
        <f>'BIỂU TH'!A3:J3</f>
        <v>(Kèm theo Báo cáo số 899/BC-UBND, ngày 28 háng 11 năm 2022 của UBND huyện Tuần Giáo)</v>
      </c>
      <c r="B3" s="662"/>
      <c r="C3" s="662"/>
      <c r="D3" s="662"/>
      <c r="E3" s="662"/>
      <c r="F3" s="662"/>
      <c r="G3" s="662"/>
      <c r="H3" s="662"/>
      <c r="I3" s="662"/>
      <c r="J3" s="662"/>
      <c r="K3" s="662"/>
      <c r="L3" s="662"/>
      <c r="M3" s="662"/>
      <c r="N3" s="662"/>
      <c r="O3" s="662"/>
    </row>
    <row r="4" spans="1:22" ht="36.75" customHeight="1">
      <c r="A4" s="663" t="s">
        <v>44</v>
      </c>
      <c r="B4" s="663"/>
      <c r="C4" s="663"/>
      <c r="D4" s="663"/>
      <c r="E4" s="663"/>
      <c r="F4" s="663"/>
      <c r="G4" s="663"/>
      <c r="H4" s="663"/>
      <c r="I4" s="663"/>
      <c r="J4" s="663"/>
      <c r="K4" s="663"/>
      <c r="L4" s="663"/>
      <c r="M4" s="663"/>
      <c r="N4" s="663"/>
      <c r="O4" s="663"/>
    </row>
    <row r="5" spans="1:22" s="160" customFormat="1" ht="33.75" customHeight="1">
      <c r="A5" s="664" t="s">
        <v>49</v>
      </c>
      <c r="B5" s="665" t="s">
        <v>1</v>
      </c>
      <c r="C5" s="665" t="s">
        <v>27</v>
      </c>
      <c r="D5" s="665" t="s">
        <v>87</v>
      </c>
      <c r="E5" s="667" t="s">
        <v>45</v>
      </c>
      <c r="F5" s="669"/>
      <c r="G5" s="669"/>
      <c r="H5" s="668"/>
      <c r="I5" s="667" t="s">
        <v>81</v>
      </c>
      <c r="J5" s="668"/>
      <c r="K5" s="665" t="s">
        <v>82</v>
      </c>
      <c r="L5" s="665"/>
      <c r="M5" s="658" t="s">
        <v>286</v>
      </c>
      <c r="N5" s="658" t="s">
        <v>245</v>
      </c>
      <c r="O5" s="658" t="s">
        <v>8</v>
      </c>
      <c r="V5" s="637"/>
    </row>
    <row r="6" spans="1:22" s="160" customFormat="1" ht="48.75" customHeight="1">
      <c r="A6" s="664"/>
      <c r="B6" s="665"/>
      <c r="C6" s="665"/>
      <c r="D6" s="665"/>
      <c r="E6" s="670"/>
      <c r="F6" s="671"/>
      <c r="G6" s="671"/>
      <c r="H6" s="672"/>
      <c r="I6" s="462" t="s">
        <v>19</v>
      </c>
      <c r="J6" s="462" t="s">
        <v>85</v>
      </c>
      <c r="K6" s="462" t="s">
        <v>19</v>
      </c>
      <c r="L6" s="462" t="s">
        <v>362</v>
      </c>
      <c r="M6" s="659"/>
      <c r="N6" s="659"/>
      <c r="O6" s="659"/>
      <c r="V6" s="637"/>
    </row>
    <row r="7" spans="1:22" s="370" customFormat="1" ht="25.5" customHeight="1">
      <c r="A7" s="371">
        <v>1</v>
      </c>
      <c r="B7" s="372">
        <v>2</v>
      </c>
      <c r="C7" s="371">
        <v>3</v>
      </c>
      <c r="D7" s="372">
        <v>4</v>
      </c>
      <c r="E7" s="372">
        <v>5</v>
      </c>
      <c r="F7" s="509" t="s">
        <v>491</v>
      </c>
      <c r="G7" s="509" t="s">
        <v>492</v>
      </c>
      <c r="H7" s="509" t="s">
        <v>495</v>
      </c>
      <c r="I7" s="372">
        <v>6</v>
      </c>
      <c r="J7" s="371">
        <v>7</v>
      </c>
      <c r="K7" s="372">
        <v>8</v>
      </c>
      <c r="L7" s="371">
        <v>9</v>
      </c>
      <c r="M7" s="372">
        <v>10</v>
      </c>
      <c r="N7" s="372">
        <v>11</v>
      </c>
      <c r="O7" s="372">
        <v>12</v>
      </c>
      <c r="V7" s="638"/>
    </row>
    <row r="8" spans="1:22" ht="25.5" customHeight="1">
      <c r="A8" s="467"/>
      <c r="B8" s="229" t="s">
        <v>54</v>
      </c>
      <c r="C8" s="28"/>
      <c r="D8" s="94">
        <f>D9+D13</f>
        <v>337367.283</v>
      </c>
      <c r="E8" s="94">
        <f>E9+E13</f>
        <v>40856.391000000003</v>
      </c>
      <c r="F8" s="94">
        <f t="shared" ref="F8:N8" si="0">F9+F13</f>
        <v>35463</v>
      </c>
      <c r="G8" s="94">
        <f t="shared" si="0"/>
        <v>4081.3910000000005</v>
      </c>
      <c r="H8" s="94">
        <f t="shared" si="0"/>
        <v>1312</v>
      </c>
      <c r="I8" s="94">
        <f t="shared" si="0"/>
        <v>32319.965</v>
      </c>
      <c r="J8" s="94">
        <f t="shared" si="0"/>
        <v>178081.96799999999</v>
      </c>
      <c r="K8" s="94">
        <f t="shared" si="0"/>
        <v>40540.310000000005</v>
      </c>
      <c r="L8" s="94">
        <f>L9+L13</f>
        <v>170847.58199999999</v>
      </c>
      <c r="M8" s="94">
        <f t="shared" si="0"/>
        <v>40549.847000000009</v>
      </c>
      <c r="N8" s="94">
        <f t="shared" si="0"/>
        <v>49919</v>
      </c>
      <c r="O8" s="510"/>
      <c r="P8" s="159">
        <f t="shared" ref="P8:P26" si="1">+M8-K8</f>
        <v>9.5370000000038999</v>
      </c>
      <c r="Q8" s="159">
        <f t="shared" ref="Q8:Q26" si="2">+L8+P8</f>
        <v>170857.11900000001</v>
      </c>
      <c r="R8" s="159">
        <f t="shared" ref="R8:R26" si="3">+D8-Q8</f>
        <v>166510.16399999999</v>
      </c>
      <c r="S8" s="159">
        <f t="shared" ref="S8:S26" si="4">+E8-M8</f>
        <v>306.54399999999441</v>
      </c>
      <c r="T8" s="159">
        <f t="shared" ref="T8:T26" si="5">+J8-L8</f>
        <v>7234.3859999999986</v>
      </c>
      <c r="U8" s="159">
        <f>+J8-I8</f>
        <v>145762.003</v>
      </c>
      <c r="V8" s="430">
        <f>+L8-K8</f>
        <v>130307.272</v>
      </c>
    </row>
    <row r="9" spans="1:22" ht="25.5" customHeight="1">
      <c r="A9" s="467" t="s">
        <v>23</v>
      </c>
      <c r="B9" s="31" t="s">
        <v>192</v>
      </c>
      <c r="C9" s="28"/>
      <c r="D9" s="94">
        <f>SUM(D10:D12)</f>
        <v>144314</v>
      </c>
      <c r="E9" s="94">
        <f t="shared" ref="E9:N9" si="6">SUM(E10:E12)</f>
        <v>20006</v>
      </c>
      <c r="F9" s="94">
        <f t="shared" si="6"/>
        <v>18694</v>
      </c>
      <c r="G9" s="94">
        <f t="shared" si="6"/>
        <v>0</v>
      </c>
      <c r="H9" s="94">
        <f t="shared" si="6"/>
        <v>1312</v>
      </c>
      <c r="I9" s="94">
        <f t="shared" si="6"/>
        <v>18633.8</v>
      </c>
      <c r="J9" s="94">
        <f t="shared" si="6"/>
        <v>20261</v>
      </c>
      <c r="K9" s="94">
        <f t="shared" si="6"/>
        <v>19806</v>
      </c>
      <c r="L9" s="94">
        <f t="shared" si="6"/>
        <v>20261</v>
      </c>
      <c r="M9" s="94">
        <f t="shared" si="6"/>
        <v>19806</v>
      </c>
      <c r="N9" s="94">
        <f t="shared" si="6"/>
        <v>45012</v>
      </c>
      <c r="O9" s="510"/>
      <c r="P9" s="159">
        <f t="shared" si="1"/>
        <v>0</v>
      </c>
      <c r="Q9" s="159">
        <f t="shared" si="2"/>
        <v>20261</v>
      </c>
      <c r="R9" s="159">
        <f t="shared" si="3"/>
        <v>124053</v>
      </c>
      <c r="S9" s="159">
        <f t="shared" si="4"/>
        <v>200</v>
      </c>
      <c r="T9" s="159">
        <f t="shared" si="5"/>
        <v>0</v>
      </c>
      <c r="U9" s="159">
        <f t="shared" ref="U9:U26" si="7">+J9-I9</f>
        <v>1627.2000000000007</v>
      </c>
      <c r="V9" s="430">
        <f t="shared" ref="V9:V26" si="8">+L9-K9</f>
        <v>455</v>
      </c>
    </row>
    <row r="10" spans="1:22" s="158" customFormat="1" ht="25.5" customHeight="1">
      <c r="A10" s="13">
        <v>1</v>
      </c>
      <c r="B10" s="30" t="s">
        <v>193</v>
      </c>
      <c r="C10" s="14" t="s">
        <v>30</v>
      </c>
      <c r="D10" s="483">
        <v>45000</v>
      </c>
      <c r="E10" s="97">
        <f>F10+H10</f>
        <v>15000</v>
      </c>
      <c r="F10" s="97">
        <v>15000</v>
      </c>
      <c r="G10" s="97"/>
      <c r="H10" s="97"/>
      <c r="I10" s="508">
        <f>7100+3753.9+33.8+33.8+2906.3</f>
        <v>13827.8</v>
      </c>
      <c r="J10" s="508">
        <f>12548.7+2906.3</f>
        <v>15455</v>
      </c>
      <c r="K10" s="97">
        <f>E10</f>
        <v>15000</v>
      </c>
      <c r="L10" s="97">
        <f>K10+455</f>
        <v>15455</v>
      </c>
      <c r="M10" s="97">
        <v>15000</v>
      </c>
      <c r="N10" s="97">
        <v>20000</v>
      </c>
      <c r="O10" s="511"/>
      <c r="P10" s="159">
        <f t="shared" si="1"/>
        <v>0</v>
      </c>
      <c r="Q10" s="159">
        <f t="shared" si="2"/>
        <v>15455</v>
      </c>
      <c r="R10" s="159">
        <f t="shared" si="3"/>
        <v>29545</v>
      </c>
      <c r="S10" s="159">
        <f t="shared" si="4"/>
        <v>0</v>
      </c>
      <c r="T10" s="159">
        <f t="shared" si="5"/>
        <v>0</v>
      </c>
      <c r="U10" s="159">
        <f t="shared" si="7"/>
        <v>1627.2000000000007</v>
      </c>
      <c r="V10" s="430">
        <f t="shared" si="8"/>
        <v>455</v>
      </c>
    </row>
    <row r="11" spans="1:22" s="158" customFormat="1" ht="38.25" customHeight="1">
      <c r="A11" s="13">
        <v>2</v>
      </c>
      <c r="B11" s="30" t="s">
        <v>465</v>
      </c>
      <c r="C11" s="14" t="s">
        <v>467</v>
      </c>
      <c r="D11" s="483">
        <v>80000</v>
      </c>
      <c r="E11" s="97">
        <v>500</v>
      </c>
      <c r="F11" s="97"/>
      <c r="G11" s="97"/>
      <c r="H11" s="97">
        <v>500</v>
      </c>
      <c r="I11" s="508">
        <v>500</v>
      </c>
      <c r="J11" s="508">
        <v>500</v>
      </c>
      <c r="K11" s="97">
        <v>500</v>
      </c>
      <c r="L11" s="97">
        <v>500</v>
      </c>
      <c r="M11" s="97">
        <v>500</v>
      </c>
      <c r="N11" s="97">
        <v>20000</v>
      </c>
      <c r="O11" s="511"/>
      <c r="P11" s="159">
        <f t="shared" si="1"/>
        <v>0</v>
      </c>
      <c r="Q11" s="159">
        <f t="shared" si="2"/>
        <v>500</v>
      </c>
      <c r="R11" s="159">
        <f t="shared" si="3"/>
        <v>79500</v>
      </c>
      <c r="S11" s="159">
        <f t="shared" si="4"/>
        <v>0</v>
      </c>
      <c r="T11" s="159">
        <f t="shared" si="5"/>
        <v>0</v>
      </c>
      <c r="U11" s="159">
        <f t="shared" si="7"/>
        <v>0</v>
      </c>
      <c r="V11" s="430">
        <f t="shared" si="8"/>
        <v>0</v>
      </c>
    </row>
    <row r="12" spans="1:22" s="158" customFormat="1" ht="38.25" customHeight="1">
      <c r="A12" s="13">
        <v>3</v>
      </c>
      <c r="B12" s="30" t="s">
        <v>466</v>
      </c>
      <c r="C12" s="14"/>
      <c r="D12" s="512">
        <v>19314</v>
      </c>
      <c r="E12" s="97">
        <f>+F12+G12+H12</f>
        <v>4506</v>
      </c>
      <c r="F12" s="97">
        <v>3694</v>
      </c>
      <c r="G12" s="97"/>
      <c r="H12" s="97">
        <v>812</v>
      </c>
      <c r="I12" s="508">
        <v>4306</v>
      </c>
      <c r="J12" s="508">
        <f>I12</f>
        <v>4306</v>
      </c>
      <c r="K12" s="97">
        <f>J12</f>
        <v>4306</v>
      </c>
      <c r="L12" s="97">
        <f>K12</f>
        <v>4306</v>
      </c>
      <c r="M12" s="97">
        <f>L12</f>
        <v>4306</v>
      </c>
      <c r="N12" s="97">
        <v>5012</v>
      </c>
      <c r="O12" s="511"/>
      <c r="P12" s="159">
        <f t="shared" si="1"/>
        <v>0</v>
      </c>
      <c r="Q12" s="159">
        <f t="shared" si="2"/>
        <v>4306</v>
      </c>
      <c r="R12" s="159">
        <f t="shared" si="3"/>
        <v>15008</v>
      </c>
      <c r="S12" s="159">
        <f t="shared" si="4"/>
        <v>200</v>
      </c>
      <c r="T12" s="159">
        <f t="shared" si="5"/>
        <v>0</v>
      </c>
      <c r="U12" s="159">
        <f t="shared" si="7"/>
        <v>0</v>
      </c>
      <c r="V12" s="430">
        <f t="shared" si="8"/>
        <v>0</v>
      </c>
    </row>
    <row r="13" spans="1:22" ht="25.5" customHeight="1">
      <c r="A13" s="467" t="s">
        <v>46</v>
      </c>
      <c r="B13" s="31" t="s">
        <v>194</v>
      </c>
      <c r="C13" s="28"/>
      <c r="D13" s="94">
        <f>SUM(D14:D26)</f>
        <v>193053.283</v>
      </c>
      <c r="E13" s="94">
        <f t="shared" ref="E13:N13" si="9">SUM(E14:E26)</f>
        <v>20850.391000000007</v>
      </c>
      <c r="F13" s="94">
        <f t="shared" si="9"/>
        <v>16769</v>
      </c>
      <c r="G13" s="94">
        <f t="shared" si="9"/>
        <v>4081.3910000000005</v>
      </c>
      <c r="H13" s="94">
        <f t="shared" si="9"/>
        <v>0</v>
      </c>
      <c r="I13" s="94">
        <f t="shared" si="9"/>
        <v>13686.165000000001</v>
      </c>
      <c r="J13" s="94">
        <f t="shared" si="9"/>
        <v>157820.96799999999</v>
      </c>
      <c r="K13" s="94">
        <f t="shared" si="9"/>
        <v>20734.310000000005</v>
      </c>
      <c r="L13" s="94">
        <f t="shared" si="9"/>
        <v>150586.58199999999</v>
      </c>
      <c r="M13" s="513">
        <f t="shared" si="9"/>
        <v>20743.847000000005</v>
      </c>
      <c r="N13" s="94">
        <f t="shared" si="9"/>
        <v>4907</v>
      </c>
      <c r="O13" s="510"/>
      <c r="P13" s="159">
        <f t="shared" si="1"/>
        <v>9.5370000000002619</v>
      </c>
      <c r="Q13" s="159">
        <f t="shared" si="2"/>
        <v>150596.11900000001</v>
      </c>
      <c r="R13" s="159">
        <f t="shared" si="3"/>
        <v>42457.16399999999</v>
      </c>
      <c r="S13" s="159">
        <f t="shared" si="4"/>
        <v>106.54400000000169</v>
      </c>
      <c r="T13" s="159">
        <f t="shared" si="5"/>
        <v>7234.3859999999986</v>
      </c>
      <c r="U13" s="159">
        <f t="shared" si="7"/>
        <v>144134.80299999999</v>
      </c>
      <c r="V13" s="430">
        <f t="shared" si="8"/>
        <v>129852.272</v>
      </c>
    </row>
    <row r="14" spans="1:22" s="158" customFormat="1" ht="38.25" customHeight="1">
      <c r="A14" s="13">
        <v>1</v>
      </c>
      <c r="B14" s="482" t="s">
        <v>195</v>
      </c>
      <c r="C14" s="14" t="s">
        <v>35</v>
      </c>
      <c r="D14" s="483">
        <v>12000</v>
      </c>
      <c r="E14" s="97">
        <f>F14+H14</f>
        <v>6800</v>
      </c>
      <c r="F14" s="508">
        <v>6800</v>
      </c>
      <c r="G14" s="508"/>
      <c r="H14" s="508"/>
      <c r="I14" s="508"/>
      <c r="J14" s="508">
        <v>7000</v>
      </c>
      <c r="K14" s="508">
        <v>6800</v>
      </c>
      <c r="L14" s="508">
        <v>7000</v>
      </c>
      <c r="M14" s="508">
        <v>6800</v>
      </c>
      <c r="N14" s="508"/>
      <c r="O14" s="514"/>
      <c r="P14" s="159">
        <f t="shared" si="1"/>
        <v>0</v>
      </c>
      <c r="Q14" s="159">
        <f t="shared" si="2"/>
        <v>7000</v>
      </c>
      <c r="R14" s="159">
        <f t="shared" si="3"/>
        <v>5000</v>
      </c>
      <c r="S14" s="159">
        <f t="shared" si="4"/>
        <v>0</v>
      </c>
      <c r="T14" s="159">
        <f t="shared" si="5"/>
        <v>0</v>
      </c>
      <c r="U14" s="159">
        <f t="shared" si="7"/>
        <v>7000</v>
      </c>
      <c r="V14" s="430">
        <f t="shared" si="8"/>
        <v>200</v>
      </c>
    </row>
    <row r="15" spans="1:22" s="158" customFormat="1" ht="38.25" customHeight="1">
      <c r="A15" s="13">
        <v>2</v>
      </c>
      <c r="B15" s="482" t="s">
        <v>196</v>
      </c>
      <c r="C15" s="14" t="s">
        <v>38</v>
      </c>
      <c r="D15" s="483">
        <v>7500</v>
      </c>
      <c r="E15" s="97">
        <f>F15+H15</f>
        <v>2969</v>
      </c>
      <c r="F15" s="508">
        <v>2969</v>
      </c>
      <c r="G15" s="508"/>
      <c r="H15" s="508"/>
      <c r="I15" s="508">
        <v>4049.165</v>
      </c>
      <c r="J15" s="508">
        <v>7146.2479999999996</v>
      </c>
      <c r="K15" s="508">
        <v>2969</v>
      </c>
      <c r="L15" s="508">
        <v>2969</v>
      </c>
      <c r="M15" s="508">
        <v>2969</v>
      </c>
      <c r="N15" s="508">
        <v>1907</v>
      </c>
      <c r="O15" s="514"/>
      <c r="P15" s="159">
        <f t="shared" si="1"/>
        <v>0</v>
      </c>
      <c r="Q15" s="159">
        <f t="shared" si="2"/>
        <v>2969</v>
      </c>
      <c r="R15" s="159">
        <f t="shared" si="3"/>
        <v>4531</v>
      </c>
      <c r="S15" s="159">
        <f t="shared" si="4"/>
        <v>0</v>
      </c>
      <c r="T15" s="159">
        <f t="shared" si="5"/>
        <v>4177.2479999999996</v>
      </c>
      <c r="U15" s="159">
        <f t="shared" si="7"/>
        <v>3097.0829999999996</v>
      </c>
      <c r="V15" s="430">
        <f t="shared" si="8"/>
        <v>0</v>
      </c>
    </row>
    <row r="16" spans="1:22" s="158" customFormat="1" ht="38.25" customHeight="1">
      <c r="A16" s="13">
        <v>3</v>
      </c>
      <c r="B16" s="482" t="s">
        <v>197</v>
      </c>
      <c r="C16" s="14" t="s">
        <v>47</v>
      </c>
      <c r="D16" s="483">
        <v>14000</v>
      </c>
      <c r="E16" s="97">
        <f>F16+H16</f>
        <v>7000</v>
      </c>
      <c r="F16" s="508">
        <v>7000</v>
      </c>
      <c r="G16" s="508"/>
      <c r="H16" s="508"/>
      <c r="I16" s="508">
        <v>9637</v>
      </c>
      <c r="J16" s="508">
        <f>I16+520.138</f>
        <v>10157.138000000001</v>
      </c>
      <c r="K16" s="508">
        <f t="shared" ref="K16:K21" si="10">E16</f>
        <v>7000</v>
      </c>
      <c r="L16" s="508">
        <f>K16+100</f>
        <v>7100</v>
      </c>
      <c r="M16" s="508">
        <v>7000</v>
      </c>
      <c r="N16" s="508">
        <v>3000</v>
      </c>
      <c r="O16" s="514"/>
      <c r="P16" s="159">
        <f t="shared" si="1"/>
        <v>0</v>
      </c>
      <c r="Q16" s="159">
        <f t="shared" si="2"/>
        <v>7100</v>
      </c>
      <c r="R16" s="159">
        <f t="shared" si="3"/>
        <v>6900</v>
      </c>
      <c r="S16" s="159">
        <f t="shared" si="4"/>
        <v>0</v>
      </c>
      <c r="T16" s="159">
        <f t="shared" si="5"/>
        <v>3057.1380000000008</v>
      </c>
      <c r="U16" s="159">
        <f t="shared" si="7"/>
        <v>520.13800000000083</v>
      </c>
      <c r="V16" s="430">
        <f t="shared" si="8"/>
        <v>100</v>
      </c>
    </row>
    <row r="17" spans="1:22" s="158" customFormat="1" ht="51" customHeight="1">
      <c r="A17" s="13">
        <v>4</v>
      </c>
      <c r="B17" s="482" t="s">
        <v>204</v>
      </c>
      <c r="C17" s="14" t="s">
        <v>30</v>
      </c>
      <c r="D17" s="483">
        <v>4535</v>
      </c>
      <c r="E17" s="97">
        <f>F17+G17+H17</f>
        <v>233.768</v>
      </c>
      <c r="F17" s="483"/>
      <c r="G17" s="483">
        <v>233.768</v>
      </c>
      <c r="H17" s="483"/>
      <c r="I17" s="483"/>
      <c r="J17" s="508">
        <v>4137</v>
      </c>
      <c r="K17" s="508">
        <f t="shared" si="10"/>
        <v>233.768</v>
      </c>
      <c r="L17" s="508">
        <f t="shared" ref="L17:L22" si="11">J17</f>
        <v>4137</v>
      </c>
      <c r="M17" s="508">
        <v>233.768</v>
      </c>
      <c r="N17" s="508"/>
      <c r="O17" s="514" t="s">
        <v>477</v>
      </c>
      <c r="P17" s="159">
        <f t="shared" si="1"/>
        <v>0</v>
      </c>
      <c r="Q17" s="159">
        <f t="shared" si="2"/>
        <v>4137</v>
      </c>
      <c r="R17" s="159">
        <f t="shared" si="3"/>
        <v>398</v>
      </c>
      <c r="S17" s="159">
        <f t="shared" si="4"/>
        <v>0</v>
      </c>
      <c r="T17" s="159">
        <f t="shared" si="5"/>
        <v>0</v>
      </c>
      <c r="U17" s="159">
        <f t="shared" si="7"/>
        <v>4137</v>
      </c>
      <c r="V17" s="430">
        <f t="shared" si="8"/>
        <v>3903.232</v>
      </c>
    </row>
    <row r="18" spans="1:22" s="158" customFormat="1" ht="51" customHeight="1">
      <c r="A18" s="13">
        <v>5</v>
      </c>
      <c r="B18" s="482" t="s">
        <v>205</v>
      </c>
      <c r="C18" s="14" t="s">
        <v>42</v>
      </c>
      <c r="D18" s="483">
        <v>7300</v>
      </c>
      <c r="E18" s="97">
        <f t="shared" ref="E18:E26" si="12">F18+G18+H18</f>
        <v>34.366</v>
      </c>
      <c r="F18" s="483"/>
      <c r="G18" s="483">
        <v>34.366</v>
      </c>
      <c r="H18" s="483"/>
      <c r="I18" s="483"/>
      <c r="J18" s="508">
        <v>7003.9530000000004</v>
      </c>
      <c r="K18" s="508">
        <f t="shared" si="10"/>
        <v>34.366</v>
      </c>
      <c r="L18" s="508">
        <f t="shared" si="11"/>
        <v>7003.9530000000004</v>
      </c>
      <c r="M18" s="508">
        <v>34.366</v>
      </c>
      <c r="N18" s="508"/>
      <c r="O18" s="514" t="s">
        <v>477</v>
      </c>
      <c r="P18" s="159">
        <f t="shared" si="1"/>
        <v>0</v>
      </c>
      <c r="Q18" s="159">
        <f t="shared" si="2"/>
        <v>7003.9530000000004</v>
      </c>
      <c r="R18" s="159">
        <f t="shared" si="3"/>
        <v>296.04699999999957</v>
      </c>
      <c r="S18" s="159">
        <f t="shared" si="4"/>
        <v>0</v>
      </c>
      <c r="T18" s="159">
        <f t="shared" si="5"/>
        <v>0</v>
      </c>
      <c r="U18" s="159">
        <f t="shared" si="7"/>
        <v>7003.9530000000004</v>
      </c>
      <c r="V18" s="430">
        <f t="shared" si="8"/>
        <v>6969.5870000000004</v>
      </c>
    </row>
    <row r="19" spans="1:22" s="158" customFormat="1" ht="51" customHeight="1">
      <c r="A19" s="13">
        <v>6</v>
      </c>
      <c r="B19" s="482" t="s">
        <v>206</v>
      </c>
      <c r="C19" s="14" t="s">
        <v>214</v>
      </c>
      <c r="D19" s="483">
        <v>9200</v>
      </c>
      <c r="E19" s="97">
        <f t="shared" si="12"/>
        <v>322.64800000000002</v>
      </c>
      <c r="F19" s="483"/>
      <c r="G19" s="483">
        <v>322.64800000000002</v>
      </c>
      <c r="H19" s="483"/>
      <c r="I19" s="483"/>
      <c r="J19" s="508">
        <v>8500.8259999999991</v>
      </c>
      <c r="K19" s="508">
        <f t="shared" si="10"/>
        <v>322.64800000000002</v>
      </c>
      <c r="L19" s="508">
        <f t="shared" si="11"/>
        <v>8500.8259999999991</v>
      </c>
      <c r="M19" s="508">
        <v>322.64800000000002</v>
      </c>
      <c r="N19" s="508"/>
      <c r="O19" s="514" t="s">
        <v>477</v>
      </c>
      <c r="P19" s="159">
        <f t="shared" si="1"/>
        <v>0</v>
      </c>
      <c r="Q19" s="159">
        <f t="shared" si="2"/>
        <v>8500.8259999999991</v>
      </c>
      <c r="R19" s="159">
        <f t="shared" si="3"/>
        <v>699.17400000000089</v>
      </c>
      <c r="S19" s="159">
        <f t="shared" si="4"/>
        <v>0</v>
      </c>
      <c r="T19" s="159">
        <f t="shared" si="5"/>
        <v>0</v>
      </c>
      <c r="U19" s="159">
        <f t="shared" si="7"/>
        <v>8500.8259999999991</v>
      </c>
      <c r="V19" s="430">
        <f t="shared" si="8"/>
        <v>8178.177999999999</v>
      </c>
    </row>
    <row r="20" spans="1:22" s="158" customFormat="1" ht="51" customHeight="1">
      <c r="A20" s="13">
        <v>7</v>
      </c>
      <c r="B20" s="482" t="s">
        <v>207</v>
      </c>
      <c r="C20" s="14" t="s">
        <v>75</v>
      </c>
      <c r="D20" s="483">
        <v>30566</v>
      </c>
      <c r="E20" s="97">
        <f t="shared" si="12"/>
        <v>809.70299999999997</v>
      </c>
      <c r="F20" s="483"/>
      <c r="G20" s="483">
        <v>809.70299999999997</v>
      </c>
      <c r="H20" s="483"/>
      <c r="I20" s="483"/>
      <c r="J20" s="508">
        <v>30250.705000000002</v>
      </c>
      <c r="K20" s="508">
        <f t="shared" si="10"/>
        <v>809.70299999999997</v>
      </c>
      <c r="L20" s="508">
        <f t="shared" si="11"/>
        <v>30250.705000000002</v>
      </c>
      <c r="M20" s="508">
        <v>809.70299999999997</v>
      </c>
      <c r="N20" s="508"/>
      <c r="O20" s="514" t="s">
        <v>477</v>
      </c>
      <c r="P20" s="159">
        <f t="shared" si="1"/>
        <v>0</v>
      </c>
      <c r="Q20" s="159">
        <f t="shared" si="2"/>
        <v>30250.705000000002</v>
      </c>
      <c r="R20" s="159">
        <f t="shared" si="3"/>
        <v>315.29499999999825</v>
      </c>
      <c r="S20" s="159">
        <f t="shared" si="4"/>
        <v>0</v>
      </c>
      <c r="T20" s="159">
        <f t="shared" si="5"/>
        <v>0</v>
      </c>
      <c r="U20" s="159">
        <f t="shared" si="7"/>
        <v>30250.705000000002</v>
      </c>
      <c r="V20" s="430">
        <f t="shared" si="8"/>
        <v>29441.002</v>
      </c>
    </row>
    <row r="21" spans="1:22" s="158" customFormat="1" ht="51" customHeight="1">
      <c r="A21" s="13">
        <v>8</v>
      </c>
      <c r="B21" s="482" t="s">
        <v>208</v>
      </c>
      <c r="C21" s="14" t="s">
        <v>161</v>
      </c>
      <c r="D21" s="483">
        <v>46300</v>
      </c>
      <c r="E21" s="97">
        <f t="shared" si="12"/>
        <v>380.00799999999998</v>
      </c>
      <c r="F21" s="483"/>
      <c r="G21" s="483">
        <v>380.00799999999998</v>
      </c>
      <c r="H21" s="483"/>
      <c r="I21" s="483"/>
      <c r="J21" s="508">
        <v>44687.260999999999</v>
      </c>
      <c r="K21" s="508">
        <f t="shared" si="10"/>
        <v>380.00799999999998</v>
      </c>
      <c r="L21" s="508">
        <f t="shared" si="11"/>
        <v>44687.260999999999</v>
      </c>
      <c r="M21" s="508">
        <v>380.00799999999998</v>
      </c>
      <c r="N21" s="508"/>
      <c r="O21" s="514" t="s">
        <v>477</v>
      </c>
      <c r="P21" s="159">
        <f t="shared" si="1"/>
        <v>0</v>
      </c>
      <c r="Q21" s="159">
        <f t="shared" si="2"/>
        <v>44687.260999999999</v>
      </c>
      <c r="R21" s="159">
        <f t="shared" si="3"/>
        <v>1612.7390000000014</v>
      </c>
      <c r="S21" s="159">
        <f t="shared" si="4"/>
        <v>0</v>
      </c>
      <c r="T21" s="159">
        <f t="shared" si="5"/>
        <v>0</v>
      </c>
      <c r="U21" s="159">
        <f t="shared" si="7"/>
        <v>44687.260999999999</v>
      </c>
      <c r="V21" s="430">
        <f t="shared" si="8"/>
        <v>44307.252999999997</v>
      </c>
    </row>
    <row r="22" spans="1:22" s="158" customFormat="1" ht="51" customHeight="1">
      <c r="A22" s="13">
        <v>9</v>
      </c>
      <c r="B22" s="482" t="s">
        <v>209</v>
      </c>
      <c r="C22" s="14" t="s">
        <v>132</v>
      </c>
      <c r="D22" s="483">
        <v>3162.11</v>
      </c>
      <c r="E22" s="97">
        <f t="shared" si="12"/>
        <v>789.79100000000005</v>
      </c>
      <c r="F22" s="483"/>
      <c r="G22" s="483">
        <v>789.79100000000005</v>
      </c>
      <c r="H22" s="483"/>
      <c r="I22" s="483"/>
      <c r="J22" s="508">
        <v>3047.5749999999998</v>
      </c>
      <c r="K22" s="508">
        <v>777.23500000000001</v>
      </c>
      <c r="L22" s="508">
        <f t="shared" si="11"/>
        <v>3047.5749999999998</v>
      </c>
      <c r="M22" s="508">
        <v>777.23500000000001</v>
      </c>
      <c r="N22" s="508"/>
      <c r="O22" s="514" t="s">
        <v>474</v>
      </c>
      <c r="P22" s="159">
        <f t="shared" si="1"/>
        <v>0</v>
      </c>
      <c r="Q22" s="159">
        <f t="shared" si="2"/>
        <v>3047.5749999999998</v>
      </c>
      <c r="R22" s="159">
        <f t="shared" si="3"/>
        <v>114.53500000000031</v>
      </c>
      <c r="S22" s="159">
        <f t="shared" si="4"/>
        <v>12.55600000000004</v>
      </c>
      <c r="T22" s="159">
        <f t="shared" si="5"/>
        <v>0</v>
      </c>
      <c r="U22" s="159">
        <f t="shared" si="7"/>
        <v>3047.5749999999998</v>
      </c>
      <c r="V22" s="430">
        <f t="shared" si="8"/>
        <v>2270.3399999999997</v>
      </c>
    </row>
    <row r="23" spans="1:22" s="158" customFormat="1" ht="51" customHeight="1">
      <c r="A23" s="13">
        <v>10</v>
      </c>
      <c r="B23" s="482" t="s">
        <v>210</v>
      </c>
      <c r="C23" s="14" t="s">
        <v>215</v>
      </c>
      <c r="D23" s="483">
        <v>4990.1729999999998</v>
      </c>
      <c r="E23" s="97">
        <f t="shared" si="12"/>
        <v>165.10900000000001</v>
      </c>
      <c r="F23" s="483"/>
      <c r="G23" s="483">
        <v>165.10900000000001</v>
      </c>
      <c r="H23" s="483"/>
      <c r="I23" s="483"/>
      <c r="J23" s="508">
        <f>L23</f>
        <v>4146.2479999999996</v>
      </c>
      <c r="K23" s="508">
        <f>E23</f>
        <v>165.10900000000001</v>
      </c>
      <c r="L23" s="508">
        <v>4146.2479999999996</v>
      </c>
      <c r="M23" s="508">
        <v>165.10900000000001</v>
      </c>
      <c r="N23" s="508"/>
      <c r="O23" s="514" t="s">
        <v>477</v>
      </c>
      <c r="P23" s="159">
        <f t="shared" si="1"/>
        <v>0</v>
      </c>
      <c r="Q23" s="159">
        <f t="shared" si="2"/>
        <v>4146.2479999999996</v>
      </c>
      <c r="R23" s="159">
        <f t="shared" si="3"/>
        <v>843.92500000000018</v>
      </c>
      <c r="S23" s="159">
        <f t="shared" si="4"/>
        <v>0</v>
      </c>
      <c r="T23" s="159">
        <f t="shared" si="5"/>
        <v>0</v>
      </c>
      <c r="U23" s="159">
        <f t="shared" si="7"/>
        <v>4146.2479999999996</v>
      </c>
      <c r="V23" s="430">
        <f t="shared" si="8"/>
        <v>3981.1389999999997</v>
      </c>
    </row>
    <row r="24" spans="1:22" s="158" customFormat="1" ht="51" customHeight="1">
      <c r="A24" s="13">
        <v>11</v>
      </c>
      <c r="B24" s="482" t="s">
        <v>211</v>
      </c>
      <c r="C24" s="14" t="s">
        <v>30</v>
      </c>
      <c r="D24" s="483">
        <v>43500</v>
      </c>
      <c r="E24" s="97">
        <f t="shared" si="12"/>
        <v>1047.5229999999999</v>
      </c>
      <c r="F24" s="483"/>
      <c r="G24" s="483">
        <v>1047.5229999999999</v>
      </c>
      <c r="H24" s="483"/>
      <c r="I24" s="483"/>
      <c r="J24" s="508">
        <f>L24</f>
        <v>22140.998</v>
      </c>
      <c r="K24" s="508">
        <v>943.99800000000005</v>
      </c>
      <c r="L24" s="508">
        <f>K24+21270-73</f>
        <v>22140.998</v>
      </c>
      <c r="M24" s="508">
        <v>953.53499999999997</v>
      </c>
      <c r="N24" s="508"/>
      <c r="O24" s="514" t="s">
        <v>474</v>
      </c>
      <c r="P24" s="159">
        <f t="shared" si="1"/>
        <v>9.5369999999999209</v>
      </c>
      <c r="Q24" s="159">
        <f t="shared" si="2"/>
        <v>22150.535</v>
      </c>
      <c r="R24" s="159">
        <f t="shared" si="3"/>
        <v>21349.465</v>
      </c>
      <c r="S24" s="159">
        <f t="shared" si="4"/>
        <v>93.987999999999943</v>
      </c>
      <c r="T24" s="159">
        <f t="shared" si="5"/>
        <v>0</v>
      </c>
      <c r="U24" s="159">
        <f t="shared" si="7"/>
        <v>22140.998</v>
      </c>
      <c r="V24" s="430">
        <f t="shared" si="8"/>
        <v>21197</v>
      </c>
    </row>
    <row r="25" spans="1:22" s="158" customFormat="1" ht="51" customHeight="1">
      <c r="A25" s="13">
        <v>12</v>
      </c>
      <c r="B25" s="482" t="s">
        <v>212</v>
      </c>
      <c r="C25" s="14" t="s">
        <v>38</v>
      </c>
      <c r="D25" s="483">
        <v>5000</v>
      </c>
      <c r="E25" s="97">
        <f t="shared" si="12"/>
        <v>27.387</v>
      </c>
      <c r="F25" s="483"/>
      <c r="G25" s="483">
        <v>27.387</v>
      </c>
      <c r="H25" s="483"/>
      <c r="I25" s="483"/>
      <c r="J25" s="508">
        <v>4665.0739999999996</v>
      </c>
      <c r="K25" s="508">
        <f>E25</f>
        <v>27.387</v>
      </c>
      <c r="L25" s="508">
        <f>J25</f>
        <v>4665.0739999999996</v>
      </c>
      <c r="M25" s="508">
        <v>27.387</v>
      </c>
      <c r="N25" s="508"/>
      <c r="O25" s="514" t="s">
        <v>477</v>
      </c>
      <c r="P25" s="159">
        <f t="shared" si="1"/>
        <v>0</v>
      </c>
      <c r="Q25" s="159">
        <f t="shared" si="2"/>
        <v>4665.0739999999996</v>
      </c>
      <c r="R25" s="159">
        <f t="shared" si="3"/>
        <v>334.92600000000039</v>
      </c>
      <c r="S25" s="159">
        <f t="shared" si="4"/>
        <v>0</v>
      </c>
      <c r="T25" s="159">
        <f t="shared" si="5"/>
        <v>0</v>
      </c>
      <c r="U25" s="159">
        <f t="shared" si="7"/>
        <v>4665.0739999999996</v>
      </c>
      <c r="V25" s="430">
        <f t="shared" si="8"/>
        <v>4637.6869999999999</v>
      </c>
    </row>
    <row r="26" spans="1:22" s="158" customFormat="1" ht="51" customHeight="1" thickBot="1">
      <c r="A26" s="600">
        <v>13</v>
      </c>
      <c r="B26" s="601" t="s">
        <v>213</v>
      </c>
      <c r="C26" s="602" t="s">
        <v>104</v>
      </c>
      <c r="D26" s="603">
        <v>5000</v>
      </c>
      <c r="E26" s="604">
        <f t="shared" si="12"/>
        <v>271.08800000000002</v>
      </c>
      <c r="F26" s="603"/>
      <c r="G26" s="603">
        <v>271.08800000000002</v>
      </c>
      <c r="H26" s="603"/>
      <c r="I26" s="603"/>
      <c r="J26" s="605">
        <v>4937.942</v>
      </c>
      <c r="K26" s="605">
        <f>E26</f>
        <v>271.08800000000002</v>
      </c>
      <c r="L26" s="605">
        <f>J26</f>
        <v>4937.942</v>
      </c>
      <c r="M26" s="605">
        <v>271.08800000000002</v>
      </c>
      <c r="N26" s="605"/>
      <c r="O26" s="606" t="s">
        <v>477</v>
      </c>
      <c r="P26" s="159">
        <f t="shared" si="1"/>
        <v>0</v>
      </c>
      <c r="Q26" s="159">
        <f t="shared" si="2"/>
        <v>4937.942</v>
      </c>
      <c r="R26" s="159">
        <f t="shared" si="3"/>
        <v>62.057999999999993</v>
      </c>
      <c r="S26" s="159">
        <f t="shared" si="4"/>
        <v>0</v>
      </c>
      <c r="T26" s="159">
        <f t="shared" si="5"/>
        <v>0</v>
      </c>
      <c r="U26" s="159">
        <f t="shared" si="7"/>
        <v>4937.942</v>
      </c>
      <c r="V26" s="430">
        <f t="shared" si="8"/>
        <v>4666.8540000000003</v>
      </c>
    </row>
    <row r="27" spans="1:22" ht="16.5" customHeight="1" thickTop="1">
      <c r="A27" s="379"/>
      <c r="B27" s="380"/>
      <c r="C27" s="381"/>
      <c r="D27" s="381"/>
      <c r="E27" s="381"/>
      <c r="F27" s="382"/>
      <c r="G27" s="382"/>
      <c r="H27" s="382"/>
      <c r="I27" s="382"/>
      <c r="J27" s="382"/>
      <c r="K27" s="382"/>
      <c r="L27" s="382"/>
      <c r="M27" s="382"/>
      <c r="N27" s="382"/>
      <c r="O27" s="383"/>
    </row>
    <row r="28" spans="1:22" ht="16.5" customHeight="1">
      <c r="A28" s="379"/>
      <c r="B28" s="380"/>
      <c r="C28" s="381"/>
      <c r="D28" s="381"/>
      <c r="E28" s="381"/>
      <c r="F28" s="382"/>
      <c r="G28" s="382"/>
      <c r="H28" s="382"/>
      <c r="I28" s="382"/>
      <c r="J28" s="382"/>
      <c r="K28" s="382"/>
      <c r="L28" s="382"/>
      <c r="M28" s="382"/>
      <c r="N28" s="382"/>
      <c r="O28" s="383"/>
    </row>
    <row r="29" spans="1:22" ht="16.5" customHeight="1">
      <c r="B29" s="385"/>
      <c r="C29" s="381"/>
      <c r="D29" s="381"/>
      <c r="E29" s="381"/>
      <c r="F29" s="382"/>
      <c r="G29" s="382"/>
      <c r="H29" s="382"/>
      <c r="I29" s="382"/>
      <c r="J29" s="382"/>
      <c r="K29" s="382"/>
      <c r="L29" s="382"/>
      <c r="M29" s="382"/>
      <c r="N29" s="382"/>
      <c r="O29" s="383"/>
    </row>
    <row r="30" spans="1:22" ht="31.5" customHeight="1">
      <c r="B30" s="666"/>
      <c r="C30" s="666"/>
      <c r="D30" s="463"/>
      <c r="E30" s="463"/>
      <c r="F30" s="463"/>
      <c r="G30" s="463"/>
      <c r="H30" s="463"/>
      <c r="I30" s="463"/>
      <c r="J30" s="463"/>
      <c r="K30" s="463"/>
      <c r="L30" s="463"/>
      <c r="M30" s="463"/>
      <c r="N30" s="463"/>
    </row>
    <row r="31" spans="1:22" ht="20.100000000000001" customHeight="1">
      <c r="A31" s="387"/>
    </row>
    <row r="32" spans="1:22">
      <c r="A32" s="387"/>
      <c r="B32" s="159"/>
      <c r="C32" s="159"/>
      <c r="D32" s="159"/>
      <c r="E32" s="159"/>
      <c r="F32" s="159"/>
      <c r="G32" s="159"/>
      <c r="H32" s="159"/>
      <c r="I32" s="159"/>
      <c r="J32" s="159"/>
      <c r="K32" s="159"/>
      <c r="L32" s="159"/>
      <c r="M32" s="159"/>
      <c r="N32" s="159"/>
    </row>
    <row r="33" spans="1:22">
      <c r="A33" s="387"/>
      <c r="B33" s="159"/>
      <c r="C33" s="159"/>
      <c r="D33" s="159"/>
      <c r="E33" s="159"/>
      <c r="F33" s="159"/>
      <c r="G33" s="159"/>
      <c r="H33" s="159"/>
      <c r="I33" s="159"/>
      <c r="J33" s="159"/>
      <c r="K33" s="159"/>
      <c r="L33" s="159"/>
      <c r="M33" s="159"/>
      <c r="N33" s="159"/>
    </row>
    <row r="34" spans="1:22">
      <c r="A34" s="387"/>
      <c r="B34" s="159"/>
      <c r="C34" s="159"/>
      <c r="D34" s="159"/>
      <c r="E34" s="159"/>
      <c r="F34" s="159"/>
      <c r="G34" s="159"/>
      <c r="H34" s="159"/>
      <c r="I34" s="159"/>
      <c r="J34" s="159"/>
      <c r="K34" s="159"/>
      <c r="L34" s="159"/>
      <c r="M34" s="159"/>
      <c r="N34" s="159"/>
    </row>
    <row r="35" spans="1:22" s="386" customFormat="1">
      <c r="A35" s="387"/>
      <c r="B35" s="159"/>
      <c r="C35" s="159"/>
      <c r="D35" s="159"/>
      <c r="E35" s="159"/>
      <c r="F35" s="159"/>
      <c r="G35" s="159"/>
      <c r="H35" s="159"/>
      <c r="I35" s="159"/>
      <c r="J35" s="159"/>
      <c r="K35" s="159"/>
      <c r="L35" s="159"/>
      <c r="M35" s="159"/>
      <c r="N35" s="159"/>
      <c r="V35" s="639"/>
    </row>
    <row r="36" spans="1:22" s="386" customFormat="1">
      <c r="A36" s="387"/>
      <c r="B36" s="159"/>
      <c r="C36" s="159"/>
      <c r="D36" s="159"/>
      <c r="E36" s="159"/>
      <c r="F36" s="159"/>
      <c r="G36" s="159"/>
      <c r="H36" s="159"/>
      <c r="I36" s="159"/>
      <c r="J36" s="159"/>
      <c r="K36" s="159"/>
      <c r="L36" s="159"/>
      <c r="M36" s="159"/>
      <c r="N36" s="159"/>
      <c r="V36" s="639"/>
    </row>
    <row r="37" spans="1:22" s="386" customFormat="1">
      <c r="A37" s="387"/>
      <c r="B37" s="159"/>
      <c r="C37" s="159"/>
      <c r="D37" s="159"/>
      <c r="E37" s="159"/>
      <c r="F37" s="159"/>
      <c r="G37" s="159"/>
      <c r="H37" s="159"/>
      <c r="I37" s="159"/>
      <c r="J37" s="159"/>
      <c r="K37" s="159"/>
      <c r="L37" s="159"/>
      <c r="M37" s="159"/>
      <c r="N37" s="159"/>
      <c r="V37" s="639"/>
    </row>
    <row r="38" spans="1:22" s="386" customFormat="1">
      <c r="A38" s="387"/>
      <c r="B38" s="159"/>
      <c r="C38" s="159"/>
      <c r="D38" s="159"/>
      <c r="E38" s="159"/>
      <c r="F38" s="159"/>
      <c r="G38" s="159"/>
      <c r="H38" s="159"/>
      <c r="I38" s="159"/>
      <c r="J38" s="159"/>
      <c r="K38" s="159"/>
      <c r="L38" s="159"/>
      <c r="M38" s="159"/>
      <c r="N38" s="159"/>
      <c r="V38" s="639"/>
    </row>
    <row r="39" spans="1:22" s="386" customFormat="1">
      <c r="A39" s="387"/>
      <c r="B39" s="159"/>
      <c r="C39" s="159"/>
      <c r="D39" s="159"/>
      <c r="E39" s="159"/>
      <c r="F39" s="159"/>
      <c r="G39" s="159"/>
      <c r="H39" s="159"/>
      <c r="I39" s="159"/>
      <c r="J39" s="159"/>
      <c r="K39" s="159"/>
      <c r="L39" s="159"/>
      <c r="M39" s="159"/>
      <c r="N39" s="159"/>
      <c r="V39" s="639"/>
    </row>
    <row r="40" spans="1:22" s="386" customFormat="1">
      <c r="A40" s="387"/>
      <c r="B40" s="159"/>
      <c r="C40" s="159"/>
      <c r="D40" s="159"/>
      <c r="E40" s="159"/>
      <c r="F40" s="159"/>
      <c r="G40" s="159"/>
      <c r="H40" s="159"/>
      <c r="I40" s="159"/>
      <c r="J40" s="159"/>
      <c r="K40" s="159"/>
      <c r="L40" s="159"/>
      <c r="M40" s="159"/>
      <c r="N40" s="159"/>
      <c r="V40" s="639"/>
    </row>
    <row r="41" spans="1:22" s="386" customFormat="1">
      <c r="A41" s="387"/>
      <c r="B41" s="159"/>
      <c r="C41" s="159"/>
      <c r="D41" s="159"/>
      <c r="E41" s="159"/>
      <c r="F41" s="159"/>
      <c r="G41" s="159"/>
      <c r="H41" s="159"/>
      <c r="I41" s="159"/>
      <c r="J41" s="159"/>
      <c r="K41" s="159"/>
      <c r="L41" s="159"/>
      <c r="M41" s="159"/>
      <c r="N41" s="159"/>
      <c r="V41" s="639"/>
    </row>
    <row r="42" spans="1:22" s="386" customFormat="1">
      <c r="A42" s="387"/>
      <c r="B42" s="159"/>
      <c r="C42" s="159"/>
      <c r="D42" s="159"/>
      <c r="E42" s="159"/>
      <c r="F42" s="159"/>
      <c r="G42" s="159"/>
      <c r="H42" s="159"/>
      <c r="I42" s="159"/>
      <c r="J42" s="159"/>
      <c r="K42" s="159"/>
      <c r="L42" s="159"/>
      <c r="M42" s="159"/>
      <c r="N42" s="159"/>
      <c r="V42" s="639"/>
    </row>
    <row r="43" spans="1:22" s="386" customFormat="1">
      <c r="A43" s="387"/>
      <c r="B43" s="159"/>
      <c r="C43" s="159"/>
      <c r="D43" s="159"/>
      <c r="E43" s="159"/>
      <c r="F43" s="159"/>
      <c r="G43" s="159"/>
      <c r="H43" s="159"/>
      <c r="I43" s="159"/>
      <c r="J43" s="159"/>
      <c r="K43" s="159"/>
      <c r="L43" s="159"/>
      <c r="M43" s="159"/>
      <c r="N43" s="159"/>
      <c r="V43" s="639"/>
    </row>
    <row r="44" spans="1:22" s="386" customFormat="1">
      <c r="A44" s="387"/>
      <c r="B44" s="159"/>
      <c r="C44" s="159"/>
      <c r="D44" s="159"/>
      <c r="E44" s="159"/>
      <c r="F44" s="159"/>
      <c r="G44" s="159"/>
      <c r="H44" s="159"/>
      <c r="I44" s="159"/>
      <c r="J44" s="159"/>
      <c r="K44" s="159"/>
      <c r="L44" s="159"/>
      <c r="M44" s="159"/>
      <c r="N44" s="159"/>
      <c r="V44" s="639"/>
    </row>
    <row r="45" spans="1:22" s="386" customFormat="1">
      <c r="A45" s="387"/>
      <c r="B45" s="159"/>
      <c r="C45" s="159"/>
      <c r="D45" s="159"/>
      <c r="E45" s="159"/>
      <c r="F45" s="159"/>
      <c r="G45" s="159"/>
      <c r="H45" s="159"/>
      <c r="I45" s="159"/>
      <c r="J45" s="159"/>
      <c r="K45" s="159"/>
      <c r="L45" s="159"/>
      <c r="M45" s="159"/>
      <c r="N45" s="159"/>
      <c r="V45" s="639"/>
    </row>
    <row r="46" spans="1:22" s="386" customFormat="1">
      <c r="A46" s="387"/>
      <c r="B46" s="159"/>
      <c r="C46" s="159"/>
      <c r="D46" s="159"/>
      <c r="E46" s="159"/>
      <c r="F46" s="159"/>
      <c r="G46" s="159"/>
      <c r="H46" s="159"/>
      <c r="I46" s="159"/>
      <c r="J46" s="159"/>
      <c r="K46" s="159"/>
      <c r="L46" s="159"/>
      <c r="M46" s="159"/>
      <c r="N46" s="159"/>
      <c r="V46" s="639"/>
    </row>
    <row r="47" spans="1:22" s="386" customFormat="1">
      <c r="A47" s="387"/>
      <c r="B47" s="159"/>
      <c r="C47" s="159"/>
      <c r="D47" s="159"/>
      <c r="E47" s="159"/>
      <c r="F47" s="159"/>
      <c r="G47" s="159"/>
      <c r="H47" s="159"/>
      <c r="I47" s="159"/>
      <c r="J47" s="159"/>
      <c r="K47" s="159"/>
      <c r="L47" s="159"/>
      <c r="M47" s="159"/>
      <c r="N47" s="159"/>
      <c r="V47" s="639"/>
    </row>
    <row r="48" spans="1:22" s="386" customFormat="1">
      <c r="A48" s="387"/>
      <c r="B48" s="159"/>
      <c r="C48" s="159"/>
      <c r="D48" s="159"/>
      <c r="E48" s="159"/>
      <c r="F48" s="159"/>
      <c r="G48" s="159"/>
      <c r="H48" s="159"/>
      <c r="I48" s="159"/>
      <c r="J48" s="159"/>
      <c r="K48" s="159"/>
      <c r="L48" s="159"/>
      <c r="M48" s="159"/>
      <c r="N48" s="159"/>
      <c r="V48" s="639"/>
    </row>
    <row r="49" spans="1:22" s="386" customFormat="1">
      <c r="A49" s="387"/>
      <c r="B49" s="159"/>
      <c r="C49" s="159"/>
      <c r="D49" s="159"/>
      <c r="E49" s="159"/>
      <c r="F49" s="159"/>
      <c r="G49" s="159"/>
      <c r="H49" s="159"/>
      <c r="I49" s="159"/>
      <c r="J49" s="159"/>
      <c r="K49" s="159"/>
      <c r="L49" s="159"/>
      <c r="M49" s="159"/>
      <c r="N49" s="159"/>
      <c r="V49" s="639"/>
    </row>
    <row r="50" spans="1:22" s="386" customFormat="1">
      <c r="A50" s="387"/>
      <c r="B50" s="159"/>
      <c r="C50" s="159"/>
      <c r="D50" s="159"/>
      <c r="E50" s="159"/>
      <c r="F50" s="159"/>
      <c r="G50" s="159"/>
      <c r="H50" s="159"/>
      <c r="I50" s="159"/>
      <c r="J50" s="159"/>
      <c r="K50" s="159"/>
      <c r="L50" s="159"/>
      <c r="M50" s="159"/>
      <c r="N50" s="159"/>
      <c r="V50" s="639"/>
    </row>
    <row r="51" spans="1:22" s="386" customFormat="1">
      <c r="A51" s="387"/>
      <c r="B51" s="159"/>
      <c r="C51" s="159"/>
      <c r="D51" s="159"/>
      <c r="E51" s="159"/>
      <c r="F51" s="159"/>
      <c r="G51" s="159"/>
      <c r="H51" s="159"/>
      <c r="I51" s="159"/>
      <c r="J51" s="159"/>
      <c r="K51" s="159"/>
      <c r="L51" s="159"/>
      <c r="M51" s="159"/>
      <c r="N51" s="159"/>
      <c r="V51" s="639"/>
    </row>
    <row r="52" spans="1:22" s="386" customFormat="1">
      <c r="A52" s="387"/>
      <c r="B52" s="159"/>
      <c r="C52" s="159"/>
      <c r="D52" s="159"/>
      <c r="E52" s="159"/>
      <c r="F52" s="159"/>
      <c r="G52" s="159"/>
      <c r="H52" s="159"/>
      <c r="I52" s="159"/>
      <c r="J52" s="159"/>
      <c r="K52" s="159"/>
      <c r="L52" s="159"/>
      <c r="M52" s="159"/>
      <c r="N52" s="159"/>
      <c r="V52" s="639"/>
    </row>
    <row r="53" spans="1:22" s="386" customFormat="1">
      <c r="A53" s="387"/>
      <c r="B53" s="159"/>
      <c r="C53" s="159"/>
      <c r="D53" s="159"/>
      <c r="E53" s="159"/>
      <c r="F53" s="159"/>
      <c r="G53" s="159"/>
      <c r="H53" s="159"/>
      <c r="I53" s="159"/>
      <c r="J53" s="159"/>
      <c r="K53" s="159"/>
      <c r="L53" s="159"/>
      <c r="M53" s="159"/>
      <c r="N53" s="159"/>
      <c r="V53" s="639"/>
    </row>
    <row r="54" spans="1:22" s="386" customFormat="1">
      <c r="A54" s="387"/>
      <c r="B54" s="159"/>
      <c r="C54" s="159"/>
      <c r="D54" s="159"/>
      <c r="E54" s="159"/>
      <c r="F54" s="159"/>
      <c r="G54" s="159"/>
      <c r="H54" s="159"/>
      <c r="I54" s="159"/>
      <c r="J54" s="159"/>
      <c r="K54" s="159"/>
      <c r="L54" s="159"/>
      <c r="M54" s="159"/>
      <c r="N54" s="159"/>
      <c r="V54" s="639"/>
    </row>
    <row r="55" spans="1:22" s="386" customFormat="1">
      <c r="A55" s="387"/>
      <c r="B55" s="159"/>
      <c r="C55" s="159"/>
      <c r="D55" s="159"/>
      <c r="E55" s="159"/>
      <c r="F55" s="159"/>
      <c r="G55" s="159"/>
      <c r="H55" s="159"/>
      <c r="I55" s="159"/>
      <c r="J55" s="159"/>
      <c r="K55" s="159"/>
      <c r="L55" s="159"/>
      <c r="M55" s="159"/>
      <c r="N55" s="159"/>
      <c r="V55" s="639"/>
    </row>
    <row r="56" spans="1:22" s="386" customFormat="1">
      <c r="A56" s="387"/>
      <c r="B56" s="159"/>
      <c r="C56" s="159"/>
      <c r="D56" s="159"/>
      <c r="E56" s="159"/>
      <c r="F56" s="159"/>
      <c r="G56" s="159"/>
      <c r="H56" s="159"/>
      <c r="I56" s="159"/>
      <c r="J56" s="159"/>
      <c r="K56" s="159"/>
      <c r="L56" s="159"/>
      <c r="M56" s="159"/>
      <c r="N56" s="159"/>
      <c r="V56" s="639"/>
    </row>
    <row r="57" spans="1:22" s="386" customFormat="1">
      <c r="A57" s="387"/>
      <c r="B57" s="159"/>
      <c r="C57" s="159"/>
      <c r="D57" s="159"/>
      <c r="E57" s="159"/>
      <c r="F57" s="159"/>
      <c r="G57" s="159"/>
      <c r="H57" s="159"/>
      <c r="I57" s="159"/>
      <c r="J57" s="159"/>
      <c r="K57" s="159"/>
      <c r="L57" s="159"/>
      <c r="M57" s="159"/>
      <c r="N57" s="159"/>
      <c r="V57" s="639"/>
    </row>
    <row r="58" spans="1:22" s="386" customFormat="1">
      <c r="A58" s="387"/>
      <c r="B58" s="159"/>
      <c r="C58" s="159"/>
      <c r="D58" s="159"/>
      <c r="E58" s="159"/>
      <c r="F58" s="159"/>
      <c r="G58" s="159"/>
      <c r="H58" s="159"/>
      <c r="I58" s="159"/>
      <c r="J58" s="159"/>
      <c r="K58" s="159"/>
      <c r="L58" s="159"/>
      <c r="M58" s="159"/>
      <c r="N58" s="159"/>
      <c r="V58" s="639"/>
    </row>
    <row r="59" spans="1:22" s="386" customFormat="1">
      <c r="A59" s="387"/>
      <c r="B59" s="159"/>
      <c r="C59" s="159"/>
      <c r="D59" s="159"/>
      <c r="E59" s="159"/>
      <c r="F59" s="159"/>
      <c r="G59" s="159"/>
      <c r="H59" s="159"/>
      <c r="I59" s="159"/>
      <c r="J59" s="159"/>
      <c r="K59" s="159"/>
      <c r="L59" s="159"/>
      <c r="M59" s="159"/>
      <c r="N59" s="159"/>
      <c r="V59" s="639"/>
    </row>
    <row r="60" spans="1:22" s="386" customFormat="1">
      <c r="A60" s="387"/>
      <c r="B60" s="159"/>
      <c r="C60" s="159"/>
      <c r="D60" s="159"/>
      <c r="E60" s="159"/>
      <c r="F60" s="159"/>
      <c r="G60" s="159"/>
      <c r="H60" s="159"/>
      <c r="I60" s="159"/>
      <c r="J60" s="159"/>
      <c r="K60" s="159"/>
      <c r="L60" s="159"/>
      <c r="M60" s="159"/>
      <c r="N60" s="159"/>
      <c r="V60" s="639"/>
    </row>
    <row r="61" spans="1:22" s="386" customFormat="1">
      <c r="A61" s="387"/>
      <c r="B61" s="159"/>
      <c r="C61" s="159"/>
      <c r="D61" s="159"/>
      <c r="E61" s="159"/>
      <c r="F61" s="159"/>
      <c r="G61" s="159"/>
      <c r="H61" s="159"/>
      <c r="I61" s="159"/>
      <c r="J61" s="159"/>
      <c r="K61" s="159"/>
      <c r="L61" s="159"/>
      <c r="M61" s="159"/>
      <c r="N61" s="159"/>
      <c r="V61" s="639"/>
    </row>
    <row r="62" spans="1:22" s="386" customFormat="1">
      <c r="A62" s="387"/>
      <c r="B62" s="159"/>
      <c r="C62" s="159"/>
      <c r="D62" s="159"/>
      <c r="E62" s="159"/>
      <c r="F62" s="159"/>
      <c r="G62" s="159"/>
      <c r="H62" s="159"/>
      <c r="I62" s="159"/>
      <c r="J62" s="159"/>
      <c r="K62" s="159"/>
      <c r="L62" s="159"/>
      <c r="M62" s="159"/>
      <c r="N62" s="159"/>
      <c r="V62" s="639"/>
    </row>
    <row r="63" spans="1:22" s="386" customFormat="1">
      <c r="A63" s="387"/>
      <c r="B63" s="159"/>
      <c r="C63" s="159"/>
      <c r="D63" s="159"/>
      <c r="E63" s="159"/>
      <c r="F63" s="159"/>
      <c r="G63" s="159"/>
      <c r="H63" s="159"/>
      <c r="I63" s="159"/>
      <c r="J63" s="159"/>
      <c r="K63" s="159"/>
      <c r="L63" s="159"/>
      <c r="M63" s="159"/>
      <c r="N63" s="159"/>
      <c r="V63" s="639"/>
    </row>
    <row r="64" spans="1:22" s="386" customFormat="1">
      <c r="A64" s="387"/>
      <c r="B64" s="159"/>
      <c r="C64" s="159"/>
      <c r="D64" s="159"/>
      <c r="E64" s="159"/>
      <c r="F64" s="159"/>
      <c r="G64" s="159"/>
      <c r="H64" s="159"/>
      <c r="I64" s="159"/>
      <c r="J64" s="159"/>
      <c r="K64" s="159"/>
      <c r="L64" s="159"/>
      <c r="M64" s="159"/>
      <c r="N64" s="159"/>
      <c r="V64" s="639"/>
    </row>
    <row r="65" spans="1:22" s="386" customFormat="1">
      <c r="A65" s="387"/>
      <c r="B65" s="159"/>
      <c r="C65" s="159"/>
      <c r="D65" s="159"/>
      <c r="E65" s="159"/>
      <c r="F65" s="159"/>
      <c r="G65" s="159"/>
      <c r="H65" s="159"/>
      <c r="I65" s="159"/>
      <c r="J65" s="159"/>
      <c r="K65" s="159"/>
      <c r="L65" s="159"/>
      <c r="M65" s="159"/>
      <c r="N65" s="159"/>
      <c r="V65" s="639"/>
    </row>
    <row r="66" spans="1:22" s="386" customFormat="1">
      <c r="A66" s="387"/>
      <c r="B66" s="159"/>
      <c r="C66" s="159"/>
      <c r="D66" s="159"/>
      <c r="E66" s="159"/>
      <c r="F66" s="159"/>
      <c r="G66" s="159"/>
      <c r="H66" s="159"/>
      <c r="I66" s="159"/>
      <c r="J66" s="159"/>
      <c r="K66" s="159"/>
      <c r="L66" s="159"/>
      <c r="M66" s="159"/>
      <c r="N66" s="159"/>
      <c r="V66" s="639"/>
    </row>
    <row r="67" spans="1:22" s="386" customFormat="1">
      <c r="A67" s="387"/>
      <c r="B67" s="159"/>
      <c r="C67" s="159"/>
      <c r="D67" s="159"/>
      <c r="E67" s="159"/>
      <c r="F67" s="159"/>
      <c r="G67" s="159"/>
      <c r="H67" s="159"/>
      <c r="I67" s="159"/>
      <c r="J67" s="159"/>
      <c r="K67" s="159"/>
      <c r="L67" s="159"/>
      <c r="M67" s="159"/>
      <c r="N67" s="159"/>
      <c r="V67" s="639"/>
    </row>
    <row r="68" spans="1:22" s="386" customFormat="1">
      <c r="A68" s="387"/>
      <c r="B68" s="159"/>
      <c r="C68" s="159"/>
      <c r="D68" s="159"/>
      <c r="E68" s="159"/>
      <c r="F68" s="159"/>
      <c r="G68" s="159"/>
      <c r="H68" s="159"/>
      <c r="I68" s="159"/>
      <c r="J68" s="159"/>
      <c r="K68" s="159"/>
      <c r="L68" s="159"/>
      <c r="M68" s="159"/>
      <c r="N68" s="159"/>
      <c r="V68" s="639"/>
    </row>
    <row r="69" spans="1:22" s="386" customFormat="1">
      <c r="A69" s="387"/>
      <c r="B69" s="159"/>
      <c r="C69" s="159"/>
      <c r="D69" s="159"/>
      <c r="E69" s="159"/>
      <c r="F69" s="159"/>
      <c r="G69" s="159"/>
      <c r="H69" s="159"/>
      <c r="I69" s="159"/>
      <c r="J69" s="159"/>
      <c r="K69" s="159"/>
      <c r="L69" s="159"/>
      <c r="M69" s="159"/>
      <c r="N69" s="159"/>
      <c r="V69" s="639"/>
    </row>
    <row r="70" spans="1:22" s="386" customFormat="1">
      <c r="A70" s="387"/>
      <c r="B70" s="159"/>
      <c r="C70" s="159"/>
      <c r="D70" s="159"/>
      <c r="E70" s="159"/>
      <c r="F70" s="159"/>
      <c r="G70" s="159"/>
      <c r="H70" s="159"/>
      <c r="I70" s="159"/>
      <c r="J70" s="159"/>
      <c r="K70" s="159"/>
      <c r="L70" s="159"/>
      <c r="M70" s="159"/>
      <c r="N70" s="159"/>
      <c r="V70" s="639"/>
    </row>
    <row r="71" spans="1:22" s="386" customFormat="1">
      <c r="A71" s="387"/>
      <c r="B71" s="159"/>
      <c r="C71" s="159"/>
      <c r="D71" s="159"/>
      <c r="E71" s="159"/>
      <c r="F71" s="159"/>
      <c r="G71" s="159"/>
      <c r="H71" s="159"/>
      <c r="I71" s="159"/>
      <c r="J71" s="159"/>
      <c r="K71" s="159"/>
      <c r="L71" s="159"/>
      <c r="M71" s="159"/>
      <c r="N71" s="159"/>
      <c r="V71" s="639"/>
    </row>
    <row r="72" spans="1:22" s="386" customFormat="1">
      <c r="A72" s="387"/>
      <c r="B72" s="159"/>
      <c r="C72" s="159"/>
      <c r="D72" s="159"/>
      <c r="E72" s="159"/>
      <c r="F72" s="159"/>
      <c r="G72" s="159"/>
      <c r="H72" s="159"/>
      <c r="I72" s="159"/>
      <c r="J72" s="159"/>
      <c r="K72" s="159"/>
      <c r="L72" s="159"/>
      <c r="M72" s="159"/>
      <c r="N72" s="159"/>
      <c r="V72" s="639"/>
    </row>
    <row r="73" spans="1:22" s="386" customFormat="1">
      <c r="A73" s="387"/>
      <c r="B73" s="159"/>
      <c r="C73" s="159"/>
      <c r="D73" s="159"/>
      <c r="E73" s="159"/>
      <c r="F73" s="159"/>
      <c r="G73" s="159"/>
      <c r="H73" s="159"/>
      <c r="I73" s="159"/>
      <c r="J73" s="159"/>
      <c r="K73" s="159"/>
      <c r="L73" s="159"/>
      <c r="M73" s="159"/>
      <c r="N73" s="159"/>
      <c r="V73" s="639"/>
    </row>
    <row r="74" spans="1:22" s="386" customFormat="1">
      <c r="A74" s="387"/>
      <c r="B74" s="159"/>
      <c r="C74" s="159"/>
      <c r="D74" s="159"/>
      <c r="E74" s="159"/>
      <c r="F74" s="159"/>
      <c r="G74" s="159"/>
      <c r="H74" s="159"/>
      <c r="I74" s="159"/>
      <c r="J74" s="159"/>
      <c r="K74" s="159"/>
      <c r="L74" s="159"/>
      <c r="M74" s="159"/>
      <c r="N74" s="159"/>
      <c r="V74" s="639"/>
    </row>
    <row r="75" spans="1:22" s="386" customFormat="1">
      <c r="A75" s="387"/>
      <c r="B75" s="159"/>
      <c r="C75" s="159"/>
      <c r="D75" s="159"/>
      <c r="E75" s="159"/>
      <c r="F75" s="159"/>
      <c r="G75" s="159"/>
      <c r="H75" s="159"/>
      <c r="I75" s="159"/>
      <c r="J75" s="159"/>
      <c r="K75" s="159"/>
      <c r="L75" s="159"/>
      <c r="M75" s="159"/>
      <c r="N75" s="159"/>
      <c r="V75" s="639"/>
    </row>
    <row r="76" spans="1:22" s="386" customFormat="1">
      <c r="A76" s="387"/>
      <c r="B76" s="159"/>
      <c r="C76" s="159"/>
      <c r="D76" s="159"/>
      <c r="E76" s="159"/>
      <c r="F76" s="159"/>
      <c r="G76" s="159"/>
      <c r="H76" s="159"/>
      <c r="I76" s="159"/>
      <c r="J76" s="159"/>
      <c r="K76" s="159"/>
      <c r="L76" s="159"/>
      <c r="M76" s="159"/>
      <c r="N76" s="159"/>
      <c r="V76" s="639"/>
    </row>
    <row r="77" spans="1:22" s="386" customFormat="1">
      <c r="A77" s="387"/>
      <c r="B77" s="159"/>
      <c r="C77" s="159"/>
      <c r="D77" s="159"/>
      <c r="E77" s="159"/>
      <c r="F77" s="159"/>
      <c r="G77" s="159"/>
      <c r="H77" s="159"/>
      <c r="I77" s="159"/>
      <c r="J77" s="159"/>
      <c r="K77" s="159"/>
      <c r="L77" s="159"/>
      <c r="M77" s="159"/>
      <c r="N77" s="159"/>
      <c r="V77" s="639"/>
    </row>
    <row r="78" spans="1:22" s="386" customFormat="1">
      <c r="A78" s="387"/>
      <c r="B78" s="159"/>
      <c r="C78" s="159"/>
      <c r="D78" s="159"/>
      <c r="E78" s="159"/>
      <c r="F78" s="159"/>
      <c r="G78" s="159"/>
      <c r="H78" s="159"/>
      <c r="I78" s="159"/>
      <c r="J78" s="159"/>
      <c r="K78" s="159"/>
      <c r="L78" s="159"/>
      <c r="M78" s="159"/>
      <c r="N78" s="159"/>
      <c r="V78" s="639"/>
    </row>
    <row r="79" spans="1:22" s="386" customFormat="1">
      <c r="A79" s="387"/>
      <c r="B79" s="159"/>
      <c r="C79" s="159"/>
      <c r="D79" s="159"/>
      <c r="E79" s="159"/>
      <c r="F79" s="159"/>
      <c r="G79" s="159"/>
      <c r="H79" s="159"/>
      <c r="I79" s="159"/>
      <c r="J79" s="159"/>
      <c r="K79" s="159"/>
      <c r="L79" s="159"/>
      <c r="M79" s="159"/>
      <c r="N79" s="159"/>
      <c r="V79" s="639"/>
    </row>
    <row r="80" spans="1:22" s="386" customFormat="1">
      <c r="A80" s="387"/>
      <c r="B80" s="159"/>
      <c r="C80" s="159"/>
      <c r="D80" s="159"/>
      <c r="E80" s="159"/>
      <c r="F80" s="159"/>
      <c r="G80" s="159"/>
      <c r="H80" s="159"/>
      <c r="I80" s="159"/>
      <c r="J80" s="159"/>
      <c r="K80" s="159"/>
      <c r="L80" s="159"/>
      <c r="M80" s="159"/>
      <c r="N80" s="159"/>
      <c r="V80" s="639"/>
    </row>
    <row r="81" spans="1:22" s="386" customFormat="1">
      <c r="A81" s="387"/>
      <c r="B81" s="159"/>
      <c r="C81" s="159"/>
      <c r="D81" s="159"/>
      <c r="E81" s="159"/>
      <c r="F81" s="159"/>
      <c r="G81" s="159"/>
      <c r="H81" s="159"/>
      <c r="I81" s="159"/>
      <c r="J81" s="159"/>
      <c r="K81" s="159"/>
      <c r="L81" s="159"/>
      <c r="M81" s="159"/>
      <c r="N81" s="159"/>
      <c r="V81" s="639"/>
    </row>
    <row r="82" spans="1:22" s="386" customFormat="1">
      <c r="A82" s="387"/>
      <c r="B82" s="159"/>
      <c r="C82" s="159"/>
      <c r="D82" s="159"/>
      <c r="E82" s="159"/>
      <c r="F82" s="159"/>
      <c r="G82" s="159"/>
      <c r="H82" s="159"/>
      <c r="I82" s="159"/>
      <c r="J82" s="159"/>
      <c r="K82" s="159"/>
      <c r="L82" s="159"/>
      <c r="M82" s="159"/>
      <c r="N82" s="159"/>
      <c r="V82" s="639"/>
    </row>
    <row r="83" spans="1:22" s="386" customFormat="1">
      <c r="A83" s="387"/>
      <c r="B83" s="159"/>
      <c r="C83" s="159"/>
      <c r="D83" s="159"/>
      <c r="E83" s="159"/>
      <c r="F83" s="159"/>
      <c r="G83" s="159"/>
      <c r="H83" s="159"/>
      <c r="I83" s="159"/>
      <c r="J83" s="159"/>
      <c r="K83" s="159"/>
      <c r="L83" s="159"/>
      <c r="M83" s="159"/>
      <c r="N83" s="159"/>
      <c r="V83" s="639"/>
    </row>
    <row r="84" spans="1:22" s="386" customFormat="1">
      <c r="A84" s="387"/>
      <c r="B84" s="159"/>
      <c r="C84" s="159"/>
      <c r="D84" s="159"/>
      <c r="E84" s="159"/>
      <c r="F84" s="159"/>
      <c r="G84" s="159"/>
      <c r="H84" s="159"/>
      <c r="I84" s="159"/>
      <c r="J84" s="159"/>
      <c r="K84" s="159"/>
      <c r="L84" s="159"/>
      <c r="M84" s="159"/>
      <c r="N84" s="159"/>
      <c r="V84" s="639"/>
    </row>
    <row r="85" spans="1:22" s="386" customFormat="1">
      <c r="A85" s="387"/>
      <c r="B85" s="159"/>
      <c r="C85" s="159"/>
      <c r="D85" s="159"/>
      <c r="E85" s="159"/>
      <c r="F85" s="159"/>
      <c r="G85" s="159"/>
      <c r="H85" s="159"/>
      <c r="I85" s="159"/>
      <c r="J85" s="159"/>
      <c r="K85" s="159"/>
      <c r="L85" s="159"/>
      <c r="M85" s="159"/>
      <c r="N85" s="159"/>
      <c r="V85" s="639"/>
    </row>
    <row r="86" spans="1:22" s="386" customFormat="1">
      <c r="A86" s="387"/>
      <c r="B86" s="159"/>
      <c r="C86" s="159"/>
      <c r="D86" s="159"/>
      <c r="E86" s="159"/>
      <c r="F86" s="159"/>
      <c r="G86" s="159"/>
      <c r="H86" s="159"/>
      <c r="I86" s="159"/>
      <c r="J86" s="159"/>
      <c r="K86" s="159"/>
      <c r="L86" s="159"/>
      <c r="M86" s="159"/>
      <c r="N86" s="159"/>
      <c r="V86" s="639"/>
    </row>
    <row r="87" spans="1:22" s="386" customFormat="1">
      <c r="A87" s="387"/>
      <c r="B87" s="159"/>
      <c r="C87" s="159"/>
      <c r="D87" s="159"/>
      <c r="E87" s="159"/>
      <c r="F87" s="159"/>
      <c r="G87" s="159"/>
      <c r="H87" s="159"/>
      <c r="I87" s="159"/>
      <c r="J87" s="159"/>
      <c r="K87" s="159"/>
      <c r="L87" s="159"/>
      <c r="M87" s="159"/>
      <c r="N87" s="159"/>
      <c r="V87" s="639"/>
    </row>
    <row r="88" spans="1:22" s="386" customFormat="1">
      <c r="A88" s="387"/>
      <c r="B88" s="159"/>
      <c r="C88" s="159"/>
      <c r="D88" s="159"/>
      <c r="E88" s="159"/>
      <c r="F88" s="159"/>
      <c r="G88" s="159"/>
      <c r="H88" s="159"/>
      <c r="I88" s="159"/>
      <c r="J88" s="159"/>
      <c r="K88" s="159"/>
      <c r="L88" s="159"/>
      <c r="M88" s="159"/>
      <c r="N88" s="159"/>
      <c r="V88" s="639"/>
    </row>
    <row r="89" spans="1:22" s="386" customFormat="1">
      <c r="A89" s="387"/>
      <c r="B89" s="159"/>
      <c r="C89" s="159"/>
      <c r="D89" s="159"/>
      <c r="E89" s="159"/>
      <c r="F89" s="159"/>
      <c r="G89" s="159"/>
      <c r="H89" s="159"/>
      <c r="I89" s="159"/>
      <c r="J89" s="159"/>
      <c r="K89" s="159"/>
      <c r="L89" s="159"/>
      <c r="M89" s="159"/>
      <c r="N89" s="159"/>
      <c r="V89" s="639"/>
    </row>
    <row r="90" spans="1:22" s="386" customFormat="1">
      <c r="A90" s="387"/>
      <c r="B90" s="159"/>
      <c r="C90" s="159"/>
      <c r="D90" s="159"/>
      <c r="E90" s="159"/>
      <c r="F90" s="159"/>
      <c r="G90" s="159"/>
      <c r="H90" s="159"/>
      <c r="I90" s="159"/>
      <c r="J90" s="159"/>
      <c r="K90" s="159"/>
      <c r="L90" s="159"/>
      <c r="M90" s="159"/>
      <c r="N90" s="159"/>
      <c r="V90" s="639"/>
    </row>
    <row r="91" spans="1:22" s="386" customFormat="1">
      <c r="A91" s="387"/>
      <c r="B91" s="159"/>
      <c r="C91" s="159"/>
      <c r="D91" s="159"/>
      <c r="E91" s="159"/>
      <c r="F91" s="159"/>
      <c r="G91" s="159"/>
      <c r="H91" s="159"/>
      <c r="I91" s="159"/>
      <c r="J91" s="159"/>
      <c r="K91" s="159"/>
      <c r="L91" s="159"/>
      <c r="M91" s="159"/>
      <c r="N91" s="159"/>
      <c r="V91" s="639"/>
    </row>
    <row r="92" spans="1:22" s="386" customFormat="1">
      <c r="A92" s="387"/>
      <c r="B92" s="159"/>
      <c r="C92" s="159"/>
      <c r="D92" s="159"/>
      <c r="E92" s="159"/>
      <c r="F92" s="159"/>
      <c r="G92" s="159"/>
      <c r="H92" s="159"/>
      <c r="I92" s="159"/>
      <c r="J92" s="159"/>
      <c r="K92" s="159"/>
      <c r="L92" s="159"/>
      <c r="M92" s="159"/>
      <c r="N92" s="159"/>
      <c r="V92" s="639"/>
    </row>
    <row r="93" spans="1:22" s="386" customFormat="1">
      <c r="A93" s="387"/>
      <c r="B93" s="159"/>
      <c r="C93" s="159"/>
      <c r="D93" s="159"/>
      <c r="E93" s="159"/>
      <c r="F93" s="159"/>
      <c r="G93" s="159"/>
      <c r="H93" s="159"/>
      <c r="I93" s="159"/>
      <c r="J93" s="159"/>
      <c r="K93" s="159"/>
      <c r="L93" s="159"/>
      <c r="M93" s="159"/>
      <c r="N93" s="159"/>
      <c r="V93" s="639"/>
    </row>
    <row r="94" spans="1:22" s="386" customFormat="1">
      <c r="A94" s="387"/>
      <c r="B94" s="159"/>
      <c r="C94" s="159"/>
      <c r="D94" s="159"/>
      <c r="E94" s="159"/>
      <c r="F94" s="159"/>
      <c r="G94" s="159"/>
      <c r="H94" s="159"/>
      <c r="I94" s="159"/>
      <c r="J94" s="159"/>
      <c r="K94" s="159"/>
      <c r="L94" s="159"/>
      <c r="M94" s="159"/>
      <c r="N94" s="159"/>
      <c r="V94" s="639"/>
    </row>
    <row r="95" spans="1:22" s="386" customFormat="1">
      <c r="A95" s="387"/>
      <c r="B95" s="159"/>
      <c r="C95" s="159"/>
      <c r="D95" s="159"/>
      <c r="E95" s="159"/>
      <c r="F95" s="159"/>
      <c r="G95" s="159"/>
      <c r="H95" s="159"/>
      <c r="I95" s="159"/>
      <c r="J95" s="159"/>
      <c r="K95" s="159"/>
      <c r="L95" s="159"/>
      <c r="M95" s="159"/>
      <c r="N95" s="159"/>
      <c r="V95" s="639"/>
    </row>
    <row r="96" spans="1:22" s="386" customFormat="1">
      <c r="A96" s="387"/>
      <c r="B96" s="159"/>
      <c r="C96" s="159"/>
      <c r="D96" s="159"/>
      <c r="E96" s="159"/>
      <c r="F96" s="159"/>
      <c r="G96" s="159"/>
      <c r="H96" s="159"/>
      <c r="I96" s="159"/>
      <c r="J96" s="159"/>
      <c r="K96" s="159"/>
      <c r="L96" s="159"/>
      <c r="M96" s="159"/>
      <c r="N96" s="159"/>
      <c r="V96" s="639"/>
    </row>
    <row r="97" spans="1:22" s="386" customFormat="1">
      <c r="A97" s="387"/>
      <c r="B97" s="159"/>
      <c r="C97" s="159"/>
      <c r="D97" s="159"/>
      <c r="E97" s="159"/>
      <c r="F97" s="159"/>
      <c r="G97" s="159"/>
      <c r="H97" s="159"/>
      <c r="I97" s="159"/>
      <c r="J97" s="159"/>
      <c r="K97" s="159"/>
      <c r="L97" s="159"/>
      <c r="M97" s="159"/>
      <c r="N97" s="159"/>
      <c r="V97" s="639"/>
    </row>
    <row r="98" spans="1:22" s="386" customFormat="1">
      <c r="A98" s="387"/>
      <c r="B98" s="159"/>
      <c r="C98" s="159"/>
      <c r="D98" s="159"/>
      <c r="E98" s="159"/>
      <c r="F98" s="159"/>
      <c r="G98" s="159"/>
      <c r="H98" s="159"/>
      <c r="I98" s="159"/>
      <c r="J98" s="159"/>
      <c r="K98" s="159"/>
      <c r="L98" s="159"/>
      <c r="M98" s="159"/>
      <c r="N98" s="159"/>
      <c r="V98" s="639"/>
    </row>
    <row r="99" spans="1:22" s="386" customFormat="1">
      <c r="A99" s="387"/>
      <c r="B99" s="159"/>
      <c r="C99" s="159"/>
      <c r="D99" s="159"/>
      <c r="E99" s="159"/>
      <c r="F99" s="159"/>
      <c r="G99" s="159"/>
      <c r="H99" s="159"/>
      <c r="I99" s="159"/>
      <c r="J99" s="159"/>
      <c r="K99" s="159"/>
      <c r="L99" s="159"/>
      <c r="M99" s="159"/>
      <c r="N99" s="159"/>
      <c r="V99" s="639"/>
    </row>
    <row r="100" spans="1:22" s="386" customFormat="1">
      <c r="A100" s="387"/>
      <c r="B100" s="159"/>
      <c r="C100" s="159"/>
      <c r="D100" s="159"/>
      <c r="E100" s="159"/>
      <c r="F100" s="159"/>
      <c r="G100" s="159"/>
      <c r="H100" s="159"/>
      <c r="I100" s="159"/>
      <c r="J100" s="159"/>
      <c r="K100" s="159"/>
      <c r="L100" s="159"/>
      <c r="M100" s="159"/>
      <c r="N100" s="159"/>
      <c r="V100" s="639"/>
    </row>
    <row r="101" spans="1:22" s="386" customFormat="1">
      <c r="A101" s="387"/>
      <c r="B101" s="159"/>
      <c r="C101" s="159"/>
      <c r="D101" s="159"/>
      <c r="E101" s="159"/>
      <c r="F101" s="159"/>
      <c r="G101" s="159"/>
      <c r="H101" s="159"/>
      <c r="I101" s="159"/>
      <c r="J101" s="159"/>
      <c r="K101" s="159"/>
      <c r="L101" s="159"/>
      <c r="M101" s="159"/>
      <c r="N101" s="159"/>
      <c r="V101" s="639"/>
    </row>
    <row r="102" spans="1:22" s="386" customFormat="1">
      <c r="A102" s="387"/>
      <c r="B102" s="159"/>
      <c r="C102" s="159"/>
      <c r="D102" s="159"/>
      <c r="E102" s="159"/>
      <c r="F102" s="159"/>
      <c r="G102" s="159"/>
      <c r="H102" s="159"/>
      <c r="I102" s="159"/>
      <c r="J102" s="159"/>
      <c r="K102" s="159"/>
      <c r="L102" s="159"/>
      <c r="M102" s="159"/>
      <c r="N102" s="159"/>
      <c r="V102" s="639"/>
    </row>
    <row r="103" spans="1:22" s="386" customFormat="1">
      <c r="A103" s="387"/>
      <c r="B103" s="159"/>
      <c r="C103" s="159"/>
      <c r="D103" s="159"/>
      <c r="E103" s="159"/>
      <c r="F103" s="159"/>
      <c r="G103" s="159"/>
      <c r="H103" s="159"/>
      <c r="I103" s="159"/>
      <c r="J103" s="159"/>
      <c r="K103" s="159"/>
      <c r="L103" s="159"/>
      <c r="M103" s="159"/>
      <c r="N103" s="159"/>
      <c r="V103" s="639"/>
    </row>
    <row r="104" spans="1:22" s="386" customFormat="1">
      <c r="A104" s="387"/>
      <c r="B104" s="159"/>
      <c r="C104" s="159"/>
      <c r="D104" s="159"/>
      <c r="E104" s="159"/>
      <c r="F104" s="159"/>
      <c r="G104" s="159"/>
      <c r="H104" s="159"/>
      <c r="I104" s="159"/>
      <c r="J104" s="159"/>
      <c r="K104" s="159"/>
      <c r="L104" s="159"/>
      <c r="M104" s="159"/>
      <c r="N104" s="159"/>
      <c r="V104" s="639"/>
    </row>
    <row r="105" spans="1:22" s="386" customFormat="1">
      <c r="A105" s="387"/>
      <c r="B105" s="159"/>
      <c r="C105" s="159"/>
      <c r="D105" s="159"/>
      <c r="E105" s="159"/>
      <c r="F105" s="159"/>
      <c r="G105" s="159"/>
      <c r="H105" s="159"/>
      <c r="I105" s="159"/>
      <c r="J105" s="159"/>
      <c r="K105" s="159"/>
      <c r="L105" s="159"/>
      <c r="M105" s="159"/>
      <c r="N105" s="159"/>
      <c r="V105" s="639"/>
    </row>
    <row r="106" spans="1:22" s="386" customFormat="1">
      <c r="A106" s="387"/>
      <c r="B106" s="159"/>
      <c r="C106" s="159"/>
      <c r="D106" s="159"/>
      <c r="E106" s="159"/>
      <c r="F106" s="159"/>
      <c r="G106" s="159"/>
      <c r="H106" s="159"/>
      <c r="I106" s="159"/>
      <c r="J106" s="159"/>
      <c r="K106" s="159"/>
      <c r="L106" s="159"/>
      <c r="M106" s="159"/>
      <c r="N106" s="159"/>
      <c r="V106" s="639"/>
    </row>
    <row r="107" spans="1:22" s="386" customFormat="1">
      <c r="A107" s="387"/>
      <c r="B107" s="159"/>
      <c r="C107" s="159"/>
      <c r="D107" s="159"/>
      <c r="E107" s="159"/>
      <c r="F107" s="159"/>
      <c r="G107" s="159"/>
      <c r="H107" s="159"/>
      <c r="I107" s="159"/>
      <c r="J107" s="159"/>
      <c r="K107" s="159"/>
      <c r="L107" s="159"/>
      <c r="M107" s="159"/>
      <c r="N107" s="159"/>
      <c r="V107" s="639"/>
    </row>
    <row r="108" spans="1:22" s="386" customFormat="1">
      <c r="A108" s="387"/>
      <c r="B108" s="159"/>
      <c r="C108" s="159"/>
      <c r="D108" s="159"/>
      <c r="E108" s="159"/>
      <c r="F108" s="159"/>
      <c r="G108" s="159"/>
      <c r="H108" s="159"/>
      <c r="I108" s="159"/>
      <c r="J108" s="159"/>
      <c r="K108" s="159"/>
      <c r="L108" s="159"/>
      <c r="M108" s="159"/>
      <c r="N108" s="159"/>
      <c r="V108" s="639"/>
    </row>
    <row r="109" spans="1:22" s="386" customFormat="1">
      <c r="A109" s="387"/>
      <c r="B109" s="159"/>
      <c r="C109" s="159"/>
      <c r="D109" s="159"/>
      <c r="E109" s="159"/>
      <c r="F109" s="159"/>
      <c r="G109" s="159"/>
      <c r="H109" s="159"/>
      <c r="I109" s="159"/>
      <c r="J109" s="159"/>
      <c r="K109" s="159"/>
      <c r="L109" s="159"/>
      <c r="M109" s="159"/>
      <c r="N109" s="159"/>
      <c r="V109" s="639"/>
    </row>
    <row r="110" spans="1:22" s="386" customFormat="1">
      <c r="A110" s="387"/>
      <c r="B110" s="159"/>
      <c r="C110" s="159"/>
      <c r="D110" s="159"/>
      <c r="E110" s="159"/>
      <c r="F110" s="159"/>
      <c r="G110" s="159"/>
      <c r="H110" s="159"/>
      <c r="I110" s="159"/>
      <c r="J110" s="159"/>
      <c r="K110" s="159"/>
      <c r="L110" s="159"/>
      <c r="M110" s="159"/>
      <c r="N110" s="159"/>
      <c r="V110" s="639"/>
    </row>
    <row r="111" spans="1:22" s="386" customFormat="1">
      <c r="A111" s="387"/>
      <c r="B111" s="159"/>
      <c r="C111" s="159"/>
      <c r="D111" s="159"/>
      <c r="E111" s="159"/>
      <c r="F111" s="159"/>
      <c r="G111" s="159"/>
      <c r="H111" s="159"/>
      <c r="I111" s="159"/>
      <c r="J111" s="159"/>
      <c r="K111" s="159"/>
      <c r="L111" s="159"/>
      <c r="M111" s="159"/>
      <c r="N111" s="159"/>
      <c r="V111" s="639"/>
    </row>
    <row r="112" spans="1:22" s="386" customFormat="1">
      <c r="A112" s="387"/>
      <c r="B112" s="159"/>
      <c r="C112" s="159"/>
      <c r="D112" s="159"/>
      <c r="E112" s="159"/>
      <c r="F112" s="159"/>
      <c r="G112" s="159"/>
      <c r="H112" s="159"/>
      <c r="I112" s="159"/>
      <c r="J112" s="159"/>
      <c r="K112" s="159"/>
      <c r="L112" s="159"/>
      <c r="M112" s="159"/>
      <c r="N112" s="159"/>
      <c r="V112" s="639"/>
    </row>
    <row r="113" spans="1:22" s="386" customFormat="1">
      <c r="A113" s="387"/>
      <c r="B113" s="159"/>
      <c r="C113" s="159"/>
      <c r="D113" s="159"/>
      <c r="E113" s="159"/>
      <c r="F113" s="159"/>
      <c r="G113" s="159"/>
      <c r="H113" s="159"/>
      <c r="I113" s="159"/>
      <c r="J113" s="159"/>
      <c r="K113" s="159"/>
      <c r="L113" s="159"/>
      <c r="M113" s="159"/>
      <c r="N113" s="159"/>
      <c r="V113" s="639"/>
    </row>
    <row r="114" spans="1:22" s="386" customFormat="1">
      <c r="A114" s="387"/>
      <c r="B114" s="159"/>
      <c r="C114" s="159"/>
      <c r="D114" s="159"/>
      <c r="E114" s="159"/>
      <c r="F114" s="159"/>
      <c r="G114" s="159"/>
      <c r="H114" s="159"/>
      <c r="I114" s="159"/>
      <c r="J114" s="159"/>
      <c r="K114" s="159"/>
      <c r="L114" s="159"/>
      <c r="M114" s="159"/>
      <c r="N114" s="159"/>
      <c r="V114" s="639"/>
    </row>
    <row r="115" spans="1:22" s="386" customFormat="1">
      <c r="A115" s="387"/>
      <c r="B115" s="159"/>
      <c r="C115" s="159"/>
      <c r="D115" s="159"/>
      <c r="E115" s="159"/>
      <c r="F115" s="159"/>
      <c r="G115" s="159"/>
      <c r="H115" s="159"/>
      <c r="I115" s="159"/>
      <c r="J115" s="159"/>
      <c r="K115" s="159"/>
      <c r="L115" s="159"/>
      <c r="M115" s="159"/>
      <c r="N115" s="159"/>
      <c r="V115" s="639"/>
    </row>
    <row r="116" spans="1:22" s="386" customFormat="1">
      <c r="A116" s="387"/>
      <c r="B116" s="159"/>
      <c r="C116" s="159"/>
      <c r="D116" s="159"/>
      <c r="E116" s="159"/>
      <c r="F116" s="159"/>
      <c r="G116" s="159"/>
      <c r="H116" s="159"/>
      <c r="I116" s="159"/>
      <c r="J116" s="159"/>
      <c r="K116" s="159"/>
      <c r="L116" s="159"/>
      <c r="M116" s="159"/>
      <c r="N116" s="159"/>
      <c r="V116" s="639"/>
    </row>
    <row r="117" spans="1:22" s="386" customFormat="1">
      <c r="A117" s="387"/>
      <c r="B117" s="159"/>
      <c r="C117" s="159"/>
      <c r="D117" s="159"/>
      <c r="E117" s="159"/>
      <c r="F117" s="159"/>
      <c r="G117" s="159"/>
      <c r="H117" s="159"/>
      <c r="I117" s="159"/>
      <c r="J117" s="159"/>
      <c r="K117" s="159"/>
      <c r="L117" s="159"/>
      <c r="M117" s="159"/>
      <c r="N117" s="159"/>
      <c r="V117" s="639"/>
    </row>
    <row r="118" spans="1:22" s="386" customFormat="1">
      <c r="A118" s="387"/>
      <c r="B118" s="159"/>
      <c r="C118" s="159"/>
      <c r="D118" s="159"/>
      <c r="E118" s="159"/>
      <c r="F118" s="159"/>
      <c r="G118" s="159"/>
      <c r="H118" s="159"/>
      <c r="I118" s="159"/>
      <c r="J118" s="159"/>
      <c r="K118" s="159"/>
      <c r="L118" s="159"/>
      <c r="M118" s="159"/>
      <c r="N118" s="159"/>
      <c r="V118" s="639"/>
    </row>
    <row r="119" spans="1:22" s="386" customFormat="1">
      <c r="A119" s="387"/>
      <c r="B119" s="159"/>
      <c r="C119" s="159"/>
      <c r="D119" s="159"/>
      <c r="E119" s="159"/>
      <c r="F119" s="159"/>
      <c r="G119" s="159"/>
      <c r="H119" s="159"/>
      <c r="I119" s="159"/>
      <c r="J119" s="159"/>
      <c r="K119" s="159"/>
      <c r="L119" s="159"/>
      <c r="M119" s="159"/>
      <c r="N119" s="159"/>
      <c r="V119" s="639"/>
    </row>
    <row r="120" spans="1:22" s="386" customFormat="1">
      <c r="A120" s="387"/>
      <c r="B120" s="159"/>
      <c r="C120" s="159"/>
      <c r="D120" s="159"/>
      <c r="E120" s="159"/>
      <c r="F120" s="159"/>
      <c r="G120" s="159"/>
      <c r="H120" s="159"/>
      <c r="I120" s="159"/>
      <c r="J120" s="159"/>
      <c r="K120" s="159"/>
      <c r="L120" s="159"/>
      <c r="M120" s="159"/>
      <c r="N120" s="159"/>
      <c r="V120" s="639"/>
    </row>
    <row r="121" spans="1:22" s="386" customFormat="1">
      <c r="A121" s="387"/>
      <c r="B121" s="159"/>
      <c r="C121" s="159"/>
      <c r="D121" s="159"/>
      <c r="E121" s="159"/>
      <c r="F121" s="159"/>
      <c r="G121" s="159"/>
      <c r="H121" s="159"/>
      <c r="I121" s="159"/>
      <c r="J121" s="159"/>
      <c r="K121" s="159"/>
      <c r="L121" s="159"/>
      <c r="M121" s="159"/>
      <c r="N121" s="159"/>
      <c r="V121" s="639"/>
    </row>
    <row r="122" spans="1:22" s="386" customFormat="1">
      <c r="A122" s="387"/>
      <c r="B122" s="159"/>
      <c r="C122" s="159"/>
      <c r="D122" s="159"/>
      <c r="E122" s="159"/>
      <c r="F122" s="159"/>
      <c r="G122" s="159"/>
      <c r="H122" s="159"/>
      <c r="I122" s="159"/>
      <c r="J122" s="159"/>
      <c r="K122" s="159"/>
      <c r="L122" s="159"/>
      <c r="M122" s="159"/>
      <c r="N122" s="159"/>
      <c r="V122" s="639"/>
    </row>
    <row r="123" spans="1:22" s="386" customFormat="1">
      <c r="A123" s="387"/>
      <c r="B123" s="159"/>
      <c r="C123" s="159"/>
      <c r="D123" s="159"/>
      <c r="E123" s="159"/>
      <c r="F123" s="159"/>
      <c r="G123" s="159"/>
      <c r="H123" s="159"/>
      <c r="I123" s="159"/>
      <c r="J123" s="159"/>
      <c r="K123" s="159"/>
      <c r="L123" s="159"/>
      <c r="M123" s="159"/>
      <c r="N123" s="159"/>
      <c r="V123" s="639"/>
    </row>
    <row r="124" spans="1:22" s="386" customFormat="1">
      <c r="A124" s="387"/>
      <c r="B124" s="159"/>
      <c r="C124" s="159"/>
      <c r="D124" s="159"/>
      <c r="E124" s="159"/>
      <c r="F124" s="159"/>
      <c r="G124" s="159"/>
      <c r="H124" s="159"/>
      <c r="I124" s="159"/>
      <c r="J124" s="159"/>
      <c r="K124" s="159"/>
      <c r="L124" s="159"/>
      <c r="M124" s="159"/>
      <c r="N124" s="159"/>
      <c r="V124" s="639"/>
    </row>
    <row r="125" spans="1:22" s="386" customFormat="1">
      <c r="A125" s="387"/>
      <c r="B125" s="159"/>
      <c r="C125" s="159"/>
      <c r="D125" s="159"/>
      <c r="E125" s="159"/>
      <c r="F125" s="159"/>
      <c r="G125" s="159"/>
      <c r="H125" s="159"/>
      <c r="I125" s="159"/>
      <c r="J125" s="159"/>
      <c r="K125" s="159"/>
      <c r="L125" s="159"/>
      <c r="M125" s="159"/>
      <c r="N125" s="159"/>
      <c r="V125" s="639"/>
    </row>
    <row r="126" spans="1:22" s="386" customFormat="1">
      <c r="A126" s="387"/>
      <c r="B126" s="159"/>
      <c r="C126" s="159"/>
      <c r="D126" s="159"/>
      <c r="E126" s="159"/>
      <c r="F126" s="159"/>
      <c r="G126" s="159"/>
      <c r="H126" s="159"/>
      <c r="I126" s="159"/>
      <c r="J126" s="159"/>
      <c r="K126" s="159"/>
      <c r="L126" s="159"/>
      <c r="M126" s="159"/>
      <c r="N126" s="159"/>
      <c r="V126" s="639"/>
    </row>
    <row r="127" spans="1:22" s="386" customFormat="1">
      <c r="A127" s="387"/>
      <c r="B127" s="159"/>
      <c r="C127" s="159"/>
      <c r="D127" s="159"/>
      <c r="E127" s="159"/>
      <c r="F127" s="159"/>
      <c r="G127" s="159"/>
      <c r="H127" s="159"/>
      <c r="I127" s="159"/>
      <c r="J127" s="159"/>
      <c r="K127" s="159"/>
      <c r="L127" s="159"/>
      <c r="M127" s="159"/>
      <c r="N127" s="159"/>
      <c r="V127" s="639"/>
    </row>
    <row r="128" spans="1:22" s="386" customFormat="1">
      <c r="A128" s="387"/>
      <c r="B128" s="159"/>
      <c r="C128" s="159"/>
      <c r="D128" s="159"/>
      <c r="E128" s="159"/>
      <c r="F128" s="159"/>
      <c r="G128" s="159"/>
      <c r="H128" s="159"/>
      <c r="I128" s="159"/>
      <c r="J128" s="159"/>
      <c r="K128" s="159"/>
      <c r="L128" s="159"/>
      <c r="M128" s="159"/>
      <c r="N128" s="159"/>
      <c r="V128" s="639"/>
    </row>
    <row r="129" spans="1:22" s="386" customFormat="1">
      <c r="A129" s="387"/>
      <c r="B129" s="159"/>
      <c r="C129" s="159"/>
      <c r="D129" s="159"/>
      <c r="E129" s="159"/>
      <c r="F129" s="159"/>
      <c r="G129" s="159"/>
      <c r="H129" s="159"/>
      <c r="I129" s="159"/>
      <c r="J129" s="159"/>
      <c r="K129" s="159"/>
      <c r="L129" s="159"/>
      <c r="M129" s="159"/>
      <c r="N129" s="159"/>
      <c r="V129" s="639"/>
    </row>
    <row r="130" spans="1:22" s="386" customFormat="1">
      <c r="A130" s="387"/>
      <c r="B130" s="159"/>
      <c r="C130" s="159"/>
      <c r="D130" s="159"/>
      <c r="E130" s="159"/>
      <c r="F130" s="159"/>
      <c r="G130" s="159"/>
      <c r="H130" s="159"/>
      <c r="I130" s="159"/>
      <c r="J130" s="159"/>
      <c r="K130" s="159"/>
      <c r="L130" s="159"/>
      <c r="M130" s="159"/>
      <c r="N130" s="159"/>
      <c r="V130" s="639"/>
    </row>
    <row r="131" spans="1:22" s="386" customFormat="1">
      <c r="A131" s="387"/>
      <c r="B131" s="159"/>
      <c r="C131" s="159"/>
      <c r="D131" s="159"/>
      <c r="E131" s="159"/>
      <c r="F131" s="159"/>
      <c r="G131" s="159"/>
      <c r="H131" s="159"/>
      <c r="I131" s="159"/>
      <c r="J131" s="159"/>
      <c r="K131" s="159"/>
      <c r="L131" s="159"/>
      <c r="M131" s="159"/>
      <c r="N131" s="159"/>
      <c r="V131" s="639"/>
    </row>
    <row r="132" spans="1:22" s="386" customFormat="1">
      <c r="A132" s="387"/>
      <c r="B132" s="159"/>
      <c r="C132" s="159"/>
      <c r="D132" s="159"/>
      <c r="E132" s="159"/>
      <c r="F132" s="159"/>
      <c r="G132" s="159"/>
      <c r="H132" s="159"/>
      <c r="I132" s="159"/>
      <c r="J132" s="159"/>
      <c r="K132" s="159"/>
      <c r="L132" s="159"/>
      <c r="M132" s="159"/>
      <c r="N132" s="159"/>
      <c r="V132" s="639"/>
    </row>
    <row r="133" spans="1:22" s="386" customFormat="1">
      <c r="A133" s="387"/>
      <c r="B133" s="159"/>
      <c r="C133" s="159"/>
      <c r="D133" s="159"/>
      <c r="E133" s="159"/>
      <c r="F133" s="159"/>
      <c r="G133" s="159"/>
      <c r="H133" s="159"/>
      <c r="I133" s="159"/>
      <c r="J133" s="159"/>
      <c r="K133" s="159"/>
      <c r="L133" s="159"/>
      <c r="M133" s="159"/>
      <c r="N133" s="159"/>
      <c r="V133" s="639"/>
    </row>
    <row r="134" spans="1:22" s="386" customFormat="1">
      <c r="A134" s="387"/>
      <c r="B134" s="159"/>
      <c r="C134" s="159"/>
      <c r="D134" s="159"/>
      <c r="E134" s="159"/>
      <c r="F134" s="159"/>
      <c r="G134" s="159"/>
      <c r="H134" s="159"/>
      <c r="I134" s="159"/>
      <c r="J134" s="159"/>
      <c r="K134" s="159"/>
      <c r="L134" s="159"/>
      <c r="M134" s="159"/>
      <c r="N134" s="159"/>
      <c r="V134" s="639"/>
    </row>
    <row r="135" spans="1:22" s="386" customFormat="1">
      <c r="A135" s="387"/>
      <c r="B135" s="159"/>
      <c r="C135" s="159"/>
      <c r="D135" s="159"/>
      <c r="E135" s="159"/>
      <c r="F135" s="159"/>
      <c r="G135" s="159"/>
      <c r="H135" s="159"/>
      <c r="I135" s="159"/>
      <c r="J135" s="159"/>
      <c r="K135" s="159"/>
      <c r="L135" s="159"/>
      <c r="M135" s="159"/>
      <c r="N135" s="159"/>
      <c r="V135" s="639"/>
    </row>
    <row r="136" spans="1:22" s="386" customFormat="1">
      <c r="A136" s="387"/>
      <c r="B136" s="159"/>
      <c r="C136" s="159"/>
      <c r="D136" s="159"/>
      <c r="E136" s="159"/>
      <c r="F136" s="159"/>
      <c r="G136" s="159"/>
      <c r="H136" s="159"/>
      <c r="I136" s="159"/>
      <c r="J136" s="159"/>
      <c r="K136" s="159"/>
      <c r="L136" s="159"/>
      <c r="M136" s="159"/>
      <c r="N136" s="159"/>
      <c r="V136" s="639"/>
    </row>
    <row r="137" spans="1:22" s="386" customFormat="1">
      <c r="A137" s="387"/>
      <c r="B137" s="159"/>
      <c r="C137" s="159"/>
      <c r="D137" s="159"/>
      <c r="E137" s="159"/>
      <c r="F137" s="159"/>
      <c r="G137" s="159"/>
      <c r="H137" s="159"/>
      <c r="I137" s="159"/>
      <c r="J137" s="159"/>
      <c r="K137" s="159"/>
      <c r="L137" s="159"/>
      <c r="M137" s="159"/>
      <c r="N137" s="159"/>
      <c r="V137" s="639"/>
    </row>
    <row r="138" spans="1:22" s="386" customFormat="1">
      <c r="A138" s="387"/>
      <c r="B138" s="159"/>
      <c r="C138" s="159"/>
      <c r="D138" s="159"/>
      <c r="E138" s="159"/>
      <c r="F138" s="159"/>
      <c r="G138" s="159"/>
      <c r="H138" s="159"/>
      <c r="I138" s="159"/>
      <c r="J138" s="159"/>
      <c r="K138" s="159"/>
      <c r="L138" s="159"/>
      <c r="M138" s="159"/>
      <c r="N138" s="159"/>
      <c r="V138" s="639"/>
    </row>
    <row r="139" spans="1:22" s="386" customFormat="1">
      <c r="A139" s="387"/>
      <c r="B139" s="159"/>
      <c r="C139" s="159"/>
      <c r="D139" s="159"/>
      <c r="E139" s="159"/>
      <c r="F139" s="159"/>
      <c r="G139" s="159"/>
      <c r="H139" s="159"/>
      <c r="I139" s="159"/>
      <c r="J139" s="159"/>
      <c r="K139" s="159"/>
      <c r="L139" s="159"/>
      <c r="M139" s="159"/>
      <c r="N139" s="159"/>
      <c r="V139" s="639"/>
    </row>
    <row r="140" spans="1:22" s="386" customFormat="1">
      <c r="A140" s="387"/>
      <c r="B140" s="159"/>
      <c r="C140" s="159"/>
      <c r="D140" s="159"/>
      <c r="E140" s="159"/>
      <c r="F140" s="159"/>
      <c r="G140" s="159"/>
      <c r="H140" s="159"/>
      <c r="I140" s="159"/>
      <c r="J140" s="159"/>
      <c r="K140" s="159"/>
      <c r="L140" s="159"/>
      <c r="M140" s="159"/>
      <c r="N140" s="159"/>
      <c r="V140" s="639"/>
    </row>
    <row r="141" spans="1:22" s="386" customFormat="1">
      <c r="A141" s="387"/>
      <c r="B141" s="159"/>
      <c r="C141" s="159"/>
      <c r="D141" s="159"/>
      <c r="E141" s="159"/>
      <c r="F141" s="159"/>
      <c r="G141" s="159"/>
      <c r="H141" s="159"/>
      <c r="I141" s="159"/>
      <c r="J141" s="159"/>
      <c r="K141" s="159"/>
      <c r="L141" s="159"/>
      <c r="M141" s="159"/>
      <c r="N141" s="159"/>
      <c r="V141" s="639"/>
    </row>
    <row r="142" spans="1:22" s="386" customFormat="1">
      <c r="A142" s="387"/>
      <c r="B142" s="159"/>
      <c r="C142" s="159"/>
      <c r="D142" s="159"/>
      <c r="E142" s="159"/>
      <c r="F142" s="159"/>
      <c r="G142" s="159"/>
      <c r="H142" s="159"/>
      <c r="I142" s="159"/>
      <c r="J142" s="159"/>
      <c r="K142" s="159"/>
      <c r="L142" s="159"/>
      <c r="M142" s="159"/>
      <c r="N142" s="159"/>
      <c r="V142" s="639"/>
    </row>
    <row r="143" spans="1:22" s="386" customFormat="1">
      <c r="A143" s="387"/>
      <c r="B143" s="159"/>
      <c r="C143" s="159"/>
      <c r="D143" s="159"/>
      <c r="E143" s="159"/>
      <c r="F143" s="159"/>
      <c r="G143" s="159"/>
      <c r="H143" s="159"/>
      <c r="I143" s="159"/>
      <c r="J143" s="159"/>
      <c r="K143" s="159"/>
      <c r="L143" s="159"/>
      <c r="M143" s="159"/>
      <c r="N143" s="159"/>
      <c r="V143" s="639"/>
    </row>
    <row r="144" spans="1:22" s="386" customFormat="1">
      <c r="A144" s="387"/>
      <c r="B144" s="159"/>
      <c r="C144" s="159"/>
      <c r="D144" s="159"/>
      <c r="E144" s="159"/>
      <c r="F144" s="159"/>
      <c r="G144" s="159"/>
      <c r="H144" s="159"/>
      <c r="I144" s="159"/>
      <c r="J144" s="159"/>
      <c r="K144" s="159"/>
      <c r="L144" s="159"/>
      <c r="M144" s="159"/>
      <c r="N144" s="159"/>
      <c r="V144" s="639"/>
    </row>
    <row r="145" spans="1:22" s="386" customFormat="1">
      <c r="A145" s="387"/>
      <c r="B145" s="159"/>
      <c r="C145" s="159"/>
      <c r="D145" s="159"/>
      <c r="E145" s="159"/>
      <c r="F145" s="159"/>
      <c r="G145" s="159"/>
      <c r="H145" s="159"/>
      <c r="I145" s="159"/>
      <c r="J145" s="159"/>
      <c r="K145" s="159"/>
      <c r="L145" s="159"/>
      <c r="M145" s="159"/>
      <c r="N145" s="159"/>
      <c r="V145" s="639"/>
    </row>
    <row r="146" spans="1:22" s="386" customFormat="1">
      <c r="A146" s="387"/>
      <c r="B146" s="159"/>
      <c r="C146" s="159"/>
      <c r="D146" s="159"/>
      <c r="E146" s="159"/>
      <c r="F146" s="159"/>
      <c r="G146" s="159"/>
      <c r="H146" s="159"/>
      <c r="I146" s="159"/>
      <c r="J146" s="159"/>
      <c r="K146" s="159"/>
      <c r="L146" s="159"/>
      <c r="M146" s="159"/>
      <c r="N146" s="159"/>
      <c r="V146" s="639"/>
    </row>
    <row r="147" spans="1:22" s="386" customFormat="1">
      <c r="A147" s="387"/>
      <c r="B147" s="159"/>
      <c r="C147" s="159"/>
      <c r="D147" s="159"/>
      <c r="E147" s="159"/>
      <c r="F147" s="159"/>
      <c r="G147" s="159"/>
      <c r="H147" s="159"/>
      <c r="I147" s="159"/>
      <c r="J147" s="159"/>
      <c r="K147" s="159"/>
      <c r="L147" s="159"/>
      <c r="M147" s="159"/>
      <c r="N147" s="159"/>
      <c r="V147" s="639"/>
    </row>
    <row r="148" spans="1:22" s="386" customFormat="1">
      <c r="A148" s="387"/>
      <c r="B148" s="159"/>
      <c r="C148" s="159"/>
      <c r="D148" s="159"/>
      <c r="E148" s="159"/>
      <c r="F148" s="159"/>
      <c r="G148" s="159"/>
      <c r="H148" s="159"/>
      <c r="I148" s="159"/>
      <c r="J148" s="159"/>
      <c r="K148" s="159"/>
      <c r="L148" s="159"/>
      <c r="M148" s="159"/>
      <c r="N148" s="159"/>
      <c r="V148" s="639"/>
    </row>
    <row r="149" spans="1:22" s="386" customFormat="1">
      <c r="A149" s="387"/>
      <c r="B149" s="159"/>
      <c r="C149" s="159"/>
      <c r="D149" s="159"/>
      <c r="E149" s="159"/>
      <c r="F149" s="159"/>
      <c r="G149" s="159"/>
      <c r="H149" s="159"/>
      <c r="I149" s="159"/>
      <c r="J149" s="159"/>
      <c r="K149" s="159"/>
      <c r="L149" s="159"/>
      <c r="M149" s="159"/>
      <c r="N149" s="159"/>
      <c r="V149" s="639"/>
    </row>
    <row r="150" spans="1:22" s="386" customFormat="1">
      <c r="A150" s="387"/>
      <c r="B150" s="159"/>
      <c r="C150" s="159"/>
      <c r="D150" s="159"/>
      <c r="E150" s="159"/>
      <c r="F150" s="159"/>
      <c r="G150" s="159"/>
      <c r="H150" s="159"/>
      <c r="I150" s="159"/>
      <c r="J150" s="159"/>
      <c r="K150" s="159"/>
      <c r="L150" s="159"/>
      <c r="M150" s="159"/>
      <c r="N150" s="159"/>
      <c r="V150" s="639"/>
    </row>
    <row r="151" spans="1:22" s="386" customFormat="1">
      <c r="A151" s="387"/>
      <c r="B151" s="159"/>
      <c r="C151" s="159"/>
      <c r="D151" s="159"/>
      <c r="E151" s="159"/>
      <c r="F151" s="159"/>
      <c r="G151" s="159"/>
      <c r="H151" s="159"/>
      <c r="I151" s="159"/>
      <c r="J151" s="159"/>
      <c r="K151" s="159"/>
      <c r="L151" s="159"/>
      <c r="M151" s="159"/>
      <c r="N151" s="159"/>
      <c r="V151" s="639"/>
    </row>
    <row r="152" spans="1:22" s="386" customFormat="1">
      <c r="A152" s="387"/>
      <c r="B152" s="159"/>
      <c r="C152" s="159"/>
      <c r="D152" s="159"/>
      <c r="E152" s="159"/>
      <c r="F152" s="159"/>
      <c r="G152" s="159"/>
      <c r="H152" s="159"/>
      <c r="I152" s="159"/>
      <c r="J152" s="159"/>
      <c r="K152" s="159"/>
      <c r="L152" s="159"/>
      <c r="M152" s="159"/>
      <c r="N152" s="159"/>
      <c r="V152" s="639"/>
    </row>
    <row r="153" spans="1:22" s="386" customFormat="1">
      <c r="A153" s="387"/>
      <c r="B153" s="159"/>
      <c r="C153" s="159"/>
      <c r="D153" s="159"/>
      <c r="E153" s="159"/>
      <c r="F153" s="159"/>
      <c r="G153" s="159"/>
      <c r="H153" s="159"/>
      <c r="I153" s="159"/>
      <c r="J153" s="159"/>
      <c r="K153" s="159"/>
      <c r="L153" s="159"/>
      <c r="M153" s="159"/>
      <c r="N153" s="159"/>
      <c r="V153" s="639"/>
    </row>
    <row r="154" spans="1:22" s="386" customFormat="1">
      <c r="A154" s="387"/>
      <c r="B154" s="159"/>
      <c r="C154" s="159"/>
      <c r="D154" s="159"/>
      <c r="E154" s="159"/>
      <c r="F154" s="159"/>
      <c r="G154" s="159"/>
      <c r="H154" s="159"/>
      <c r="I154" s="159"/>
      <c r="J154" s="159"/>
      <c r="K154" s="159"/>
      <c r="L154" s="159"/>
      <c r="M154" s="159"/>
      <c r="N154" s="159"/>
      <c r="V154" s="639"/>
    </row>
    <row r="155" spans="1:22" s="386" customFormat="1">
      <c r="A155" s="387"/>
      <c r="B155" s="159"/>
      <c r="C155" s="159"/>
      <c r="D155" s="159"/>
      <c r="E155" s="159"/>
      <c r="F155" s="159"/>
      <c r="G155" s="159"/>
      <c r="H155" s="159"/>
      <c r="I155" s="159"/>
      <c r="J155" s="159"/>
      <c r="K155" s="159"/>
      <c r="L155" s="159"/>
      <c r="M155" s="159"/>
      <c r="N155" s="159"/>
      <c r="V155" s="639"/>
    </row>
    <row r="156" spans="1:22" s="386" customFormat="1">
      <c r="A156" s="387"/>
      <c r="B156" s="159"/>
      <c r="C156" s="159"/>
      <c r="D156" s="159"/>
      <c r="E156" s="159"/>
      <c r="F156" s="159"/>
      <c r="G156" s="159"/>
      <c r="H156" s="159"/>
      <c r="I156" s="159"/>
      <c r="J156" s="159"/>
      <c r="K156" s="159"/>
      <c r="L156" s="159"/>
      <c r="M156" s="159"/>
      <c r="N156" s="159"/>
      <c r="V156" s="639"/>
    </row>
    <row r="157" spans="1:22" s="386" customFormat="1">
      <c r="A157" s="387"/>
      <c r="B157" s="159"/>
      <c r="C157" s="159"/>
      <c r="D157" s="159"/>
      <c r="E157" s="159"/>
      <c r="F157" s="159"/>
      <c r="G157" s="159"/>
      <c r="H157" s="159"/>
      <c r="I157" s="159"/>
      <c r="J157" s="159"/>
      <c r="K157" s="159"/>
      <c r="L157" s="159"/>
      <c r="M157" s="159"/>
      <c r="N157" s="159"/>
      <c r="V157" s="639"/>
    </row>
    <row r="158" spans="1:22" s="386" customFormat="1">
      <c r="A158" s="387"/>
      <c r="B158" s="159"/>
      <c r="C158" s="159"/>
      <c r="D158" s="159"/>
      <c r="E158" s="159"/>
      <c r="F158" s="159"/>
      <c r="G158" s="159"/>
      <c r="H158" s="159"/>
      <c r="I158" s="159"/>
      <c r="J158" s="159"/>
      <c r="K158" s="159"/>
      <c r="L158" s="159"/>
      <c r="M158" s="159"/>
      <c r="N158" s="159"/>
      <c r="V158" s="639"/>
    </row>
    <row r="159" spans="1:22" s="386" customFormat="1">
      <c r="A159" s="387"/>
      <c r="B159" s="159"/>
      <c r="C159" s="159"/>
      <c r="D159" s="159"/>
      <c r="E159" s="159"/>
      <c r="F159" s="159"/>
      <c r="G159" s="159"/>
      <c r="H159" s="159"/>
      <c r="I159" s="159"/>
      <c r="J159" s="159"/>
      <c r="K159" s="159"/>
      <c r="L159" s="159"/>
      <c r="M159" s="159"/>
      <c r="N159" s="159"/>
      <c r="V159" s="639"/>
    </row>
    <row r="160" spans="1:22" s="386" customFormat="1">
      <c r="A160" s="387"/>
      <c r="B160" s="159"/>
      <c r="C160" s="159"/>
      <c r="D160" s="159"/>
      <c r="E160" s="159"/>
      <c r="F160" s="159"/>
      <c r="G160" s="159"/>
      <c r="H160" s="159"/>
      <c r="I160" s="159"/>
      <c r="J160" s="159"/>
      <c r="K160" s="159"/>
      <c r="L160" s="159"/>
      <c r="M160" s="159"/>
      <c r="N160" s="159"/>
      <c r="V160" s="639"/>
    </row>
    <row r="161" spans="1:22" s="386" customFormat="1">
      <c r="A161" s="387"/>
      <c r="B161" s="159"/>
      <c r="C161" s="159"/>
      <c r="D161" s="159"/>
      <c r="E161" s="159"/>
      <c r="F161" s="159"/>
      <c r="G161" s="159"/>
      <c r="H161" s="159"/>
      <c r="I161" s="159"/>
      <c r="J161" s="159"/>
      <c r="K161" s="159"/>
      <c r="L161" s="159"/>
      <c r="M161" s="159"/>
      <c r="N161" s="159"/>
      <c r="V161" s="639"/>
    </row>
    <row r="162" spans="1:22" s="386" customFormat="1">
      <c r="A162" s="387"/>
      <c r="B162" s="159"/>
      <c r="C162" s="159"/>
      <c r="D162" s="159"/>
      <c r="E162" s="159"/>
      <c r="F162" s="159"/>
      <c r="G162" s="159"/>
      <c r="H162" s="159"/>
      <c r="I162" s="159"/>
      <c r="J162" s="159"/>
      <c r="K162" s="159"/>
      <c r="L162" s="159"/>
      <c r="M162" s="159"/>
      <c r="N162" s="159"/>
      <c r="V162" s="639"/>
    </row>
    <row r="163" spans="1:22" s="386" customFormat="1">
      <c r="A163" s="387"/>
      <c r="B163" s="159"/>
      <c r="C163" s="159"/>
      <c r="D163" s="159"/>
      <c r="E163" s="159"/>
      <c r="F163" s="159"/>
      <c r="G163" s="159"/>
      <c r="H163" s="159"/>
      <c r="I163" s="159"/>
      <c r="J163" s="159"/>
      <c r="K163" s="159"/>
      <c r="L163" s="159"/>
      <c r="M163" s="159"/>
      <c r="N163" s="159"/>
      <c r="V163" s="639"/>
    </row>
    <row r="164" spans="1:22" s="386" customFormat="1">
      <c r="A164" s="387"/>
      <c r="B164" s="159"/>
      <c r="C164" s="159"/>
      <c r="D164" s="159"/>
      <c r="E164" s="159"/>
      <c r="F164" s="159"/>
      <c r="G164" s="159"/>
      <c r="H164" s="159"/>
      <c r="I164" s="159"/>
      <c r="J164" s="159"/>
      <c r="K164" s="159"/>
      <c r="L164" s="159"/>
      <c r="M164" s="159"/>
      <c r="N164" s="159"/>
      <c r="V164" s="639"/>
    </row>
    <row r="165" spans="1:22" s="386" customFormat="1">
      <c r="A165" s="387"/>
      <c r="B165" s="159"/>
      <c r="C165" s="159"/>
      <c r="D165" s="159"/>
      <c r="E165" s="159"/>
      <c r="F165" s="159"/>
      <c r="G165" s="159"/>
      <c r="H165" s="159"/>
      <c r="I165" s="159"/>
      <c r="J165" s="159"/>
      <c r="K165" s="159"/>
      <c r="L165" s="159"/>
      <c r="M165" s="159"/>
      <c r="N165" s="159"/>
      <c r="V165" s="639"/>
    </row>
    <row r="166" spans="1:22" s="386" customFormat="1">
      <c r="A166" s="387"/>
      <c r="B166" s="159"/>
      <c r="C166" s="159"/>
      <c r="D166" s="159"/>
      <c r="E166" s="159"/>
      <c r="F166" s="159"/>
      <c r="G166" s="159"/>
      <c r="H166" s="159"/>
      <c r="I166" s="159"/>
      <c r="J166" s="159"/>
      <c r="K166" s="159"/>
      <c r="L166" s="159"/>
      <c r="M166" s="159"/>
      <c r="N166" s="159"/>
      <c r="V166" s="639"/>
    </row>
    <row r="167" spans="1:22" s="386" customFormat="1">
      <c r="A167" s="387"/>
      <c r="B167" s="159"/>
      <c r="C167" s="159"/>
      <c r="D167" s="159"/>
      <c r="E167" s="159"/>
      <c r="F167" s="159"/>
      <c r="G167" s="159"/>
      <c r="H167" s="159"/>
      <c r="I167" s="159"/>
      <c r="J167" s="159"/>
      <c r="K167" s="159"/>
      <c r="L167" s="159"/>
      <c r="M167" s="159"/>
      <c r="N167" s="159"/>
      <c r="V167" s="639"/>
    </row>
    <row r="168" spans="1:22" s="386" customFormat="1">
      <c r="A168" s="387"/>
      <c r="B168" s="159"/>
      <c r="C168" s="159"/>
      <c r="D168" s="159"/>
      <c r="E168" s="159"/>
      <c r="F168" s="159"/>
      <c r="G168" s="159"/>
      <c r="H168" s="159"/>
      <c r="I168" s="159"/>
      <c r="J168" s="159"/>
      <c r="K168" s="159"/>
      <c r="L168" s="159"/>
      <c r="M168" s="159"/>
      <c r="N168" s="159"/>
      <c r="V168" s="639"/>
    </row>
    <row r="169" spans="1:22" s="386" customFormat="1">
      <c r="A169" s="387"/>
      <c r="B169" s="159"/>
      <c r="C169" s="159"/>
      <c r="D169" s="159"/>
      <c r="E169" s="159"/>
      <c r="F169" s="159"/>
      <c r="G169" s="159"/>
      <c r="H169" s="159"/>
      <c r="I169" s="159"/>
      <c r="J169" s="159"/>
      <c r="K169" s="159"/>
      <c r="L169" s="159"/>
      <c r="M169" s="159"/>
      <c r="N169" s="159"/>
      <c r="V169" s="639"/>
    </row>
    <row r="170" spans="1:22" s="386" customFormat="1">
      <c r="A170" s="387"/>
      <c r="B170" s="159"/>
      <c r="C170" s="159"/>
      <c r="D170" s="159"/>
      <c r="E170" s="159"/>
      <c r="F170" s="159"/>
      <c r="G170" s="159"/>
      <c r="H170" s="159"/>
      <c r="I170" s="159"/>
      <c r="J170" s="159"/>
      <c r="K170" s="159"/>
      <c r="L170" s="159"/>
      <c r="M170" s="159"/>
      <c r="N170" s="159"/>
      <c r="V170" s="639"/>
    </row>
    <row r="171" spans="1:22" s="386" customFormat="1">
      <c r="A171" s="387"/>
      <c r="B171" s="159"/>
      <c r="C171" s="159"/>
      <c r="D171" s="159"/>
      <c r="E171" s="159"/>
      <c r="F171" s="159"/>
      <c r="G171" s="159"/>
      <c r="H171" s="159"/>
      <c r="I171" s="159"/>
      <c r="J171" s="159"/>
      <c r="K171" s="159"/>
      <c r="L171" s="159"/>
      <c r="M171" s="159"/>
      <c r="N171" s="159"/>
      <c r="V171" s="639"/>
    </row>
    <row r="172" spans="1:22" s="386" customFormat="1">
      <c r="A172" s="387"/>
      <c r="B172" s="159"/>
      <c r="C172" s="159"/>
      <c r="D172" s="159"/>
      <c r="E172" s="159"/>
      <c r="F172" s="159"/>
      <c r="G172" s="159"/>
      <c r="H172" s="159"/>
      <c r="I172" s="159"/>
      <c r="J172" s="159"/>
      <c r="K172" s="159"/>
      <c r="L172" s="159"/>
      <c r="M172" s="159"/>
      <c r="N172" s="159"/>
      <c r="V172" s="639"/>
    </row>
    <row r="173" spans="1:22" s="386" customFormat="1">
      <c r="A173" s="387"/>
      <c r="B173" s="159"/>
      <c r="C173" s="159"/>
      <c r="D173" s="159"/>
      <c r="E173" s="159"/>
      <c r="F173" s="159"/>
      <c r="G173" s="159"/>
      <c r="H173" s="159"/>
      <c r="I173" s="159"/>
      <c r="J173" s="159"/>
      <c r="K173" s="159"/>
      <c r="L173" s="159"/>
      <c r="M173" s="159"/>
      <c r="N173" s="159"/>
      <c r="V173" s="639"/>
    </row>
    <row r="174" spans="1:22" s="386" customFormat="1">
      <c r="A174" s="387"/>
      <c r="B174" s="159"/>
      <c r="C174" s="159"/>
      <c r="D174" s="159"/>
      <c r="E174" s="159"/>
      <c r="F174" s="159"/>
      <c r="G174" s="159"/>
      <c r="H174" s="159"/>
      <c r="I174" s="159"/>
      <c r="J174" s="159"/>
      <c r="K174" s="159"/>
      <c r="L174" s="159"/>
      <c r="M174" s="159"/>
      <c r="N174" s="159"/>
      <c r="V174" s="639"/>
    </row>
    <row r="175" spans="1:22" s="386" customFormat="1">
      <c r="A175" s="387"/>
      <c r="B175" s="159"/>
      <c r="C175" s="159"/>
      <c r="D175" s="159"/>
      <c r="E175" s="159"/>
      <c r="F175" s="159"/>
      <c r="G175" s="159"/>
      <c r="H175" s="159"/>
      <c r="I175" s="159"/>
      <c r="J175" s="159"/>
      <c r="K175" s="159"/>
      <c r="L175" s="159"/>
      <c r="M175" s="159"/>
      <c r="N175" s="159"/>
      <c r="V175" s="639"/>
    </row>
    <row r="176" spans="1:22" s="386" customFormat="1">
      <c r="A176" s="387"/>
      <c r="B176" s="159"/>
      <c r="C176" s="159"/>
      <c r="D176" s="159"/>
      <c r="E176" s="159"/>
      <c r="F176" s="159"/>
      <c r="G176" s="159"/>
      <c r="H176" s="159"/>
      <c r="I176" s="159"/>
      <c r="J176" s="159"/>
      <c r="K176" s="159"/>
      <c r="L176" s="159"/>
      <c r="M176" s="159"/>
      <c r="N176" s="159"/>
      <c r="V176" s="639"/>
    </row>
    <row r="177" spans="1:22" s="386" customFormat="1">
      <c r="A177" s="387"/>
      <c r="B177" s="159"/>
      <c r="C177" s="159"/>
      <c r="D177" s="159"/>
      <c r="E177" s="159"/>
      <c r="F177" s="159"/>
      <c r="G177" s="159"/>
      <c r="H177" s="159"/>
      <c r="I177" s="159"/>
      <c r="J177" s="159"/>
      <c r="K177" s="159"/>
      <c r="L177" s="159"/>
      <c r="M177" s="159"/>
      <c r="N177" s="159"/>
      <c r="V177" s="639"/>
    </row>
    <row r="178" spans="1:22" s="386" customFormat="1">
      <c r="A178" s="387"/>
      <c r="B178" s="159"/>
      <c r="C178" s="159"/>
      <c r="D178" s="159"/>
      <c r="E178" s="159"/>
      <c r="F178" s="159"/>
      <c r="G178" s="159"/>
      <c r="H178" s="159"/>
      <c r="I178" s="159"/>
      <c r="J178" s="159"/>
      <c r="K178" s="159"/>
      <c r="L178" s="159"/>
      <c r="M178" s="159"/>
      <c r="N178" s="159"/>
      <c r="V178" s="639"/>
    </row>
    <row r="179" spans="1:22" s="386" customFormat="1">
      <c r="A179" s="387"/>
      <c r="B179" s="159"/>
      <c r="C179" s="159"/>
      <c r="D179" s="159"/>
      <c r="E179" s="159"/>
      <c r="F179" s="159"/>
      <c r="G179" s="159"/>
      <c r="H179" s="159"/>
      <c r="I179" s="159"/>
      <c r="J179" s="159"/>
      <c r="K179" s="159"/>
      <c r="L179" s="159"/>
      <c r="M179" s="159"/>
      <c r="N179" s="159"/>
      <c r="V179" s="639"/>
    </row>
    <row r="180" spans="1:22" s="386" customFormat="1">
      <c r="A180" s="387"/>
      <c r="B180" s="159"/>
      <c r="C180" s="159"/>
      <c r="D180" s="159"/>
      <c r="E180" s="159"/>
      <c r="F180" s="159"/>
      <c r="G180" s="159"/>
      <c r="H180" s="159"/>
      <c r="I180" s="159"/>
      <c r="J180" s="159"/>
      <c r="K180" s="159"/>
      <c r="L180" s="159"/>
      <c r="M180" s="159"/>
      <c r="N180" s="159"/>
      <c r="V180" s="639"/>
    </row>
    <row r="181" spans="1:22" s="386" customFormat="1">
      <c r="A181" s="387"/>
      <c r="B181" s="159"/>
      <c r="C181" s="159"/>
      <c r="D181" s="159"/>
      <c r="E181" s="159"/>
      <c r="F181" s="159"/>
      <c r="G181" s="159"/>
      <c r="H181" s="159"/>
      <c r="I181" s="159"/>
      <c r="J181" s="159"/>
      <c r="K181" s="159"/>
      <c r="L181" s="159"/>
      <c r="M181" s="159"/>
      <c r="N181" s="159"/>
      <c r="V181" s="639"/>
    </row>
    <row r="182" spans="1:22" s="386" customFormat="1">
      <c r="A182" s="387"/>
      <c r="B182" s="159"/>
      <c r="C182" s="159"/>
      <c r="D182" s="159"/>
      <c r="E182" s="159"/>
      <c r="F182" s="159"/>
      <c r="G182" s="159"/>
      <c r="H182" s="159"/>
      <c r="I182" s="159"/>
      <c r="J182" s="159"/>
      <c r="K182" s="159"/>
      <c r="L182" s="159"/>
      <c r="M182" s="159"/>
      <c r="N182" s="159"/>
      <c r="V182" s="639"/>
    </row>
    <row r="183" spans="1:22" s="386" customFormat="1">
      <c r="A183" s="387"/>
      <c r="B183" s="159"/>
      <c r="C183" s="159"/>
      <c r="D183" s="159"/>
      <c r="E183" s="159"/>
      <c r="F183" s="159"/>
      <c r="G183" s="159"/>
      <c r="H183" s="159"/>
      <c r="I183" s="159"/>
      <c r="J183" s="159"/>
      <c r="K183" s="159"/>
      <c r="L183" s="159"/>
      <c r="M183" s="159"/>
      <c r="N183" s="159"/>
      <c r="V183" s="639"/>
    </row>
    <row r="184" spans="1:22" s="386" customFormat="1">
      <c r="A184" s="387"/>
      <c r="B184" s="159"/>
      <c r="C184" s="159"/>
      <c r="D184" s="159"/>
      <c r="E184" s="159"/>
      <c r="F184" s="159"/>
      <c r="G184" s="159"/>
      <c r="H184" s="159"/>
      <c r="I184" s="159"/>
      <c r="J184" s="159"/>
      <c r="K184" s="159"/>
      <c r="L184" s="159"/>
      <c r="M184" s="159"/>
      <c r="N184" s="159"/>
      <c r="V184" s="639"/>
    </row>
    <row r="185" spans="1:22" s="386" customFormat="1">
      <c r="A185" s="387"/>
      <c r="B185" s="159"/>
      <c r="C185" s="159"/>
      <c r="D185" s="159"/>
      <c r="E185" s="159"/>
      <c r="F185" s="159"/>
      <c r="G185" s="159"/>
      <c r="H185" s="159"/>
      <c r="I185" s="159"/>
      <c r="J185" s="159"/>
      <c r="K185" s="159"/>
      <c r="L185" s="159"/>
      <c r="M185" s="159"/>
      <c r="N185" s="159"/>
      <c r="V185" s="639"/>
    </row>
    <row r="186" spans="1:22" s="386" customFormat="1">
      <c r="A186" s="387"/>
      <c r="B186" s="159"/>
      <c r="C186" s="159"/>
      <c r="D186" s="159"/>
      <c r="E186" s="159"/>
      <c r="F186" s="159"/>
      <c r="G186" s="159"/>
      <c r="H186" s="159"/>
      <c r="I186" s="159"/>
      <c r="J186" s="159"/>
      <c r="K186" s="159"/>
      <c r="L186" s="159"/>
      <c r="M186" s="159"/>
      <c r="N186" s="159"/>
      <c r="V186" s="639"/>
    </row>
    <row r="187" spans="1:22" s="386" customFormat="1">
      <c r="A187" s="387"/>
      <c r="B187" s="159"/>
      <c r="C187" s="159"/>
      <c r="D187" s="159"/>
      <c r="E187" s="159"/>
      <c r="F187" s="159"/>
      <c r="G187" s="159"/>
      <c r="H187" s="159"/>
      <c r="I187" s="159"/>
      <c r="J187" s="159"/>
      <c r="K187" s="159"/>
      <c r="L187" s="159"/>
      <c r="M187" s="159"/>
      <c r="N187" s="159"/>
      <c r="V187" s="639"/>
    </row>
    <row r="188" spans="1:22" s="386" customFormat="1">
      <c r="A188" s="387"/>
      <c r="B188" s="159"/>
      <c r="C188" s="159"/>
      <c r="D188" s="159"/>
      <c r="E188" s="159"/>
      <c r="F188" s="159"/>
      <c r="G188" s="159"/>
      <c r="H188" s="159"/>
      <c r="I188" s="159"/>
      <c r="J188" s="159"/>
      <c r="K188" s="159"/>
      <c r="L188" s="159"/>
      <c r="M188" s="159"/>
      <c r="N188" s="159"/>
      <c r="V188" s="639"/>
    </row>
    <row r="189" spans="1:22" s="386" customFormat="1">
      <c r="A189" s="387"/>
      <c r="B189" s="159"/>
      <c r="C189" s="159"/>
      <c r="D189" s="159"/>
      <c r="E189" s="159"/>
      <c r="F189" s="159"/>
      <c r="G189" s="159"/>
      <c r="H189" s="159"/>
      <c r="I189" s="159"/>
      <c r="J189" s="159"/>
      <c r="K189" s="159"/>
      <c r="L189" s="159"/>
      <c r="M189" s="159"/>
      <c r="N189" s="159"/>
      <c r="V189" s="639"/>
    </row>
    <row r="190" spans="1:22" s="386" customFormat="1">
      <c r="A190" s="387"/>
      <c r="B190" s="159"/>
      <c r="C190" s="159"/>
      <c r="D190" s="159"/>
      <c r="E190" s="159"/>
      <c r="F190" s="159"/>
      <c r="G190" s="159"/>
      <c r="H190" s="159"/>
      <c r="I190" s="159"/>
      <c r="J190" s="159"/>
      <c r="K190" s="159"/>
      <c r="L190" s="159"/>
      <c r="M190" s="159"/>
      <c r="N190" s="159"/>
      <c r="V190" s="639"/>
    </row>
    <row r="191" spans="1:22" s="386" customFormat="1">
      <c r="A191" s="387"/>
      <c r="B191" s="159"/>
      <c r="C191" s="159"/>
      <c r="D191" s="159"/>
      <c r="E191" s="159"/>
      <c r="F191" s="159"/>
      <c r="G191" s="159"/>
      <c r="H191" s="159"/>
      <c r="I191" s="159"/>
      <c r="J191" s="159"/>
      <c r="K191" s="159"/>
      <c r="L191" s="159"/>
      <c r="M191" s="159"/>
      <c r="N191" s="159"/>
      <c r="V191" s="639"/>
    </row>
    <row r="192" spans="1:22" s="386" customFormat="1">
      <c r="A192" s="387"/>
      <c r="B192" s="159"/>
      <c r="C192" s="159"/>
      <c r="D192" s="159"/>
      <c r="E192" s="159"/>
      <c r="F192" s="159"/>
      <c r="G192" s="159"/>
      <c r="H192" s="159"/>
      <c r="I192" s="159"/>
      <c r="J192" s="159"/>
      <c r="K192" s="159"/>
      <c r="L192" s="159"/>
      <c r="M192" s="159"/>
      <c r="N192" s="159"/>
      <c r="V192" s="639"/>
    </row>
    <row r="193" spans="1:22" s="386" customFormat="1">
      <c r="A193" s="387"/>
      <c r="B193" s="159"/>
      <c r="C193" s="159"/>
      <c r="D193" s="159"/>
      <c r="E193" s="159"/>
      <c r="F193" s="159"/>
      <c r="G193" s="159"/>
      <c r="H193" s="159"/>
      <c r="I193" s="159"/>
      <c r="J193" s="159"/>
      <c r="K193" s="159"/>
      <c r="L193" s="159"/>
      <c r="M193" s="159"/>
      <c r="N193" s="159"/>
      <c r="V193" s="639"/>
    </row>
    <row r="194" spans="1:22" s="386" customFormat="1">
      <c r="A194" s="387"/>
      <c r="B194" s="159"/>
      <c r="C194" s="159"/>
      <c r="D194" s="159"/>
      <c r="E194" s="159"/>
      <c r="F194" s="159"/>
      <c r="G194" s="159"/>
      <c r="H194" s="159"/>
      <c r="I194" s="159"/>
      <c r="J194" s="159"/>
      <c r="K194" s="159"/>
      <c r="L194" s="159"/>
      <c r="M194" s="159"/>
      <c r="N194" s="159"/>
      <c r="V194" s="639"/>
    </row>
    <row r="195" spans="1:22" s="386" customFormat="1">
      <c r="A195" s="387"/>
      <c r="B195" s="159"/>
      <c r="C195" s="159"/>
      <c r="D195" s="159"/>
      <c r="E195" s="159"/>
      <c r="F195" s="159"/>
      <c r="G195" s="159"/>
      <c r="H195" s="159"/>
      <c r="I195" s="159"/>
      <c r="J195" s="159"/>
      <c r="K195" s="159"/>
      <c r="L195" s="159"/>
      <c r="M195" s="159"/>
      <c r="N195" s="159"/>
      <c r="V195" s="639"/>
    </row>
    <row r="196" spans="1:22" s="386" customFormat="1">
      <c r="A196" s="387"/>
      <c r="B196" s="159"/>
      <c r="C196" s="159"/>
      <c r="D196" s="159"/>
      <c r="E196" s="159"/>
      <c r="F196" s="159"/>
      <c r="G196" s="159"/>
      <c r="H196" s="159"/>
      <c r="I196" s="159"/>
      <c r="J196" s="159"/>
      <c r="K196" s="159"/>
      <c r="L196" s="159"/>
      <c r="M196" s="159"/>
      <c r="N196" s="159"/>
      <c r="V196" s="639"/>
    </row>
    <row r="197" spans="1:22" s="386" customFormat="1">
      <c r="A197" s="387"/>
      <c r="B197" s="159"/>
      <c r="C197" s="159"/>
      <c r="D197" s="159"/>
      <c r="E197" s="159"/>
      <c r="F197" s="159"/>
      <c r="G197" s="159"/>
      <c r="H197" s="159"/>
      <c r="I197" s="159"/>
      <c r="J197" s="159"/>
      <c r="K197" s="159"/>
      <c r="L197" s="159"/>
      <c r="M197" s="159"/>
      <c r="N197" s="159"/>
      <c r="V197" s="639"/>
    </row>
    <row r="198" spans="1:22" s="386" customFormat="1">
      <c r="A198" s="387"/>
      <c r="B198" s="159"/>
      <c r="C198" s="159"/>
      <c r="D198" s="159"/>
      <c r="E198" s="159"/>
      <c r="F198" s="159"/>
      <c r="G198" s="159"/>
      <c r="H198" s="159"/>
      <c r="I198" s="159"/>
      <c r="J198" s="159"/>
      <c r="K198" s="159"/>
      <c r="L198" s="159"/>
      <c r="M198" s="159"/>
      <c r="N198" s="159"/>
      <c r="V198" s="639"/>
    </row>
    <row r="199" spans="1:22" s="386" customFormat="1">
      <c r="A199" s="387"/>
      <c r="B199" s="159"/>
      <c r="C199" s="159"/>
      <c r="D199" s="159"/>
      <c r="E199" s="159"/>
      <c r="F199" s="159"/>
      <c r="G199" s="159"/>
      <c r="H199" s="159"/>
      <c r="I199" s="159"/>
      <c r="J199" s="159"/>
      <c r="K199" s="159"/>
      <c r="L199" s="159"/>
      <c r="M199" s="159"/>
      <c r="N199" s="159"/>
      <c r="V199" s="639"/>
    </row>
    <row r="200" spans="1:22" s="386" customFormat="1">
      <c r="A200" s="387"/>
      <c r="B200" s="159"/>
      <c r="C200" s="159"/>
      <c r="D200" s="159"/>
      <c r="E200" s="159"/>
      <c r="F200" s="159"/>
      <c r="G200" s="159"/>
      <c r="H200" s="159"/>
      <c r="I200" s="159"/>
      <c r="J200" s="159"/>
      <c r="K200" s="159"/>
      <c r="L200" s="159"/>
      <c r="M200" s="159"/>
      <c r="N200" s="159"/>
      <c r="V200" s="639"/>
    </row>
    <row r="201" spans="1:22" s="386" customFormat="1">
      <c r="A201" s="387"/>
      <c r="B201" s="159"/>
      <c r="C201" s="159"/>
      <c r="D201" s="159"/>
      <c r="E201" s="159"/>
      <c r="F201" s="159"/>
      <c r="G201" s="159"/>
      <c r="H201" s="159"/>
      <c r="I201" s="159"/>
      <c r="J201" s="159"/>
      <c r="K201" s="159"/>
      <c r="L201" s="159"/>
      <c r="M201" s="159"/>
      <c r="N201" s="159"/>
      <c r="V201" s="639"/>
    </row>
    <row r="202" spans="1:22" s="386" customFormat="1">
      <c r="A202" s="387"/>
      <c r="B202" s="159"/>
      <c r="C202" s="159"/>
      <c r="D202" s="159"/>
      <c r="E202" s="159"/>
      <c r="F202" s="159"/>
      <c r="G202" s="159"/>
      <c r="H202" s="159"/>
      <c r="I202" s="159"/>
      <c r="J202" s="159"/>
      <c r="K202" s="159"/>
      <c r="L202" s="159"/>
      <c r="M202" s="159"/>
      <c r="N202" s="159"/>
      <c r="V202" s="639"/>
    </row>
    <row r="203" spans="1:22" s="386" customFormat="1">
      <c r="A203" s="387"/>
      <c r="B203" s="159"/>
      <c r="C203" s="159"/>
      <c r="D203" s="159"/>
      <c r="E203" s="159"/>
      <c r="F203" s="159"/>
      <c r="G203" s="159"/>
      <c r="H203" s="159"/>
      <c r="I203" s="159"/>
      <c r="J203" s="159"/>
      <c r="K203" s="159"/>
      <c r="L203" s="159"/>
      <c r="M203" s="159"/>
      <c r="N203" s="159"/>
      <c r="V203" s="639"/>
    </row>
    <row r="204" spans="1:22" s="386" customFormat="1">
      <c r="A204" s="387"/>
      <c r="B204" s="159"/>
      <c r="C204" s="159"/>
      <c r="D204" s="159"/>
      <c r="E204" s="159"/>
      <c r="F204" s="159"/>
      <c r="G204" s="159"/>
      <c r="H204" s="159"/>
      <c r="I204" s="159"/>
      <c r="J204" s="159"/>
      <c r="K204" s="159"/>
      <c r="L204" s="159"/>
      <c r="M204" s="159"/>
      <c r="N204" s="159"/>
      <c r="V204" s="639"/>
    </row>
    <row r="205" spans="1:22" s="386" customFormat="1">
      <c r="A205" s="387"/>
      <c r="B205" s="159"/>
      <c r="C205" s="159"/>
      <c r="D205" s="159"/>
      <c r="E205" s="159"/>
      <c r="F205" s="159"/>
      <c r="G205" s="159"/>
      <c r="H205" s="159"/>
      <c r="I205" s="159"/>
      <c r="J205" s="159"/>
      <c r="K205" s="159"/>
      <c r="L205" s="159"/>
      <c r="M205" s="159"/>
      <c r="N205" s="159"/>
      <c r="V205" s="639"/>
    </row>
    <row r="206" spans="1:22" s="386" customFormat="1">
      <c r="A206" s="387"/>
      <c r="B206" s="159"/>
      <c r="C206" s="159"/>
      <c r="D206" s="159"/>
      <c r="E206" s="159"/>
      <c r="F206" s="159"/>
      <c r="G206" s="159"/>
      <c r="H206" s="159"/>
      <c r="I206" s="159"/>
      <c r="J206" s="159"/>
      <c r="K206" s="159"/>
      <c r="L206" s="159"/>
      <c r="M206" s="159"/>
      <c r="N206" s="159"/>
      <c r="V206" s="639"/>
    </row>
    <row r="207" spans="1:22" s="386" customFormat="1">
      <c r="A207" s="387"/>
      <c r="B207" s="159"/>
      <c r="C207" s="159"/>
      <c r="D207" s="159"/>
      <c r="E207" s="159"/>
      <c r="F207" s="159"/>
      <c r="G207" s="159"/>
      <c r="H207" s="159"/>
      <c r="I207" s="159"/>
      <c r="J207" s="159"/>
      <c r="K207" s="159"/>
      <c r="L207" s="159"/>
      <c r="M207" s="159"/>
      <c r="N207" s="159"/>
      <c r="V207" s="639"/>
    </row>
    <row r="208" spans="1:22" s="386" customFormat="1">
      <c r="A208" s="387"/>
      <c r="B208" s="159"/>
      <c r="C208" s="159"/>
      <c r="D208" s="159"/>
      <c r="E208" s="159"/>
      <c r="F208" s="159"/>
      <c r="G208" s="159"/>
      <c r="H208" s="159"/>
      <c r="I208" s="159"/>
      <c r="J208" s="159"/>
      <c r="K208" s="159"/>
      <c r="L208" s="159"/>
      <c r="M208" s="159"/>
      <c r="N208" s="159"/>
      <c r="V208" s="639"/>
    </row>
    <row r="209" spans="1:22" s="386" customFormat="1">
      <c r="A209" s="387"/>
      <c r="B209" s="159"/>
      <c r="C209" s="159"/>
      <c r="D209" s="159"/>
      <c r="E209" s="159"/>
      <c r="F209" s="159"/>
      <c r="G209" s="159"/>
      <c r="H209" s="159"/>
      <c r="I209" s="159"/>
      <c r="J209" s="159"/>
      <c r="K209" s="159"/>
      <c r="L209" s="159"/>
      <c r="M209" s="159"/>
      <c r="N209" s="159"/>
      <c r="V209" s="639"/>
    </row>
    <row r="210" spans="1:22" s="386" customFormat="1">
      <c r="A210" s="387"/>
      <c r="B210" s="159"/>
      <c r="C210" s="159"/>
      <c r="D210" s="159"/>
      <c r="E210" s="159"/>
      <c r="F210" s="159"/>
      <c r="G210" s="159"/>
      <c r="H210" s="159"/>
      <c r="I210" s="159"/>
      <c r="J210" s="159"/>
      <c r="K210" s="159"/>
      <c r="L210" s="159"/>
      <c r="M210" s="159"/>
      <c r="N210" s="159"/>
      <c r="V210" s="639"/>
    </row>
    <row r="211" spans="1:22" s="386" customFormat="1">
      <c r="A211" s="387"/>
      <c r="B211" s="159"/>
      <c r="C211" s="159"/>
      <c r="D211" s="159"/>
      <c r="E211" s="159"/>
      <c r="F211" s="159"/>
      <c r="G211" s="159"/>
      <c r="H211" s="159"/>
      <c r="I211" s="159"/>
      <c r="J211" s="159"/>
      <c r="K211" s="159"/>
      <c r="L211" s="159"/>
      <c r="M211" s="159"/>
      <c r="N211" s="159"/>
      <c r="V211" s="639"/>
    </row>
    <row r="212" spans="1:22" s="386" customFormat="1">
      <c r="A212" s="387"/>
      <c r="B212" s="159"/>
      <c r="C212" s="159"/>
      <c r="D212" s="159"/>
      <c r="E212" s="159"/>
      <c r="F212" s="159"/>
      <c r="G212" s="159"/>
      <c r="H212" s="159"/>
      <c r="I212" s="159"/>
      <c r="J212" s="159"/>
      <c r="K212" s="159"/>
      <c r="L212" s="159"/>
      <c r="M212" s="159"/>
      <c r="N212" s="159"/>
      <c r="V212" s="639"/>
    </row>
    <row r="213" spans="1:22" s="386" customFormat="1">
      <c r="A213" s="387"/>
      <c r="B213" s="159"/>
      <c r="C213" s="159"/>
      <c r="D213" s="159"/>
      <c r="E213" s="159"/>
      <c r="F213" s="159"/>
      <c r="G213" s="159"/>
      <c r="H213" s="159"/>
      <c r="I213" s="159"/>
      <c r="J213" s="159"/>
      <c r="K213" s="159"/>
      <c r="L213" s="159"/>
      <c r="M213" s="159"/>
      <c r="N213" s="159"/>
      <c r="V213" s="639"/>
    </row>
    <row r="214" spans="1:22" s="386" customFormat="1">
      <c r="A214" s="387"/>
      <c r="B214" s="159"/>
      <c r="C214" s="159"/>
      <c r="D214" s="159"/>
      <c r="E214" s="159"/>
      <c r="F214" s="159"/>
      <c r="G214" s="159"/>
      <c r="H214" s="159"/>
      <c r="I214" s="159"/>
      <c r="J214" s="159"/>
      <c r="K214" s="159"/>
      <c r="L214" s="159"/>
      <c r="M214" s="159"/>
      <c r="N214" s="159"/>
      <c r="V214" s="639"/>
    </row>
    <row r="215" spans="1:22" s="386" customFormat="1">
      <c r="A215" s="387"/>
      <c r="B215" s="159"/>
      <c r="C215" s="159"/>
      <c r="D215" s="159"/>
      <c r="E215" s="159"/>
      <c r="F215" s="159"/>
      <c r="G215" s="159"/>
      <c r="H215" s="159"/>
      <c r="I215" s="159"/>
      <c r="J215" s="159"/>
      <c r="K215" s="159"/>
      <c r="L215" s="159"/>
      <c r="M215" s="159"/>
      <c r="N215" s="159"/>
      <c r="V215" s="639"/>
    </row>
    <row r="216" spans="1:22" s="386" customFormat="1">
      <c r="A216" s="387"/>
      <c r="B216" s="159"/>
      <c r="C216" s="159"/>
      <c r="D216" s="159"/>
      <c r="E216" s="159"/>
      <c r="F216" s="159"/>
      <c r="G216" s="159"/>
      <c r="H216" s="159"/>
      <c r="I216" s="159"/>
      <c r="J216" s="159"/>
      <c r="K216" s="159"/>
      <c r="L216" s="159"/>
      <c r="M216" s="159"/>
      <c r="N216" s="159"/>
      <c r="V216" s="639"/>
    </row>
    <row r="217" spans="1:22" s="386" customFormat="1">
      <c r="A217" s="387"/>
      <c r="B217" s="159"/>
      <c r="C217" s="159"/>
      <c r="D217" s="159"/>
      <c r="E217" s="159"/>
      <c r="F217" s="159"/>
      <c r="G217" s="159"/>
      <c r="H217" s="159"/>
      <c r="I217" s="159"/>
      <c r="J217" s="159"/>
      <c r="K217" s="159"/>
      <c r="L217" s="159"/>
      <c r="M217" s="159"/>
      <c r="N217" s="159"/>
      <c r="V217" s="639"/>
    </row>
    <row r="218" spans="1:22" s="386" customFormat="1">
      <c r="A218" s="387"/>
      <c r="B218" s="159"/>
      <c r="C218" s="159"/>
      <c r="D218" s="159"/>
      <c r="E218" s="159"/>
      <c r="F218" s="159"/>
      <c r="G218" s="159"/>
      <c r="H218" s="159"/>
      <c r="I218" s="159"/>
      <c r="J218" s="159"/>
      <c r="K218" s="159"/>
      <c r="L218" s="159"/>
      <c r="M218" s="159"/>
      <c r="N218" s="159"/>
      <c r="V218" s="639"/>
    </row>
    <row r="219" spans="1:22" s="386" customFormat="1">
      <c r="A219" s="387"/>
      <c r="B219" s="159"/>
      <c r="C219" s="159"/>
      <c r="D219" s="159"/>
      <c r="E219" s="159"/>
      <c r="F219" s="159"/>
      <c r="G219" s="159"/>
      <c r="H219" s="159"/>
      <c r="I219" s="159"/>
      <c r="J219" s="159"/>
      <c r="K219" s="159"/>
      <c r="L219" s="159"/>
      <c r="M219" s="159"/>
      <c r="N219" s="159"/>
      <c r="V219" s="639"/>
    </row>
    <row r="220" spans="1:22" s="386" customFormat="1">
      <c r="A220" s="387"/>
      <c r="B220" s="159"/>
      <c r="C220" s="159"/>
      <c r="D220" s="159"/>
      <c r="E220" s="159"/>
      <c r="F220" s="159"/>
      <c r="G220" s="159"/>
      <c r="H220" s="159"/>
      <c r="I220" s="159"/>
      <c r="J220" s="159"/>
      <c r="K220" s="159"/>
      <c r="L220" s="159"/>
      <c r="M220" s="159"/>
      <c r="N220" s="159"/>
      <c r="V220" s="639"/>
    </row>
    <row r="221" spans="1:22" s="386" customFormat="1">
      <c r="A221" s="387"/>
      <c r="B221" s="159"/>
      <c r="C221" s="159"/>
      <c r="D221" s="159"/>
      <c r="E221" s="159"/>
      <c r="F221" s="159"/>
      <c r="G221" s="159"/>
      <c r="H221" s="159"/>
      <c r="I221" s="159"/>
      <c r="J221" s="159"/>
      <c r="K221" s="159"/>
      <c r="L221" s="159"/>
      <c r="M221" s="159"/>
      <c r="N221" s="159"/>
      <c r="V221" s="639"/>
    </row>
    <row r="222" spans="1:22" s="386" customFormat="1">
      <c r="A222" s="387"/>
      <c r="B222" s="159"/>
      <c r="C222" s="159"/>
      <c r="D222" s="159"/>
      <c r="E222" s="159"/>
      <c r="F222" s="159"/>
      <c r="G222" s="159"/>
      <c r="H222" s="159"/>
      <c r="I222" s="159"/>
      <c r="J222" s="159"/>
      <c r="K222" s="159"/>
      <c r="L222" s="159"/>
      <c r="M222" s="159"/>
      <c r="N222" s="159"/>
      <c r="V222" s="639"/>
    </row>
    <row r="223" spans="1:22" s="386" customFormat="1">
      <c r="A223" s="387"/>
      <c r="B223" s="159"/>
      <c r="C223" s="159"/>
      <c r="D223" s="159"/>
      <c r="E223" s="159"/>
      <c r="F223" s="159"/>
      <c r="G223" s="159"/>
      <c r="H223" s="159"/>
      <c r="I223" s="159"/>
      <c r="J223" s="159"/>
      <c r="K223" s="159"/>
      <c r="L223" s="159"/>
      <c r="M223" s="159"/>
      <c r="N223" s="159"/>
      <c r="V223" s="639"/>
    </row>
    <row r="224" spans="1:22" s="386" customFormat="1">
      <c r="A224" s="387"/>
      <c r="B224" s="159"/>
      <c r="C224" s="159"/>
      <c r="D224" s="159"/>
      <c r="E224" s="159"/>
      <c r="F224" s="159"/>
      <c r="G224" s="159"/>
      <c r="H224" s="159"/>
      <c r="I224" s="159"/>
      <c r="J224" s="159"/>
      <c r="K224" s="159"/>
      <c r="L224" s="159"/>
      <c r="M224" s="159"/>
      <c r="N224" s="159"/>
      <c r="V224" s="639"/>
    </row>
    <row r="225" spans="1:22" s="386" customFormat="1">
      <c r="A225" s="387"/>
      <c r="B225" s="159"/>
      <c r="C225" s="159"/>
      <c r="D225" s="159"/>
      <c r="E225" s="159"/>
      <c r="F225" s="159"/>
      <c r="G225" s="159"/>
      <c r="H225" s="159"/>
      <c r="I225" s="159"/>
      <c r="J225" s="159"/>
      <c r="K225" s="159"/>
      <c r="L225" s="159"/>
      <c r="M225" s="159"/>
      <c r="N225" s="159"/>
      <c r="V225" s="639"/>
    </row>
    <row r="226" spans="1:22" s="386" customFormat="1">
      <c r="A226" s="387"/>
      <c r="B226" s="159"/>
      <c r="C226" s="159"/>
      <c r="D226" s="159"/>
      <c r="E226" s="159"/>
      <c r="F226" s="159"/>
      <c r="G226" s="159"/>
      <c r="H226" s="159"/>
      <c r="I226" s="159"/>
      <c r="J226" s="159"/>
      <c r="K226" s="159"/>
      <c r="L226" s="159"/>
      <c r="M226" s="159"/>
      <c r="N226" s="159"/>
      <c r="V226" s="639"/>
    </row>
    <row r="227" spans="1:22" s="386" customFormat="1">
      <c r="A227" s="387"/>
      <c r="B227" s="159"/>
      <c r="C227" s="159"/>
      <c r="D227" s="159"/>
      <c r="E227" s="159"/>
      <c r="F227" s="159"/>
      <c r="G227" s="159"/>
      <c r="H227" s="159"/>
      <c r="I227" s="159"/>
      <c r="J227" s="159"/>
      <c r="K227" s="159"/>
      <c r="L227" s="159"/>
      <c r="M227" s="159"/>
      <c r="N227" s="159"/>
      <c r="V227" s="639"/>
    </row>
    <row r="228" spans="1:22" s="386" customFormat="1">
      <c r="A228" s="387"/>
      <c r="B228" s="159"/>
      <c r="C228" s="159"/>
      <c r="D228" s="159"/>
      <c r="E228" s="159"/>
      <c r="F228" s="159"/>
      <c r="G228" s="159"/>
      <c r="H228" s="159"/>
      <c r="I228" s="159"/>
      <c r="J228" s="159"/>
      <c r="K228" s="159"/>
      <c r="L228" s="159"/>
      <c r="M228" s="159"/>
      <c r="N228" s="159"/>
      <c r="V228" s="639"/>
    </row>
    <row r="229" spans="1:22" s="386" customFormat="1">
      <c r="A229" s="387"/>
      <c r="B229" s="159"/>
      <c r="C229" s="159"/>
      <c r="D229" s="159"/>
      <c r="E229" s="159"/>
      <c r="F229" s="159"/>
      <c r="G229" s="159"/>
      <c r="H229" s="159"/>
      <c r="I229" s="159"/>
      <c r="J229" s="159"/>
      <c r="K229" s="159"/>
      <c r="L229" s="159"/>
      <c r="M229" s="159"/>
      <c r="N229" s="159"/>
      <c r="V229" s="639"/>
    </row>
    <row r="230" spans="1:22" s="386" customFormat="1">
      <c r="A230" s="387"/>
      <c r="B230" s="159"/>
      <c r="C230" s="159"/>
      <c r="D230" s="159"/>
      <c r="E230" s="159"/>
      <c r="F230" s="159"/>
      <c r="G230" s="159"/>
      <c r="H230" s="159"/>
      <c r="I230" s="159"/>
      <c r="J230" s="159"/>
      <c r="K230" s="159"/>
      <c r="L230" s="159"/>
      <c r="M230" s="159"/>
      <c r="N230" s="159"/>
      <c r="V230" s="639"/>
    </row>
    <row r="231" spans="1:22" s="386" customFormat="1">
      <c r="A231" s="387"/>
      <c r="B231" s="159"/>
      <c r="C231" s="159"/>
      <c r="D231" s="159"/>
      <c r="E231" s="159"/>
      <c r="F231" s="159"/>
      <c r="G231" s="159"/>
      <c r="H231" s="159"/>
      <c r="I231" s="159"/>
      <c r="J231" s="159"/>
      <c r="K231" s="159"/>
      <c r="L231" s="159"/>
      <c r="M231" s="159"/>
      <c r="N231" s="159"/>
      <c r="V231" s="639"/>
    </row>
    <row r="232" spans="1:22" s="386" customFormat="1">
      <c r="A232" s="387"/>
      <c r="B232" s="159"/>
      <c r="C232" s="159"/>
      <c r="D232" s="159"/>
      <c r="E232" s="159"/>
      <c r="F232" s="159"/>
      <c r="G232" s="159"/>
      <c r="H232" s="159"/>
      <c r="I232" s="159"/>
      <c r="J232" s="159"/>
      <c r="K232" s="159"/>
      <c r="L232" s="159"/>
      <c r="M232" s="159"/>
      <c r="N232" s="159"/>
      <c r="V232" s="639"/>
    </row>
    <row r="233" spans="1:22" s="386" customFormat="1">
      <c r="A233" s="387"/>
      <c r="B233" s="159"/>
      <c r="C233" s="159"/>
      <c r="D233" s="159"/>
      <c r="E233" s="159"/>
      <c r="F233" s="159"/>
      <c r="G233" s="159"/>
      <c r="H233" s="159"/>
      <c r="I233" s="159"/>
      <c r="J233" s="159"/>
      <c r="K233" s="159"/>
      <c r="L233" s="159"/>
      <c r="M233" s="159"/>
      <c r="N233" s="159"/>
      <c r="V233" s="639"/>
    </row>
    <row r="234" spans="1:22" s="386" customFormat="1">
      <c r="A234" s="387"/>
      <c r="B234" s="159"/>
      <c r="C234" s="159"/>
      <c r="D234" s="159"/>
      <c r="E234" s="159"/>
      <c r="F234" s="159"/>
      <c r="G234" s="159"/>
      <c r="H234" s="159"/>
      <c r="I234" s="159"/>
      <c r="J234" s="159"/>
      <c r="K234" s="159"/>
      <c r="L234" s="159"/>
      <c r="M234" s="159"/>
      <c r="N234" s="159"/>
      <c r="V234" s="639"/>
    </row>
    <row r="235" spans="1:22" s="386" customFormat="1">
      <c r="A235" s="387"/>
      <c r="B235" s="159"/>
      <c r="C235" s="159"/>
      <c r="D235" s="159"/>
      <c r="E235" s="159"/>
      <c r="F235" s="159"/>
      <c r="G235" s="159"/>
      <c r="H235" s="159"/>
      <c r="I235" s="159"/>
      <c r="J235" s="159"/>
      <c r="K235" s="159"/>
      <c r="L235" s="159"/>
      <c r="M235" s="159"/>
      <c r="N235" s="159"/>
      <c r="V235" s="639"/>
    </row>
    <row r="236" spans="1:22" s="386" customFormat="1">
      <c r="A236" s="387"/>
      <c r="B236" s="159"/>
      <c r="C236" s="159"/>
      <c r="D236" s="159"/>
      <c r="E236" s="159"/>
      <c r="F236" s="159"/>
      <c r="G236" s="159"/>
      <c r="H236" s="159"/>
      <c r="I236" s="159"/>
      <c r="J236" s="159"/>
      <c r="K236" s="159"/>
      <c r="L236" s="159"/>
      <c r="M236" s="159"/>
      <c r="N236" s="159"/>
      <c r="V236" s="639"/>
    </row>
    <row r="237" spans="1:22" s="386" customFormat="1">
      <c r="A237" s="387"/>
      <c r="B237" s="159"/>
      <c r="C237" s="159"/>
      <c r="D237" s="159"/>
      <c r="E237" s="159"/>
      <c r="F237" s="159"/>
      <c r="G237" s="159"/>
      <c r="H237" s="159"/>
      <c r="I237" s="159"/>
      <c r="J237" s="159"/>
      <c r="K237" s="159"/>
      <c r="L237" s="159"/>
      <c r="M237" s="159"/>
      <c r="N237" s="159"/>
      <c r="V237" s="639"/>
    </row>
    <row r="238" spans="1:22" s="386" customFormat="1">
      <c r="A238" s="387"/>
      <c r="B238" s="159"/>
      <c r="C238" s="159"/>
      <c r="D238" s="159"/>
      <c r="E238" s="159"/>
      <c r="F238" s="159"/>
      <c r="G238" s="159"/>
      <c r="H238" s="159"/>
      <c r="I238" s="159"/>
      <c r="J238" s="159"/>
      <c r="K238" s="159"/>
      <c r="L238" s="159"/>
      <c r="M238" s="159"/>
      <c r="N238" s="159"/>
      <c r="V238" s="639"/>
    </row>
    <row r="239" spans="1:22" s="386" customFormat="1">
      <c r="A239" s="387"/>
      <c r="B239" s="159"/>
      <c r="C239" s="159"/>
      <c r="D239" s="159"/>
      <c r="E239" s="159"/>
      <c r="F239" s="159"/>
      <c r="G239" s="159"/>
      <c r="H239" s="159"/>
      <c r="I239" s="159"/>
      <c r="J239" s="159"/>
      <c r="K239" s="159"/>
      <c r="L239" s="159"/>
      <c r="M239" s="159"/>
      <c r="N239" s="159"/>
      <c r="V239" s="639"/>
    </row>
    <row r="240" spans="1:22" s="386" customFormat="1">
      <c r="A240" s="387"/>
      <c r="B240" s="159"/>
      <c r="C240" s="159"/>
      <c r="D240" s="159"/>
      <c r="E240" s="159"/>
      <c r="F240" s="159"/>
      <c r="G240" s="159"/>
      <c r="H240" s="159"/>
      <c r="I240" s="159"/>
      <c r="J240" s="159"/>
      <c r="K240" s="159"/>
      <c r="L240" s="159"/>
      <c r="M240" s="159"/>
      <c r="N240" s="159"/>
      <c r="V240" s="639"/>
    </row>
    <row r="241" spans="1:22" s="386" customFormat="1">
      <c r="A241" s="387"/>
      <c r="B241" s="159"/>
      <c r="C241" s="159"/>
      <c r="D241" s="159"/>
      <c r="E241" s="159"/>
      <c r="F241" s="159"/>
      <c r="G241" s="159"/>
      <c r="H241" s="159"/>
      <c r="I241" s="159"/>
      <c r="J241" s="159"/>
      <c r="K241" s="159"/>
      <c r="L241" s="159"/>
      <c r="M241" s="159"/>
      <c r="N241" s="159"/>
      <c r="V241" s="639"/>
    </row>
    <row r="242" spans="1:22" s="386" customFormat="1">
      <c r="A242" s="387"/>
      <c r="B242" s="159"/>
      <c r="C242" s="159"/>
      <c r="D242" s="159"/>
      <c r="E242" s="159"/>
      <c r="F242" s="159"/>
      <c r="G242" s="159"/>
      <c r="H242" s="159"/>
      <c r="I242" s="159"/>
      <c r="J242" s="159"/>
      <c r="K242" s="159"/>
      <c r="L242" s="159"/>
      <c r="M242" s="159"/>
      <c r="N242" s="159"/>
      <c r="V242" s="639"/>
    </row>
    <row r="243" spans="1:22" s="386" customFormat="1">
      <c r="A243" s="387"/>
      <c r="B243" s="159"/>
      <c r="C243" s="159"/>
      <c r="D243" s="159"/>
      <c r="E243" s="159"/>
      <c r="F243" s="159"/>
      <c r="G243" s="159"/>
      <c r="H243" s="159"/>
      <c r="I243" s="159"/>
      <c r="J243" s="159"/>
      <c r="K243" s="159"/>
      <c r="L243" s="159"/>
      <c r="M243" s="159"/>
      <c r="N243" s="159"/>
      <c r="V243" s="639"/>
    </row>
    <row r="244" spans="1:22" s="386" customFormat="1">
      <c r="A244" s="387"/>
      <c r="B244" s="159"/>
      <c r="C244" s="159"/>
      <c r="D244" s="159"/>
      <c r="E244" s="159"/>
      <c r="F244" s="159"/>
      <c r="G244" s="159"/>
      <c r="H244" s="159"/>
      <c r="I244" s="159"/>
      <c r="J244" s="159"/>
      <c r="K244" s="159"/>
      <c r="L244" s="159"/>
      <c r="M244" s="159"/>
      <c r="N244" s="159"/>
      <c r="V244" s="639"/>
    </row>
    <row r="245" spans="1:22" s="386" customFormat="1">
      <c r="A245" s="387"/>
      <c r="B245" s="159"/>
      <c r="C245" s="159"/>
      <c r="D245" s="159"/>
      <c r="E245" s="159"/>
      <c r="F245" s="159"/>
      <c r="G245" s="159"/>
      <c r="H245" s="159"/>
      <c r="I245" s="159"/>
      <c r="J245" s="159"/>
      <c r="K245" s="159"/>
      <c r="L245" s="159"/>
      <c r="M245" s="159"/>
      <c r="N245" s="159"/>
      <c r="V245" s="639"/>
    </row>
    <row r="246" spans="1:22" s="386" customFormat="1">
      <c r="A246" s="387"/>
      <c r="B246" s="159"/>
      <c r="C246" s="159"/>
      <c r="D246" s="159"/>
      <c r="E246" s="159"/>
      <c r="F246" s="159"/>
      <c r="G246" s="159"/>
      <c r="H246" s="159"/>
      <c r="I246" s="159"/>
      <c r="J246" s="159"/>
      <c r="K246" s="159"/>
      <c r="L246" s="159"/>
      <c r="M246" s="159"/>
      <c r="N246" s="159"/>
      <c r="V246" s="639"/>
    </row>
    <row r="247" spans="1:22" s="386" customFormat="1">
      <c r="A247" s="387"/>
      <c r="B247" s="159"/>
      <c r="C247" s="159"/>
      <c r="D247" s="159"/>
      <c r="E247" s="159"/>
      <c r="F247" s="159"/>
      <c r="G247" s="159"/>
      <c r="H247" s="159"/>
      <c r="I247" s="159"/>
      <c r="J247" s="159"/>
      <c r="K247" s="159"/>
      <c r="L247" s="159"/>
      <c r="M247" s="159"/>
      <c r="N247" s="159"/>
      <c r="V247" s="639"/>
    </row>
    <row r="248" spans="1:22" s="386" customFormat="1">
      <c r="A248" s="387"/>
      <c r="B248" s="159"/>
      <c r="C248" s="159"/>
      <c r="D248" s="159"/>
      <c r="E248" s="159"/>
      <c r="F248" s="159"/>
      <c r="G248" s="159"/>
      <c r="H248" s="159"/>
      <c r="I248" s="159"/>
      <c r="J248" s="159"/>
      <c r="K248" s="159"/>
      <c r="L248" s="159"/>
      <c r="M248" s="159"/>
      <c r="N248" s="159"/>
      <c r="V248" s="639"/>
    </row>
    <row r="249" spans="1:22" s="386" customFormat="1">
      <c r="A249" s="387"/>
      <c r="B249" s="159"/>
      <c r="C249" s="159"/>
      <c r="D249" s="159"/>
      <c r="E249" s="159"/>
      <c r="F249" s="159"/>
      <c r="G249" s="159"/>
      <c r="H249" s="159"/>
      <c r="I249" s="159"/>
      <c r="J249" s="159"/>
      <c r="K249" s="159"/>
      <c r="L249" s="159"/>
      <c r="M249" s="159"/>
      <c r="N249" s="159"/>
      <c r="V249" s="639"/>
    </row>
    <row r="250" spans="1:22" s="386" customFormat="1">
      <c r="A250" s="387"/>
      <c r="B250" s="159"/>
      <c r="C250" s="159"/>
      <c r="D250" s="159"/>
      <c r="E250" s="159"/>
      <c r="F250" s="159"/>
      <c r="G250" s="159"/>
      <c r="H250" s="159"/>
      <c r="I250" s="159"/>
      <c r="J250" s="159"/>
      <c r="K250" s="159"/>
      <c r="L250" s="159"/>
      <c r="M250" s="159"/>
      <c r="N250" s="159"/>
      <c r="V250" s="639"/>
    </row>
    <row r="251" spans="1:22" s="386" customFormat="1">
      <c r="A251" s="387"/>
      <c r="B251" s="159"/>
      <c r="C251" s="159"/>
      <c r="D251" s="159"/>
      <c r="E251" s="159"/>
      <c r="F251" s="159"/>
      <c r="G251" s="159"/>
      <c r="H251" s="159"/>
      <c r="I251" s="159"/>
      <c r="J251" s="159"/>
      <c r="K251" s="159"/>
      <c r="L251" s="159"/>
      <c r="M251" s="159"/>
      <c r="N251" s="159"/>
      <c r="V251" s="639"/>
    </row>
    <row r="252" spans="1:22" s="386" customFormat="1">
      <c r="A252" s="387"/>
      <c r="B252" s="159"/>
      <c r="C252" s="159"/>
      <c r="D252" s="159"/>
      <c r="E252" s="159"/>
      <c r="F252" s="159"/>
      <c r="G252" s="159"/>
      <c r="H252" s="159"/>
      <c r="I252" s="159"/>
      <c r="J252" s="159"/>
      <c r="K252" s="159"/>
      <c r="L252" s="159"/>
      <c r="M252" s="159"/>
      <c r="N252" s="159"/>
      <c r="V252" s="639"/>
    </row>
    <row r="253" spans="1:22" s="386" customFormat="1">
      <c r="A253" s="387"/>
      <c r="B253" s="159"/>
      <c r="C253" s="159"/>
      <c r="D253" s="159"/>
      <c r="E253" s="159"/>
      <c r="F253" s="159"/>
      <c r="G253" s="159"/>
      <c r="H253" s="159"/>
      <c r="I253" s="159"/>
      <c r="J253" s="159"/>
      <c r="K253" s="159"/>
      <c r="L253" s="159"/>
      <c r="M253" s="159"/>
      <c r="N253" s="159"/>
      <c r="V253" s="639"/>
    </row>
    <row r="254" spans="1:22" s="386" customFormat="1">
      <c r="A254" s="387"/>
      <c r="B254" s="159"/>
      <c r="C254" s="159"/>
      <c r="D254" s="159"/>
      <c r="E254" s="159"/>
      <c r="F254" s="159"/>
      <c r="G254" s="159"/>
      <c r="H254" s="159"/>
      <c r="I254" s="159"/>
      <c r="J254" s="159"/>
      <c r="K254" s="159"/>
      <c r="L254" s="159"/>
      <c r="M254" s="159"/>
      <c r="N254" s="159"/>
      <c r="V254" s="639"/>
    </row>
    <row r="255" spans="1:22" s="386" customFormat="1">
      <c r="A255" s="387"/>
      <c r="B255" s="159"/>
      <c r="C255" s="159"/>
      <c r="D255" s="159"/>
      <c r="E255" s="159"/>
      <c r="F255" s="159"/>
      <c r="G255" s="159"/>
      <c r="H255" s="159"/>
      <c r="I255" s="159"/>
      <c r="J255" s="159"/>
      <c r="K255" s="159"/>
      <c r="L255" s="159"/>
      <c r="M255" s="159"/>
      <c r="N255" s="159"/>
      <c r="V255" s="639"/>
    </row>
    <row r="256" spans="1:22" s="386" customFormat="1">
      <c r="A256" s="387"/>
      <c r="B256" s="159"/>
      <c r="C256" s="159"/>
      <c r="D256" s="159"/>
      <c r="E256" s="159"/>
      <c r="F256" s="159"/>
      <c r="G256" s="159"/>
      <c r="H256" s="159"/>
      <c r="I256" s="159"/>
      <c r="J256" s="159"/>
      <c r="K256" s="159"/>
      <c r="L256" s="159"/>
      <c r="M256" s="159"/>
      <c r="N256" s="159"/>
      <c r="V256" s="639"/>
    </row>
    <row r="257" spans="1:22" s="386" customFormat="1">
      <c r="A257" s="387"/>
      <c r="B257" s="159"/>
      <c r="C257" s="159"/>
      <c r="D257" s="159"/>
      <c r="E257" s="159"/>
      <c r="F257" s="159"/>
      <c r="G257" s="159"/>
      <c r="H257" s="159"/>
      <c r="I257" s="159"/>
      <c r="J257" s="159"/>
      <c r="K257" s="159"/>
      <c r="L257" s="159"/>
      <c r="M257" s="159"/>
      <c r="N257" s="159"/>
      <c r="V257" s="639"/>
    </row>
    <row r="258" spans="1:22" s="386" customFormat="1">
      <c r="A258" s="387"/>
      <c r="B258" s="159"/>
      <c r="C258" s="159"/>
      <c r="D258" s="159"/>
      <c r="E258" s="159"/>
      <c r="F258" s="159"/>
      <c r="G258" s="159"/>
      <c r="H258" s="159"/>
      <c r="I258" s="159"/>
      <c r="J258" s="159"/>
      <c r="K258" s="159"/>
      <c r="L258" s="159"/>
      <c r="M258" s="159"/>
      <c r="N258" s="159"/>
      <c r="V258" s="639"/>
    </row>
    <row r="259" spans="1:22" s="386" customFormat="1">
      <c r="A259" s="387"/>
      <c r="B259" s="159"/>
      <c r="C259" s="159"/>
      <c r="D259" s="159"/>
      <c r="E259" s="159"/>
      <c r="F259" s="159"/>
      <c r="G259" s="159"/>
      <c r="H259" s="159"/>
      <c r="I259" s="159"/>
      <c r="J259" s="159"/>
      <c r="K259" s="159"/>
      <c r="L259" s="159"/>
      <c r="M259" s="159"/>
      <c r="N259" s="159"/>
      <c r="V259" s="639"/>
    </row>
    <row r="260" spans="1:22" s="386" customFormat="1">
      <c r="A260" s="387"/>
      <c r="B260" s="159"/>
      <c r="C260" s="159"/>
      <c r="D260" s="159"/>
      <c r="E260" s="159"/>
      <c r="F260" s="159"/>
      <c r="G260" s="159"/>
      <c r="H260" s="159"/>
      <c r="I260" s="159"/>
      <c r="J260" s="159"/>
      <c r="K260" s="159"/>
      <c r="L260" s="159"/>
      <c r="M260" s="159"/>
      <c r="N260" s="159"/>
      <c r="V260" s="639"/>
    </row>
    <row r="261" spans="1:22" s="386" customFormat="1">
      <c r="A261" s="387"/>
      <c r="B261" s="159"/>
      <c r="C261" s="159"/>
      <c r="D261" s="159"/>
      <c r="E261" s="159"/>
      <c r="F261" s="159"/>
      <c r="G261" s="159"/>
      <c r="H261" s="159"/>
      <c r="I261" s="159"/>
      <c r="J261" s="159"/>
      <c r="K261" s="159"/>
      <c r="L261" s="159"/>
      <c r="M261" s="159"/>
      <c r="N261" s="159"/>
      <c r="V261" s="639"/>
    </row>
    <row r="262" spans="1:22" s="386" customFormat="1">
      <c r="A262" s="387"/>
      <c r="B262" s="159"/>
      <c r="C262" s="159"/>
      <c r="D262" s="159"/>
      <c r="E262" s="159"/>
      <c r="F262" s="159"/>
      <c r="G262" s="159"/>
      <c r="H262" s="159"/>
      <c r="I262" s="159"/>
      <c r="J262" s="159"/>
      <c r="K262" s="159"/>
      <c r="L262" s="159"/>
      <c r="M262" s="159"/>
      <c r="N262" s="159"/>
      <c r="V262" s="639"/>
    </row>
    <row r="263" spans="1:22" s="386" customFormat="1">
      <c r="A263" s="387"/>
      <c r="B263" s="159"/>
      <c r="C263" s="159"/>
      <c r="D263" s="159"/>
      <c r="E263" s="159"/>
      <c r="F263" s="159"/>
      <c r="G263" s="159"/>
      <c r="H263" s="159"/>
      <c r="I263" s="159"/>
      <c r="J263" s="159"/>
      <c r="K263" s="159"/>
      <c r="L263" s="159"/>
      <c r="M263" s="159"/>
      <c r="N263" s="159"/>
      <c r="V263" s="639"/>
    </row>
    <row r="264" spans="1:22" s="386" customFormat="1">
      <c r="A264" s="387"/>
      <c r="B264" s="159"/>
      <c r="C264" s="159"/>
      <c r="D264" s="159"/>
      <c r="E264" s="159"/>
      <c r="F264" s="159"/>
      <c r="G264" s="159"/>
      <c r="H264" s="159"/>
      <c r="I264" s="159"/>
      <c r="J264" s="159"/>
      <c r="K264" s="159"/>
      <c r="L264" s="159"/>
      <c r="M264" s="159"/>
      <c r="N264" s="159"/>
      <c r="V264" s="639"/>
    </row>
    <row r="265" spans="1:22" s="386" customFormat="1">
      <c r="A265" s="387"/>
      <c r="B265" s="159"/>
      <c r="C265" s="159"/>
      <c r="D265" s="159"/>
      <c r="E265" s="159"/>
      <c r="F265" s="159"/>
      <c r="G265" s="159"/>
      <c r="H265" s="159"/>
      <c r="I265" s="159"/>
      <c r="J265" s="159"/>
      <c r="K265" s="159"/>
      <c r="L265" s="159"/>
      <c r="M265" s="159"/>
      <c r="N265" s="159"/>
      <c r="V265" s="639"/>
    </row>
    <row r="266" spans="1:22" s="386" customFormat="1">
      <c r="A266" s="387"/>
      <c r="B266" s="159"/>
      <c r="C266" s="159"/>
      <c r="D266" s="159"/>
      <c r="E266" s="159"/>
      <c r="F266" s="159"/>
      <c r="G266" s="159"/>
      <c r="H266" s="159"/>
      <c r="I266" s="159"/>
      <c r="J266" s="159"/>
      <c r="K266" s="159"/>
      <c r="L266" s="159"/>
      <c r="M266" s="159"/>
      <c r="N266" s="159"/>
      <c r="V266" s="639"/>
    </row>
    <row r="267" spans="1:22" s="386" customFormat="1">
      <c r="A267" s="387"/>
      <c r="B267" s="159"/>
      <c r="C267" s="159"/>
      <c r="D267" s="159"/>
      <c r="E267" s="159"/>
      <c r="F267" s="159"/>
      <c r="G267" s="159"/>
      <c r="H267" s="159"/>
      <c r="I267" s="159"/>
      <c r="J267" s="159"/>
      <c r="K267" s="159"/>
      <c r="L267" s="159"/>
      <c r="M267" s="159"/>
      <c r="N267" s="159"/>
      <c r="V267" s="639"/>
    </row>
    <row r="268" spans="1:22" s="386" customFormat="1">
      <c r="A268" s="387"/>
      <c r="B268" s="159"/>
      <c r="C268" s="159"/>
      <c r="D268" s="159"/>
      <c r="E268" s="159"/>
      <c r="F268" s="159"/>
      <c r="G268" s="159"/>
      <c r="H268" s="159"/>
      <c r="I268" s="159"/>
      <c r="J268" s="159"/>
      <c r="K268" s="159"/>
      <c r="L268" s="159"/>
      <c r="M268" s="159"/>
      <c r="N268" s="159"/>
      <c r="V268" s="639"/>
    </row>
    <row r="269" spans="1:22" s="386" customFormat="1">
      <c r="A269" s="387"/>
      <c r="B269" s="159"/>
      <c r="C269" s="159"/>
      <c r="D269" s="159"/>
      <c r="E269" s="159"/>
      <c r="F269" s="159"/>
      <c r="G269" s="159"/>
      <c r="H269" s="159"/>
      <c r="I269" s="159"/>
      <c r="J269" s="159"/>
      <c r="K269" s="159"/>
      <c r="L269" s="159"/>
      <c r="M269" s="159"/>
      <c r="N269" s="159"/>
      <c r="V269" s="639"/>
    </row>
    <row r="270" spans="1:22" s="386" customFormat="1">
      <c r="A270" s="387"/>
      <c r="B270" s="159"/>
      <c r="C270" s="159"/>
      <c r="D270" s="159"/>
      <c r="E270" s="159"/>
      <c r="F270" s="159"/>
      <c r="G270" s="159"/>
      <c r="H270" s="159"/>
      <c r="I270" s="159"/>
      <c r="J270" s="159"/>
      <c r="K270" s="159"/>
      <c r="L270" s="159"/>
      <c r="M270" s="159"/>
      <c r="N270" s="159"/>
      <c r="V270" s="639"/>
    </row>
    <row r="271" spans="1:22" s="386" customFormat="1">
      <c r="A271" s="387"/>
      <c r="B271" s="159"/>
      <c r="C271" s="159"/>
      <c r="D271" s="159"/>
      <c r="E271" s="159"/>
      <c r="F271" s="159"/>
      <c r="G271" s="159"/>
      <c r="H271" s="159"/>
      <c r="I271" s="159"/>
      <c r="J271" s="159"/>
      <c r="K271" s="159"/>
      <c r="L271" s="159"/>
      <c r="M271" s="159"/>
      <c r="N271" s="159"/>
      <c r="V271" s="639"/>
    </row>
    <row r="272" spans="1:22" s="386" customFormat="1">
      <c r="A272" s="387"/>
      <c r="B272" s="159"/>
      <c r="C272" s="159"/>
      <c r="D272" s="159"/>
      <c r="E272" s="159"/>
      <c r="F272" s="159"/>
      <c r="G272" s="159"/>
      <c r="H272" s="159"/>
      <c r="I272" s="159"/>
      <c r="J272" s="159"/>
      <c r="K272" s="159"/>
      <c r="L272" s="159"/>
      <c r="M272" s="159"/>
      <c r="N272" s="159"/>
      <c r="V272" s="639"/>
    </row>
    <row r="273" spans="1:22" s="386" customFormat="1">
      <c r="A273" s="387"/>
      <c r="B273" s="159"/>
      <c r="C273" s="159"/>
      <c r="D273" s="159"/>
      <c r="E273" s="159"/>
      <c r="F273" s="159"/>
      <c r="G273" s="159"/>
      <c r="H273" s="159"/>
      <c r="I273" s="159"/>
      <c r="J273" s="159"/>
      <c r="K273" s="159"/>
      <c r="L273" s="159"/>
      <c r="M273" s="159"/>
      <c r="N273" s="159"/>
      <c r="V273" s="639"/>
    </row>
    <row r="274" spans="1:22" s="386" customFormat="1">
      <c r="A274" s="387"/>
      <c r="B274" s="159"/>
      <c r="C274" s="159"/>
      <c r="D274" s="159"/>
      <c r="E274" s="159"/>
      <c r="F274" s="159"/>
      <c r="G274" s="159"/>
      <c r="H274" s="159"/>
      <c r="I274" s="159"/>
      <c r="J274" s="159"/>
      <c r="K274" s="159"/>
      <c r="L274" s="159"/>
      <c r="M274" s="159"/>
      <c r="N274" s="159"/>
      <c r="V274" s="639"/>
    </row>
    <row r="275" spans="1:22" s="386" customFormat="1">
      <c r="A275" s="387"/>
      <c r="B275" s="159"/>
      <c r="C275" s="159"/>
      <c r="D275" s="159"/>
      <c r="E275" s="159"/>
      <c r="F275" s="159"/>
      <c r="G275" s="159"/>
      <c r="H275" s="159"/>
      <c r="I275" s="159"/>
      <c r="J275" s="159"/>
      <c r="K275" s="159"/>
      <c r="L275" s="159"/>
      <c r="M275" s="159"/>
      <c r="N275" s="159"/>
      <c r="V275" s="639"/>
    </row>
    <row r="276" spans="1:22" s="386" customFormat="1">
      <c r="A276" s="387"/>
      <c r="B276" s="159"/>
      <c r="C276" s="159"/>
      <c r="D276" s="159"/>
      <c r="E276" s="159"/>
      <c r="F276" s="159"/>
      <c r="G276" s="159"/>
      <c r="H276" s="159"/>
      <c r="I276" s="159"/>
      <c r="J276" s="159"/>
      <c r="K276" s="159"/>
      <c r="L276" s="159"/>
      <c r="M276" s="159"/>
      <c r="N276" s="159"/>
      <c r="V276" s="639"/>
    </row>
    <row r="277" spans="1:22" s="386" customFormat="1">
      <c r="A277" s="387"/>
      <c r="B277" s="159"/>
      <c r="C277" s="159"/>
      <c r="D277" s="159"/>
      <c r="E277" s="159"/>
      <c r="F277" s="159"/>
      <c r="G277" s="159"/>
      <c r="H277" s="159"/>
      <c r="I277" s="159"/>
      <c r="J277" s="159"/>
      <c r="K277" s="159"/>
      <c r="L277" s="159"/>
      <c r="M277" s="159"/>
      <c r="N277" s="159"/>
      <c r="V277" s="639"/>
    </row>
    <row r="278" spans="1:22" s="386" customFormat="1">
      <c r="A278" s="387"/>
      <c r="B278" s="159"/>
      <c r="C278" s="159"/>
      <c r="D278" s="159"/>
      <c r="E278" s="159"/>
      <c r="F278" s="159"/>
      <c r="G278" s="159"/>
      <c r="H278" s="159"/>
      <c r="I278" s="159"/>
      <c r="J278" s="159"/>
      <c r="K278" s="159"/>
      <c r="L278" s="159"/>
      <c r="M278" s="159"/>
      <c r="N278" s="159"/>
      <c r="V278" s="639"/>
    </row>
    <row r="279" spans="1:22" s="386" customFormat="1">
      <c r="A279" s="387"/>
      <c r="B279" s="159"/>
      <c r="C279" s="159"/>
      <c r="D279" s="159"/>
      <c r="E279" s="159"/>
      <c r="F279" s="159"/>
      <c r="G279" s="159"/>
      <c r="H279" s="159"/>
      <c r="I279" s="159"/>
      <c r="J279" s="159"/>
      <c r="K279" s="159"/>
      <c r="L279" s="159"/>
      <c r="M279" s="159"/>
      <c r="N279" s="159"/>
      <c r="V279" s="639"/>
    </row>
    <row r="280" spans="1:22" s="386" customFormat="1">
      <c r="A280" s="387"/>
      <c r="B280" s="159"/>
      <c r="C280" s="159"/>
      <c r="D280" s="159"/>
      <c r="E280" s="159"/>
      <c r="F280" s="159"/>
      <c r="G280" s="159"/>
      <c r="H280" s="159"/>
      <c r="I280" s="159"/>
      <c r="J280" s="159"/>
      <c r="K280" s="159"/>
      <c r="L280" s="159"/>
      <c r="M280" s="159"/>
      <c r="N280" s="159"/>
      <c r="V280" s="639"/>
    </row>
    <row r="281" spans="1:22" s="386" customFormat="1">
      <c r="A281" s="387"/>
      <c r="B281" s="159"/>
      <c r="C281" s="159"/>
      <c r="D281" s="159"/>
      <c r="E281" s="159"/>
      <c r="F281" s="159"/>
      <c r="G281" s="159"/>
      <c r="H281" s="159"/>
      <c r="I281" s="159"/>
      <c r="J281" s="159"/>
      <c r="K281" s="159"/>
      <c r="L281" s="159"/>
      <c r="M281" s="159"/>
      <c r="N281" s="159"/>
      <c r="V281" s="639"/>
    </row>
    <row r="282" spans="1:22" s="386" customFormat="1">
      <c r="A282" s="387"/>
      <c r="B282" s="159"/>
      <c r="C282" s="159"/>
      <c r="D282" s="159"/>
      <c r="E282" s="159"/>
      <c r="F282" s="159"/>
      <c r="G282" s="159"/>
      <c r="H282" s="159"/>
      <c r="I282" s="159"/>
      <c r="J282" s="159"/>
      <c r="K282" s="159"/>
      <c r="L282" s="159"/>
      <c r="M282" s="159"/>
      <c r="N282" s="159"/>
      <c r="V282" s="639"/>
    </row>
    <row r="283" spans="1:22" s="386" customFormat="1">
      <c r="A283" s="387"/>
      <c r="B283" s="159"/>
      <c r="C283" s="159"/>
      <c r="D283" s="159"/>
      <c r="E283" s="159"/>
      <c r="F283" s="159"/>
      <c r="G283" s="159"/>
      <c r="H283" s="159"/>
      <c r="I283" s="159"/>
      <c r="J283" s="159"/>
      <c r="K283" s="159"/>
      <c r="L283" s="159"/>
      <c r="M283" s="159"/>
      <c r="N283" s="159"/>
      <c r="V283" s="639"/>
    </row>
    <row r="284" spans="1:22" s="386" customFormat="1">
      <c r="A284" s="387"/>
      <c r="B284" s="159"/>
      <c r="C284" s="159"/>
      <c r="D284" s="159"/>
      <c r="E284" s="159"/>
      <c r="F284" s="159"/>
      <c r="G284" s="159"/>
      <c r="H284" s="159"/>
      <c r="I284" s="159"/>
      <c r="J284" s="159"/>
      <c r="K284" s="159"/>
      <c r="L284" s="159"/>
      <c r="M284" s="159"/>
      <c r="N284" s="159"/>
      <c r="V284" s="639"/>
    </row>
    <row r="285" spans="1:22" s="386" customFormat="1">
      <c r="A285" s="387"/>
      <c r="B285" s="159"/>
      <c r="C285" s="159"/>
      <c r="D285" s="159"/>
      <c r="E285" s="159"/>
      <c r="F285" s="159"/>
      <c r="G285" s="159"/>
      <c r="H285" s="159"/>
      <c r="I285" s="159"/>
      <c r="J285" s="159"/>
      <c r="K285" s="159"/>
      <c r="L285" s="159"/>
      <c r="M285" s="159"/>
      <c r="N285" s="159"/>
      <c r="V285" s="639"/>
    </row>
    <row r="286" spans="1:22" s="386" customFormat="1">
      <c r="A286" s="387"/>
      <c r="B286" s="159"/>
      <c r="C286" s="159"/>
      <c r="D286" s="159"/>
      <c r="E286" s="159"/>
      <c r="F286" s="159"/>
      <c r="G286" s="159"/>
      <c r="H286" s="159"/>
      <c r="I286" s="159"/>
      <c r="J286" s="159"/>
      <c r="K286" s="159"/>
      <c r="L286" s="159"/>
      <c r="M286" s="159"/>
      <c r="N286" s="159"/>
      <c r="V286" s="639"/>
    </row>
    <row r="287" spans="1:22" s="386" customFormat="1">
      <c r="A287" s="387"/>
      <c r="B287" s="159"/>
      <c r="C287" s="159"/>
      <c r="D287" s="159"/>
      <c r="E287" s="159"/>
      <c r="F287" s="159"/>
      <c r="G287" s="159"/>
      <c r="H287" s="159"/>
      <c r="I287" s="159"/>
      <c r="J287" s="159"/>
      <c r="K287" s="159"/>
      <c r="L287" s="159"/>
      <c r="M287" s="159"/>
      <c r="N287" s="159"/>
      <c r="V287" s="639"/>
    </row>
    <row r="288" spans="1:22" s="386" customFormat="1">
      <c r="A288" s="387"/>
      <c r="B288" s="159"/>
      <c r="C288" s="159"/>
      <c r="D288" s="159"/>
      <c r="E288" s="159"/>
      <c r="F288" s="159"/>
      <c r="G288" s="159"/>
      <c r="H288" s="159"/>
      <c r="I288" s="159"/>
      <c r="J288" s="159"/>
      <c r="K288" s="159"/>
      <c r="L288" s="159"/>
      <c r="M288" s="159"/>
      <c r="N288" s="159"/>
      <c r="V288" s="639"/>
    </row>
    <row r="289" spans="1:22" s="386" customFormat="1">
      <c r="A289" s="387"/>
      <c r="B289" s="159"/>
      <c r="C289" s="159"/>
      <c r="D289" s="159"/>
      <c r="E289" s="159"/>
      <c r="F289" s="159"/>
      <c r="G289" s="159"/>
      <c r="H289" s="159"/>
      <c r="I289" s="159"/>
      <c r="J289" s="159"/>
      <c r="K289" s="159"/>
      <c r="L289" s="159"/>
      <c r="M289" s="159"/>
      <c r="N289" s="159"/>
      <c r="V289" s="639"/>
    </row>
    <row r="290" spans="1:22" s="386" customFormat="1">
      <c r="A290" s="387"/>
      <c r="B290" s="159"/>
      <c r="C290" s="159"/>
      <c r="D290" s="159"/>
      <c r="E290" s="159"/>
      <c r="F290" s="159"/>
      <c r="G290" s="159"/>
      <c r="H290" s="159"/>
      <c r="I290" s="159"/>
      <c r="J290" s="159"/>
      <c r="K290" s="159"/>
      <c r="L290" s="159"/>
      <c r="M290" s="159"/>
      <c r="N290" s="159"/>
      <c r="V290" s="639"/>
    </row>
    <row r="291" spans="1:22" s="386" customFormat="1">
      <c r="A291" s="387"/>
      <c r="B291" s="159"/>
      <c r="C291" s="159"/>
      <c r="D291" s="159"/>
      <c r="E291" s="159"/>
      <c r="F291" s="159"/>
      <c r="G291" s="159"/>
      <c r="H291" s="159"/>
      <c r="I291" s="159"/>
      <c r="J291" s="159"/>
      <c r="K291" s="159"/>
      <c r="L291" s="159"/>
      <c r="M291" s="159"/>
      <c r="N291" s="159"/>
      <c r="V291" s="639"/>
    </row>
    <row r="292" spans="1:22" s="386" customFormat="1">
      <c r="A292" s="387"/>
      <c r="B292" s="159"/>
      <c r="C292" s="159"/>
      <c r="D292" s="159"/>
      <c r="E292" s="159"/>
      <c r="F292" s="159"/>
      <c r="G292" s="159"/>
      <c r="H292" s="159"/>
      <c r="I292" s="159"/>
      <c r="J292" s="159"/>
      <c r="K292" s="159"/>
      <c r="L292" s="159"/>
      <c r="M292" s="159"/>
      <c r="N292" s="159"/>
      <c r="V292" s="639"/>
    </row>
    <row r="293" spans="1:22" s="386" customFormat="1">
      <c r="A293" s="387"/>
      <c r="B293" s="159"/>
      <c r="C293" s="159"/>
      <c r="D293" s="159"/>
      <c r="E293" s="159"/>
      <c r="F293" s="159"/>
      <c r="G293" s="159"/>
      <c r="H293" s="159"/>
      <c r="I293" s="159"/>
      <c r="J293" s="159"/>
      <c r="K293" s="159"/>
      <c r="L293" s="159"/>
      <c r="M293" s="159"/>
      <c r="N293" s="159"/>
      <c r="V293" s="639"/>
    </row>
    <row r="294" spans="1:22" s="386" customFormat="1">
      <c r="A294" s="387"/>
      <c r="B294" s="159"/>
      <c r="C294" s="159"/>
      <c r="D294" s="159"/>
      <c r="E294" s="159"/>
      <c r="F294" s="159"/>
      <c r="G294" s="159"/>
      <c r="H294" s="159"/>
      <c r="I294" s="159"/>
      <c r="J294" s="159"/>
      <c r="K294" s="159"/>
      <c r="L294" s="159"/>
      <c r="M294" s="159"/>
      <c r="N294" s="159"/>
      <c r="V294" s="639"/>
    </row>
    <row r="295" spans="1:22" s="386" customFormat="1">
      <c r="A295" s="387"/>
      <c r="B295" s="159"/>
      <c r="C295" s="159"/>
      <c r="D295" s="159"/>
      <c r="E295" s="159"/>
      <c r="F295" s="159"/>
      <c r="G295" s="159"/>
      <c r="H295" s="159"/>
      <c r="I295" s="159"/>
      <c r="J295" s="159"/>
      <c r="K295" s="159"/>
      <c r="L295" s="159"/>
      <c r="M295" s="159"/>
      <c r="N295" s="159"/>
      <c r="V295" s="639"/>
    </row>
    <row r="296" spans="1:22" s="386" customFormat="1">
      <c r="A296" s="387"/>
      <c r="B296" s="159"/>
      <c r="C296" s="159"/>
      <c r="D296" s="159"/>
      <c r="E296" s="159"/>
      <c r="F296" s="159"/>
      <c r="G296" s="159"/>
      <c r="H296" s="159"/>
      <c r="I296" s="159"/>
      <c r="J296" s="159"/>
      <c r="K296" s="159"/>
      <c r="L296" s="159"/>
      <c r="M296" s="159"/>
      <c r="N296" s="159"/>
      <c r="V296" s="639"/>
    </row>
    <row r="297" spans="1:22" s="386" customFormat="1">
      <c r="A297" s="387"/>
      <c r="B297" s="159"/>
      <c r="C297" s="159"/>
      <c r="D297" s="159"/>
      <c r="E297" s="159"/>
      <c r="F297" s="159"/>
      <c r="G297" s="159"/>
      <c r="H297" s="159"/>
      <c r="I297" s="159"/>
      <c r="J297" s="159"/>
      <c r="K297" s="159"/>
      <c r="L297" s="159"/>
      <c r="M297" s="159"/>
      <c r="N297" s="159"/>
      <c r="V297" s="639"/>
    </row>
    <row r="298" spans="1:22" s="386" customFormat="1">
      <c r="A298" s="387"/>
      <c r="B298" s="159"/>
      <c r="C298" s="159"/>
      <c r="D298" s="159"/>
      <c r="E298" s="159"/>
      <c r="F298" s="159"/>
      <c r="G298" s="159"/>
      <c r="H298" s="159"/>
      <c r="I298" s="159"/>
      <c r="J298" s="159"/>
      <c r="K298" s="159"/>
      <c r="L298" s="159"/>
      <c r="M298" s="159"/>
      <c r="N298" s="159"/>
      <c r="V298" s="639"/>
    </row>
    <row r="299" spans="1:22" s="386" customFormat="1">
      <c r="A299" s="387"/>
      <c r="B299" s="159"/>
      <c r="C299" s="159"/>
      <c r="D299" s="159"/>
      <c r="E299" s="159"/>
      <c r="F299" s="159"/>
      <c r="G299" s="159"/>
      <c r="H299" s="159"/>
      <c r="I299" s="159"/>
      <c r="J299" s="159"/>
      <c r="K299" s="159"/>
      <c r="L299" s="159"/>
      <c r="M299" s="159"/>
      <c r="N299" s="159"/>
      <c r="V299" s="639"/>
    </row>
    <row r="300" spans="1:22" s="386" customFormat="1">
      <c r="A300" s="387"/>
      <c r="B300" s="159"/>
      <c r="C300" s="159"/>
      <c r="D300" s="159"/>
      <c r="E300" s="159"/>
      <c r="F300" s="159"/>
      <c r="G300" s="159"/>
      <c r="H300" s="159"/>
      <c r="I300" s="159"/>
      <c r="J300" s="159"/>
      <c r="K300" s="159"/>
      <c r="L300" s="159"/>
      <c r="M300" s="159"/>
      <c r="N300" s="159"/>
      <c r="V300" s="639"/>
    </row>
    <row r="301" spans="1:22" s="386" customFormat="1">
      <c r="A301" s="387"/>
      <c r="B301" s="159"/>
      <c r="C301" s="159"/>
      <c r="D301" s="159"/>
      <c r="E301" s="159"/>
      <c r="F301" s="159"/>
      <c r="G301" s="159"/>
      <c r="H301" s="159"/>
      <c r="I301" s="159"/>
      <c r="J301" s="159"/>
      <c r="K301" s="159"/>
      <c r="L301" s="159"/>
      <c r="M301" s="159"/>
      <c r="N301" s="159"/>
      <c r="V301" s="639"/>
    </row>
    <row r="302" spans="1:22" s="386" customFormat="1">
      <c r="A302" s="387"/>
      <c r="B302" s="159"/>
      <c r="C302" s="159"/>
      <c r="D302" s="159"/>
      <c r="E302" s="159"/>
      <c r="F302" s="159"/>
      <c r="G302" s="159"/>
      <c r="H302" s="159"/>
      <c r="I302" s="159"/>
      <c r="J302" s="159"/>
      <c r="K302" s="159"/>
      <c r="L302" s="159"/>
      <c r="M302" s="159"/>
      <c r="N302" s="159"/>
      <c r="V302" s="639"/>
    </row>
    <row r="303" spans="1:22" s="386" customFormat="1">
      <c r="A303" s="387"/>
      <c r="B303" s="159"/>
      <c r="C303" s="159"/>
      <c r="D303" s="159"/>
      <c r="E303" s="159"/>
      <c r="F303" s="159"/>
      <c r="G303" s="159"/>
      <c r="H303" s="159"/>
      <c r="I303" s="159"/>
      <c r="J303" s="159"/>
      <c r="K303" s="159"/>
      <c r="L303" s="159"/>
      <c r="M303" s="159"/>
      <c r="N303" s="159"/>
      <c r="V303" s="639"/>
    </row>
    <row r="304" spans="1:22" s="386" customFormat="1">
      <c r="A304" s="387"/>
      <c r="B304" s="159"/>
      <c r="C304" s="159"/>
      <c r="D304" s="159"/>
      <c r="E304" s="159"/>
      <c r="F304" s="159"/>
      <c r="G304" s="159"/>
      <c r="H304" s="159"/>
      <c r="I304" s="159"/>
      <c r="J304" s="159"/>
      <c r="K304" s="159"/>
      <c r="L304" s="159"/>
      <c r="M304" s="159"/>
      <c r="N304" s="159"/>
      <c r="V304" s="639"/>
    </row>
    <row r="305" spans="1:22" s="386" customFormat="1">
      <c r="A305" s="387"/>
      <c r="B305" s="159"/>
      <c r="C305" s="159"/>
      <c r="D305" s="159"/>
      <c r="E305" s="159"/>
      <c r="F305" s="159"/>
      <c r="G305" s="159"/>
      <c r="H305" s="159"/>
      <c r="I305" s="159"/>
      <c r="J305" s="159"/>
      <c r="K305" s="159"/>
      <c r="L305" s="159"/>
      <c r="M305" s="159"/>
      <c r="N305" s="159"/>
      <c r="V305" s="639"/>
    </row>
    <row r="306" spans="1:22" s="386" customFormat="1">
      <c r="A306" s="387"/>
      <c r="B306" s="159"/>
      <c r="C306" s="159"/>
      <c r="D306" s="159"/>
      <c r="E306" s="159"/>
      <c r="F306" s="159"/>
      <c r="G306" s="159"/>
      <c r="H306" s="159"/>
      <c r="I306" s="159"/>
      <c r="J306" s="159"/>
      <c r="K306" s="159"/>
      <c r="L306" s="159"/>
      <c r="M306" s="159"/>
      <c r="N306" s="159"/>
      <c r="V306" s="639"/>
    </row>
    <row r="307" spans="1:22" s="386" customFormat="1">
      <c r="A307" s="387"/>
      <c r="B307" s="159"/>
      <c r="C307" s="159"/>
      <c r="D307" s="159"/>
      <c r="E307" s="159"/>
      <c r="F307" s="159"/>
      <c r="G307" s="159"/>
      <c r="H307" s="159"/>
      <c r="I307" s="159"/>
      <c r="J307" s="159"/>
      <c r="K307" s="159"/>
      <c r="L307" s="159"/>
      <c r="M307" s="159"/>
      <c r="N307" s="159"/>
      <c r="V307" s="639"/>
    </row>
    <row r="308" spans="1:22" s="386" customFormat="1">
      <c r="A308" s="387"/>
      <c r="B308" s="159"/>
      <c r="C308" s="159"/>
      <c r="D308" s="159"/>
      <c r="E308" s="159"/>
      <c r="F308" s="159"/>
      <c r="G308" s="159"/>
      <c r="H308" s="159"/>
      <c r="I308" s="159"/>
      <c r="J308" s="159"/>
      <c r="K308" s="159"/>
      <c r="L308" s="159"/>
      <c r="M308" s="159"/>
      <c r="N308" s="159"/>
      <c r="V308" s="639"/>
    </row>
    <row r="309" spans="1:22" s="386" customFormat="1">
      <c r="A309" s="387"/>
      <c r="B309" s="159"/>
      <c r="C309" s="159"/>
      <c r="D309" s="159"/>
      <c r="E309" s="159"/>
      <c r="F309" s="159"/>
      <c r="G309" s="159"/>
      <c r="H309" s="159"/>
      <c r="I309" s="159"/>
      <c r="J309" s="159"/>
      <c r="K309" s="159"/>
      <c r="L309" s="159"/>
      <c r="M309" s="159"/>
      <c r="N309" s="159"/>
      <c r="V309" s="639"/>
    </row>
    <row r="310" spans="1:22" s="386" customFormat="1">
      <c r="A310" s="387"/>
      <c r="B310" s="159"/>
      <c r="C310" s="159"/>
      <c r="D310" s="159"/>
      <c r="E310" s="159"/>
      <c r="F310" s="159"/>
      <c r="G310" s="159"/>
      <c r="H310" s="159"/>
      <c r="I310" s="159"/>
      <c r="J310" s="159"/>
      <c r="K310" s="159"/>
      <c r="L310" s="159"/>
      <c r="M310" s="159"/>
      <c r="N310" s="159"/>
      <c r="V310" s="639"/>
    </row>
    <row r="311" spans="1:22" s="386" customFormat="1">
      <c r="A311" s="387"/>
      <c r="B311" s="159"/>
      <c r="C311" s="159"/>
      <c r="D311" s="159"/>
      <c r="E311" s="159"/>
      <c r="F311" s="159"/>
      <c r="G311" s="159"/>
      <c r="H311" s="159"/>
      <c r="I311" s="159"/>
      <c r="J311" s="159"/>
      <c r="K311" s="159"/>
      <c r="L311" s="159"/>
      <c r="M311" s="159"/>
      <c r="N311" s="159"/>
      <c r="V311" s="639"/>
    </row>
    <row r="312" spans="1:22" s="386" customFormat="1">
      <c r="A312" s="387"/>
      <c r="B312" s="159"/>
      <c r="C312" s="159"/>
      <c r="D312" s="159"/>
      <c r="E312" s="159"/>
      <c r="F312" s="159"/>
      <c r="G312" s="159"/>
      <c r="H312" s="159"/>
      <c r="I312" s="159"/>
      <c r="J312" s="159"/>
      <c r="K312" s="159"/>
      <c r="L312" s="159"/>
      <c r="M312" s="159"/>
      <c r="N312" s="159"/>
      <c r="V312" s="639"/>
    </row>
    <row r="313" spans="1:22" s="386" customFormat="1">
      <c r="A313" s="387"/>
      <c r="B313" s="159"/>
      <c r="C313" s="159"/>
      <c r="D313" s="159"/>
      <c r="E313" s="159"/>
      <c r="F313" s="159"/>
      <c r="G313" s="159"/>
      <c r="H313" s="159"/>
      <c r="I313" s="159"/>
      <c r="J313" s="159"/>
      <c r="K313" s="159"/>
      <c r="L313" s="159"/>
      <c r="M313" s="159"/>
      <c r="N313" s="159"/>
      <c r="V313" s="639"/>
    </row>
    <row r="314" spans="1:22" s="386" customFormat="1">
      <c r="A314" s="387"/>
      <c r="B314" s="159"/>
      <c r="C314" s="159"/>
      <c r="D314" s="159"/>
      <c r="E314" s="159"/>
      <c r="F314" s="159"/>
      <c r="G314" s="159"/>
      <c r="H314" s="159"/>
      <c r="I314" s="159"/>
      <c r="J314" s="159"/>
      <c r="K314" s="159"/>
      <c r="L314" s="159"/>
      <c r="M314" s="159"/>
      <c r="N314" s="159"/>
      <c r="V314" s="639"/>
    </row>
    <row r="315" spans="1:22" s="386" customFormat="1">
      <c r="A315" s="387"/>
      <c r="B315" s="159"/>
      <c r="C315" s="159"/>
      <c r="D315" s="159"/>
      <c r="E315" s="159"/>
      <c r="F315" s="159"/>
      <c r="G315" s="159"/>
      <c r="H315" s="159"/>
      <c r="I315" s="159"/>
      <c r="J315" s="159"/>
      <c r="K315" s="159"/>
      <c r="L315" s="159"/>
      <c r="M315" s="159"/>
      <c r="N315" s="159"/>
      <c r="V315" s="639"/>
    </row>
    <row r="316" spans="1:22" s="386" customFormat="1">
      <c r="A316" s="387"/>
      <c r="B316" s="159"/>
      <c r="C316" s="159"/>
      <c r="D316" s="159"/>
      <c r="E316" s="159"/>
      <c r="F316" s="159"/>
      <c r="G316" s="159"/>
      <c r="H316" s="159"/>
      <c r="I316" s="159"/>
      <c r="J316" s="159"/>
      <c r="K316" s="159"/>
      <c r="L316" s="159"/>
      <c r="M316" s="159"/>
      <c r="N316" s="159"/>
      <c r="V316" s="639"/>
    </row>
    <row r="317" spans="1:22" s="386" customFormat="1">
      <c r="A317" s="387"/>
      <c r="B317" s="159"/>
      <c r="C317" s="159"/>
      <c r="D317" s="159"/>
      <c r="E317" s="159"/>
      <c r="F317" s="159"/>
      <c r="G317" s="159"/>
      <c r="H317" s="159"/>
      <c r="I317" s="159"/>
      <c r="J317" s="159"/>
      <c r="K317" s="159"/>
      <c r="L317" s="159"/>
      <c r="M317" s="159"/>
      <c r="N317" s="159"/>
      <c r="V317" s="639"/>
    </row>
    <row r="318" spans="1:22" s="386" customFormat="1">
      <c r="A318" s="387"/>
      <c r="B318" s="159"/>
      <c r="C318" s="159"/>
      <c r="D318" s="159"/>
      <c r="E318" s="159"/>
      <c r="F318" s="159"/>
      <c r="G318" s="159"/>
      <c r="H318" s="159"/>
      <c r="I318" s="159"/>
      <c r="J318" s="159"/>
      <c r="K318" s="159"/>
      <c r="L318" s="159"/>
      <c r="M318" s="159"/>
      <c r="N318" s="159"/>
      <c r="V318" s="639"/>
    </row>
    <row r="319" spans="1:22" s="386" customFormat="1">
      <c r="A319" s="387"/>
      <c r="B319" s="159"/>
      <c r="C319" s="159"/>
      <c r="D319" s="159"/>
      <c r="E319" s="159"/>
      <c r="F319" s="159"/>
      <c r="G319" s="159"/>
      <c r="H319" s="159"/>
      <c r="I319" s="159"/>
      <c r="J319" s="159"/>
      <c r="K319" s="159"/>
      <c r="L319" s="159"/>
      <c r="M319" s="159"/>
      <c r="N319" s="159"/>
      <c r="V319" s="639"/>
    </row>
    <row r="320" spans="1:22" s="386" customFormat="1">
      <c r="A320" s="387"/>
      <c r="B320" s="159"/>
      <c r="C320" s="159"/>
      <c r="D320" s="159"/>
      <c r="E320" s="159"/>
      <c r="F320" s="159"/>
      <c r="G320" s="159"/>
      <c r="H320" s="159"/>
      <c r="I320" s="159"/>
      <c r="J320" s="159"/>
      <c r="K320" s="159"/>
      <c r="L320" s="159"/>
      <c r="M320" s="159"/>
      <c r="N320" s="159"/>
      <c r="V320" s="639"/>
    </row>
    <row r="321" spans="1:22" s="386" customFormat="1">
      <c r="A321" s="387"/>
      <c r="B321" s="159"/>
      <c r="C321" s="159"/>
      <c r="D321" s="159"/>
      <c r="E321" s="159"/>
      <c r="F321" s="159"/>
      <c r="G321" s="159"/>
      <c r="H321" s="159"/>
      <c r="I321" s="159"/>
      <c r="J321" s="159"/>
      <c r="K321" s="159"/>
      <c r="L321" s="159"/>
      <c r="M321" s="159"/>
      <c r="N321" s="159"/>
      <c r="V321" s="639"/>
    </row>
    <row r="322" spans="1:22" s="386" customFormat="1">
      <c r="A322" s="387"/>
      <c r="B322" s="159"/>
      <c r="C322" s="159"/>
      <c r="D322" s="159"/>
      <c r="E322" s="159"/>
      <c r="F322" s="159"/>
      <c r="G322" s="159"/>
      <c r="H322" s="159"/>
      <c r="I322" s="159"/>
      <c r="J322" s="159"/>
      <c r="K322" s="159"/>
      <c r="L322" s="159"/>
      <c r="M322" s="159"/>
      <c r="N322" s="159"/>
      <c r="V322" s="639"/>
    </row>
    <row r="323" spans="1:22" s="386" customFormat="1">
      <c r="A323" s="387"/>
      <c r="B323" s="159"/>
      <c r="C323" s="159"/>
      <c r="D323" s="159"/>
      <c r="E323" s="159"/>
      <c r="F323" s="159"/>
      <c r="G323" s="159"/>
      <c r="H323" s="159"/>
      <c r="I323" s="159"/>
      <c r="J323" s="159"/>
      <c r="K323" s="159"/>
      <c r="L323" s="159"/>
      <c r="M323" s="159"/>
      <c r="N323" s="159"/>
      <c r="V323" s="639"/>
    </row>
    <row r="324" spans="1:22" s="386" customFormat="1">
      <c r="A324" s="387"/>
      <c r="B324" s="159"/>
      <c r="C324" s="159"/>
      <c r="D324" s="159"/>
      <c r="E324" s="159"/>
      <c r="F324" s="159"/>
      <c r="G324" s="159"/>
      <c r="H324" s="159"/>
      <c r="I324" s="159"/>
      <c r="J324" s="159"/>
      <c r="K324" s="159"/>
      <c r="L324" s="159"/>
      <c r="M324" s="159"/>
      <c r="N324" s="159"/>
      <c r="V324" s="639"/>
    </row>
    <row r="325" spans="1:22" s="386" customFormat="1">
      <c r="A325" s="387"/>
      <c r="B325" s="159"/>
      <c r="C325" s="159"/>
      <c r="D325" s="159"/>
      <c r="E325" s="159"/>
      <c r="F325" s="159"/>
      <c r="G325" s="159"/>
      <c r="H325" s="159"/>
      <c r="I325" s="159"/>
      <c r="J325" s="159"/>
      <c r="K325" s="159"/>
      <c r="L325" s="159"/>
      <c r="M325" s="159"/>
      <c r="N325" s="159"/>
      <c r="V325" s="639"/>
    </row>
    <row r="326" spans="1:22" s="386" customFormat="1">
      <c r="A326" s="387"/>
      <c r="B326" s="159"/>
      <c r="C326" s="159"/>
      <c r="D326" s="159"/>
      <c r="E326" s="159"/>
      <c r="F326" s="159"/>
      <c r="G326" s="159"/>
      <c r="H326" s="159"/>
      <c r="I326" s="159"/>
      <c r="J326" s="159"/>
      <c r="K326" s="159"/>
      <c r="L326" s="159"/>
      <c r="M326" s="159"/>
      <c r="N326" s="159"/>
      <c r="V326" s="639"/>
    </row>
    <row r="327" spans="1:22" s="386" customFormat="1">
      <c r="A327" s="387"/>
      <c r="B327" s="159"/>
      <c r="C327" s="159"/>
      <c r="D327" s="159"/>
      <c r="E327" s="159"/>
      <c r="F327" s="159"/>
      <c r="G327" s="159"/>
      <c r="H327" s="159"/>
      <c r="I327" s="159"/>
      <c r="J327" s="159"/>
      <c r="K327" s="159"/>
      <c r="L327" s="159"/>
      <c r="M327" s="159"/>
      <c r="N327" s="159"/>
      <c r="V327" s="639"/>
    </row>
    <row r="328" spans="1:22" s="386" customFormat="1">
      <c r="A328" s="387"/>
      <c r="B328" s="159"/>
      <c r="C328" s="159"/>
      <c r="D328" s="159"/>
      <c r="E328" s="159"/>
      <c r="F328" s="159"/>
      <c r="G328" s="159"/>
      <c r="H328" s="159"/>
      <c r="I328" s="159"/>
      <c r="J328" s="159"/>
      <c r="K328" s="159"/>
      <c r="L328" s="159"/>
      <c r="M328" s="159"/>
      <c r="N328" s="159"/>
      <c r="V328" s="639"/>
    </row>
    <row r="329" spans="1:22" s="386" customFormat="1">
      <c r="A329" s="387"/>
      <c r="B329" s="159"/>
      <c r="C329" s="159"/>
      <c r="D329" s="159"/>
      <c r="E329" s="159"/>
      <c r="F329" s="159"/>
      <c r="G329" s="159"/>
      <c r="H329" s="159"/>
      <c r="I329" s="159"/>
      <c r="J329" s="159"/>
      <c r="K329" s="159"/>
      <c r="L329" s="159"/>
      <c r="M329" s="159"/>
      <c r="N329" s="159"/>
      <c r="V329" s="639"/>
    </row>
    <row r="330" spans="1:22" s="386" customFormat="1">
      <c r="A330" s="387"/>
      <c r="B330" s="159"/>
      <c r="C330" s="159"/>
      <c r="D330" s="159"/>
      <c r="E330" s="159"/>
      <c r="F330" s="159"/>
      <c r="G330" s="159"/>
      <c r="H330" s="159"/>
      <c r="I330" s="159"/>
      <c r="J330" s="159"/>
      <c r="K330" s="159"/>
      <c r="L330" s="159"/>
      <c r="M330" s="159"/>
      <c r="N330" s="159"/>
      <c r="V330" s="639"/>
    </row>
    <row r="331" spans="1:22" s="386" customFormat="1">
      <c r="A331" s="387"/>
      <c r="B331" s="159"/>
      <c r="C331" s="159"/>
      <c r="D331" s="159"/>
      <c r="E331" s="159"/>
      <c r="F331" s="159"/>
      <c r="G331" s="159"/>
      <c r="H331" s="159"/>
      <c r="I331" s="159"/>
      <c r="J331" s="159"/>
      <c r="K331" s="159"/>
      <c r="L331" s="159"/>
      <c r="M331" s="159"/>
      <c r="N331" s="159"/>
      <c r="V331" s="639"/>
    </row>
    <row r="332" spans="1:22" s="386" customFormat="1">
      <c r="A332" s="387"/>
      <c r="B332" s="159"/>
      <c r="C332" s="159"/>
      <c r="D332" s="159"/>
      <c r="E332" s="159"/>
      <c r="F332" s="159"/>
      <c r="G332" s="159"/>
      <c r="H332" s="159"/>
      <c r="I332" s="159"/>
      <c r="J332" s="159"/>
      <c r="K332" s="159"/>
      <c r="L332" s="159"/>
      <c r="M332" s="159"/>
      <c r="N332" s="159"/>
      <c r="V332" s="639"/>
    </row>
    <row r="333" spans="1:22" s="386" customFormat="1">
      <c r="A333" s="387"/>
      <c r="B333" s="159"/>
      <c r="C333" s="159"/>
      <c r="D333" s="159"/>
      <c r="E333" s="159"/>
      <c r="F333" s="159"/>
      <c r="G333" s="159"/>
      <c r="H333" s="159"/>
      <c r="I333" s="159"/>
      <c r="J333" s="159"/>
      <c r="K333" s="159"/>
      <c r="L333" s="159"/>
      <c r="M333" s="159"/>
      <c r="N333" s="159"/>
      <c r="V333" s="639"/>
    </row>
    <row r="334" spans="1:22" s="386" customFormat="1">
      <c r="A334" s="387"/>
      <c r="B334" s="159"/>
      <c r="C334" s="159"/>
      <c r="D334" s="159"/>
      <c r="E334" s="159"/>
      <c r="F334" s="159"/>
      <c r="G334" s="159"/>
      <c r="H334" s="159"/>
      <c r="I334" s="159"/>
      <c r="J334" s="159"/>
      <c r="K334" s="159"/>
      <c r="L334" s="159"/>
      <c r="M334" s="159"/>
      <c r="N334" s="159"/>
      <c r="V334" s="639"/>
    </row>
    <row r="335" spans="1:22" s="386" customFormat="1">
      <c r="A335" s="387"/>
      <c r="B335" s="159"/>
      <c r="C335" s="159"/>
      <c r="D335" s="159"/>
      <c r="E335" s="159"/>
      <c r="F335" s="159"/>
      <c r="G335" s="159"/>
      <c r="H335" s="159"/>
      <c r="I335" s="159"/>
      <c r="J335" s="159"/>
      <c r="K335" s="159"/>
      <c r="L335" s="159"/>
      <c r="M335" s="159"/>
      <c r="N335" s="159"/>
      <c r="V335" s="639"/>
    </row>
    <row r="336" spans="1:22" s="386" customFormat="1">
      <c r="A336" s="387"/>
      <c r="B336" s="159"/>
      <c r="C336" s="159"/>
      <c r="D336" s="159"/>
      <c r="E336" s="159"/>
      <c r="F336" s="159"/>
      <c r="G336" s="159"/>
      <c r="H336" s="159"/>
      <c r="I336" s="159"/>
      <c r="J336" s="159"/>
      <c r="K336" s="159"/>
      <c r="L336" s="159"/>
      <c r="M336" s="159"/>
      <c r="N336" s="159"/>
      <c r="V336" s="639"/>
    </row>
    <row r="337" spans="1:22" s="386" customFormat="1">
      <c r="A337" s="387"/>
      <c r="B337" s="159"/>
      <c r="C337" s="159"/>
      <c r="D337" s="159"/>
      <c r="E337" s="159"/>
      <c r="F337" s="159"/>
      <c r="G337" s="159"/>
      <c r="H337" s="159"/>
      <c r="I337" s="159"/>
      <c r="J337" s="159"/>
      <c r="K337" s="159"/>
      <c r="L337" s="159"/>
      <c r="M337" s="159"/>
      <c r="N337" s="159"/>
      <c r="V337" s="639"/>
    </row>
    <row r="338" spans="1:22" s="386" customFormat="1">
      <c r="A338" s="387"/>
      <c r="B338" s="159"/>
      <c r="C338" s="159"/>
      <c r="D338" s="159"/>
      <c r="E338" s="159"/>
      <c r="F338" s="159"/>
      <c r="G338" s="159"/>
      <c r="H338" s="159"/>
      <c r="I338" s="159"/>
      <c r="J338" s="159"/>
      <c r="K338" s="159"/>
      <c r="L338" s="159"/>
      <c r="M338" s="159"/>
      <c r="N338" s="159"/>
      <c r="V338" s="639"/>
    </row>
    <row r="339" spans="1:22" s="386" customFormat="1">
      <c r="A339" s="387"/>
      <c r="B339" s="159"/>
      <c r="C339" s="159"/>
      <c r="D339" s="159"/>
      <c r="E339" s="159"/>
      <c r="F339" s="159"/>
      <c r="G339" s="159"/>
      <c r="H339" s="159"/>
      <c r="I339" s="159"/>
      <c r="J339" s="159"/>
      <c r="K339" s="159"/>
      <c r="L339" s="159"/>
      <c r="M339" s="159"/>
      <c r="N339" s="159"/>
      <c r="V339" s="639"/>
    </row>
    <row r="340" spans="1:22" s="386" customFormat="1">
      <c r="A340" s="384"/>
      <c r="B340" s="159"/>
      <c r="C340" s="159"/>
      <c r="D340" s="159"/>
      <c r="E340" s="159"/>
      <c r="F340" s="159"/>
      <c r="G340" s="159"/>
      <c r="H340" s="159"/>
      <c r="I340" s="159"/>
      <c r="J340" s="159"/>
      <c r="K340" s="159"/>
      <c r="L340" s="159"/>
      <c r="M340" s="159"/>
      <c r="N340" s="159"/>
      <c r="V340" s="639"/>
    </row>
  </sheetData>
  <mergeCells count="14">
    <mergeCell ref="B30:C30"/>
    <mergeCell ref="K5:L5"/>
    <mergeCell ref="A2:O2"/>
    <mergeCell ref="A3:O3"/>
    <mergeCell ref="A4:O4"/>
    <mergeCell ref="A5:A6"/>
    <mergeCell ref="B5:B6"/>
    <mergeCell ref="C5:C6"/>
    <mergeCell ref="D5:D6"/>
    <mergeCell ref="I5:J5"/>
    <mergeCell ref="O5:O6"/>
    <mergeCell ref="M5:M6"/>
    <mergeCell ref="N5:N6"/>
    <mergeCell ref="E5:H6"/>
  </mergeCells>
  <pageMargins left="0.734251969" right="0.41" top="0.5" bottom="0.5" header="0.31496062992126" footer="0.31496062992126"/>
  <pageSetup paperSize="9" scale="6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FFFF00"/>
    <pageSetUpPr fitToPage="1"/>
  </sheetPr>
  <dimension ref="A1:P334"/>
  <sheetViews>
    <sheetView view="pageBreakPreview" topLeftCell="C1" zoomScale="70" zoomScaleNormal="70" zoomScaleSheetLayoutView="70" workbookViewId="0">
      <selection activeCell="U11" sqref="U11"/>
    </sheetView>
  </sheetViews>
  <sheetFormatPr defaultRowHeight="15.6"/>
  <cols>
    <col min="1" max="1" width="6.19921875" style="44" customWidth="1"/>
    <col min="2" max="2" width="49.09765625" style="36" customWidth="1"/>
    <col min="3" max="3" width="16.19921875" style="37" customWidth="1"/>
    <col min="4" max="4" width="11.3984375" style="37" customWidth="1"/>
    <col min="5" max="5" width="11.3984375" style="496" customWidth="1"/>
    <col min="6" max="6" width="12" style="38" hidden="1" customWidth="1"/>
    <col min="7" max="10" width="12.19921875" style="38" customWidth="1"/>
    <col min="11" max="11" width="13.3984375" style="38" customWidth="1"/>
    <col min="12" max="12" width="13.3984375" style="38" hidden="1" customWidth="1"/>
    <col min="13" max="13" width="23.09765625" style="39" customWidth="1"/>
    <col min="14" max="14" width="14" style="25" customWidth="1"/>
    <col min="15" max="15" width="17.19921875" style="25" customWidth="1"/>
    <col min="16" max="16" width="15.59765625" style="25" customWidth="1"/>
    <col min="17" max="17" width="9" style="25" customWidth="1"/>
    <col min="18" max="225" width="9" style="25"/>
    <col min="226" max="226" width="6.19921875" style="25" customWidth="1"/>
    <col min="227" max="227" width="40.3984375" style="25" customWidth="1"/>
    <col min="228" max="228" width="12.5" style="25" customWidth="1"/>
    <col min="229" max="241" width="0" style="25" hidden="1" customWidth="1"/>
    <col min="242" max="243" width="16" style="25" customWidth="1"/>
    <col min="244" max="245" width="13.8984375" style="25" customWidth="1"/>
    <col min="246" max="246" width="11.09765625" style="25" customWidth="1"/>
    <col min="247" max="247" width="11.19921875" style="25" customWidth="1"/>
    <col min="248" max="248" width="11.69921875" style="25" bestFit="1" customWidth="1"/>
    <col min="249" max="481" width="9" style="25"/>
    <col min="482" max="482" width="6.19921875" style="25" customWidth="1"/>
    <col min="483" max="483" width="40.3984375" style="25" customWidth="1"/>
    <col min="484" max="484" width="12.5" style="25" customWidth="1"/>
    <col min="485" max="497" width="0" style="25" hidden="1" customWidth="1"/>
    <col min="498" max="499" width="16" style="25" customWidth="1"/>
    <col min="500" max="501" width="13.8984375" style="25" customWidth="1"/>
    <col min="502" max="502" width="11.09765625" style="25" customWidth="1"/>
    <col min="503" max="503" width="11.19921875" style="25" customWidth="1"/>
    <col min="504" max="504" width="11.69921875" style="25" bestFit="1" customWidth="1"/>
    <col min="505" max="737" width="9" style="25"/>
    <col min="738" max="738" width="6.19921875" style="25" customWidth="1"/>
    <col min="739" max="739" width="40.3984375" style="25" customWidth="1"/>
    <col min="740" max="740" width="12.5" style="25" customWidth="1"/>
    <col min="741" max="753" width="0" style="25" hidden="1" customWidth="1"/>
    <col min="754" max="755" width="16" style="25" customWidth="1"/>
    <col min="756" max="757" width="13.8984375" style="25" customWidth="1"/>
    <col min="758" max="758" width="11.09765625" style="25" customWidth="1"/>
    <col min="759" max="759" width="11.19921875" style="25" customWidth="1"/>
    <col min="760" max="760" width="11.69921875" style="25" bestFit="1" customWidth="1"/>
    <col min="761" max="993" width="9" style="25"/>
    <col min="994" max="994" width="6.19921875" style="25" customWidth="1"/>
    <col min="995" max="995" width="40.3984375" style="25" customWidth="1"/>
    <col min="996" max="996" width="12.5" style="25" customWidth="1"/>
    <col min="997" max="1009" width="0" style="25" hidden="1" customWidth="1"/>
    <col min="1010" max="1011" width="16" style="25" customWidth="1"/>
    <col min="1012" max="1013" width="13.8984375" style="25" customWidth="1"/>
    <col min="1014" max="1014" width="11.09765625" style="25" customWidth="1"/>
    <col min="1015" max="1015" width="11.19921875" style="25" customWidth="1"/>
    <col min="1016" max="1016" width="11.69921875" style="25" bestFit="1" customWidth="1"/>
    <col min="1017" max="1249" width="9" style="25"/>
    <col min="1250" max="1250" width="6.19921875" style="25" customWidth="1"/>
    <col min="1251" max="1251" width="40.3984375" style="25" customWidth="1"/>
    <col min="1252" max="1252" width="12.5" style="25" customWidth="1"/>
    <col min="1253" max="1265" width="0" style="25" hidden="1" customWidth="1"/>
    <col min="1266" max="1267" width="16" style="25" customWidth="1"/>
    <col min="1268" max="1269" width="13.8984375" style="25" customWidth="1"/>
    <col min="1270" max="1270" width="11.09765625" style="25" customWidth="1"/>
    <col min="1271" max="1271" width="11.19921875" style="25" customWidth="1"/>
    <col min="1272" max="1272" width="11.69921875" style="25" bestFit="1" customWidth="1"/>
    <col min="1273" max="1505" width="9" style="25"/>
    <col min="1506" max="1506" width="6.19921875" style="25" customWidth="1"/>
    <col min="1507" max="1507" width="40.3984375" style="25" customWidth="1"/>
    <col min="1508" max="1508" width="12.5" style="25" customWidth="1"/>
    <col min="1509" max="1521" width="0" style="25" hidden="1" customWidth="1"/>
    <col min="1522" max="1523" width="16" style="25" customWidth="1"/>
    <col min="1524" max="1525" width="13.8984375" style="25" customWidth="1"/>
    <col min="1526" max="1526" width="11.09765625" style="25" customWidth="1"/>
    <col min="1527" max="1527" width="11.19921875" style="25" customWidth="1"/>
    <col min="1528" max="1528" width="11.69921875" style="25" bestFit="1" customWidth="1"/>
    <col min="1529" max="1761" width="9" style="25"/>
    <col min="1762" max="1762" width="6.19921875" style="25" customWidth="1"/>
    <col min="1763" max="1763" width="40.3984375" style="25" customWidth="1"/>
    <col min="1764" max="1764" width="12.5" style="25" customWidth="1"/>
    <col min="1765" max="1777" width="0" style="25" hidden="1" customWidth="1"/>
    <col min="1778" max="1779" width="16" style="25" customWidth="1"/>
    <col min="1780" max="1781" width="13.8984375" style="25" customWidth="1"/>
    <col min="1782" max="1782" width="11.09765625" style="25" customWidth="1"/>
    <col min="1783" max="1783" width="11.19921875" style="25" customWidth="1"/>
    <col min="1784" max="1784" width="11.69921875" style="25" bestFit="1" customWidth="1"/>
    <col min="1785" max="2017" width="9" style="25"/>
    <col min="2018" max="2018" width="6.19921875" style="25" customWidth="1"/>
    <col min="2019" max="2019" width="40.3984375" style="25" customWidth="1"/>
    <col min="2020" max="2020" width="12.5" style="25" customWidth="1"/>
    <col min="2021" max="2033" width="0" style="25" hidden="1" customWidth="1"/>
    <col min="2034" max="2035" width="16" style="25" customWidth="1"/>
    <col min="2036" max="2037" width="13.8984375" style="25" customWidth="1"/>
    <col min="2038" max="2038" width="11.09765625" style="25" customWidth="1"/>
    <col min="2039" max="2039" width="11.19921875" style="25" customWidth="1"/>
    <col min="2040" max="2040" width="11.69921875" style="25" bestFit="1" customWidth="1"/>
    <col min="2041" max="2273" width="9" style="25"/>
    <col min="2274" max="2274" width="6.19921875" style="25" customWidth="1"/>
    <col min="2275" max="2275" width="40.3984375" style="25" customWidth="1"/>
    <col min="2276" max="2276" width="12.5" style="25" customWidth="1"/>
    <col min="2277" max="2289" width="0" style="25" hidden="1" customWidth="1"/>
    <col min="2290" max="2291" width="16" style="25" customWidth="1"/>
    <col min="2292" max="2293" width="13.8984375" style="25" customWidth="1"/>
    <col min="2294" max="2294" width="11.09765625" style="25" customWidth="1"/>
    <col min="2295" max="2295" width="11.19921875" style="25" customWidth="1"/>
    <col min="2296" max="2296" width="11.69921875" style="25" bestFit="1" customWidth="1"/>
    <col min="2297" max="2529" width="9" style="25"/>
    <col min="2530" max="2530" width="6.19921875" style="25" customWidth="1"/>
    <col min="2531" max="2531" width="40.3984375" style="25" customWidth="1"/>
    <col min="2532" max="2532" width="12.5" style="25" customWidth="1"/>
    <col min="2533" max="2545" width="0" style="25" hidden="1" customWidth="1"/>
    <col min="2546" max="2547" width="16" style="25" customWidth="1"/>
    <col min="2548" max="2549" width="13.8984375" style="25" customWidth="1"/>
    <col min="2550" max="2550" width="11.09765625" style="25" customWidth="1"/>
    <col min="2551" max="2551" width="11.19921875" style="25" customWidth="1"/>
    <col min="2552" max="2552" width="11.69921875" style="25" bestFit="1" customWidth="1"/>
    <col min="2553" max="2785" width="9" style="25"/>
    <col min="2786" max="2786" width="6.19921875" style="25" customWidth="1"/>
    <col min="2787" max="2787" width="40.3984375" style="25" customWidth="1"/>
    <col min="2788" max="2788" width="12.5" style="25" customWidth="1"/>
    <col min="2789" max="2801" width="0" style="25" hidden="1" customWidth="1"/>
    <col min="2802" max="2803" width="16" style="25" customWidth="1"/>
    <col min="2804" max="2805" width="13.8984375" style="25" customWidth="1"/>
    <col min="2806" max="2806" width="11.09765625" style="25" customWidth="1"/>
    <col min="2807" max="2807" width="11.19921875" style="25" customWidth="1"/>
    <col min="2808" max="2808" width="11.69921875" style="25" bestFit="1" customWidth="1"/>
    <col min="2809" max="3041" width="9" style="25"/>
    <col min="3042" max="3042" width="6.19921875" style="25" customWidth="1"/>
    <col min="3043" max="3043" width="40.3984375" style="25" customWidth="1"/>
    <col min="3044" max="3044" width="12.5" style="25" customWidth="1"/>
    <col min="3045" max="3057" width="0" style="25" hidden="1" customWidth="1"/>
    <col min="3058" max="3059" width="16" style="25" customWidth="1"/>
    <col min="3060" max="3061" width="13.8984375" style="25" customWidth="1"/>
    <col min="3062" max="3062" width="11.09765625" style="25" customWidth="1"/>
    <col min="3063" max="3063" width="11.19921875" style="25" customWidth="1"/>
    <col min="3064" max="3064" width="11.69921875" style="25" bestFit="1" customWidth="1"/>
    <col min="3065" max="3297" width="9" style="25"/>
    <col min="3298" max="3298" width="6.19921875" style="25" customWidth="1"/>
    <col min="3299" max="3299" width="40.3984375" style="25" customWidth="1"/>
    <col min="3300" max="3300" width="12.5" style="25" customWidth="1"/>
    <col min="3301" max="3313" width="0" style="25" hidden="1" customWidth="1"/>
    <col min="3314" max="3315" width="16" style="25" customWidth="1"/>
    <col min="3316" max="3317" width="13.8984375" style="25" customWidth="1"/>
    <col min="3318" max="3318" width="11.09765625" style="25" customWidth="1"/>
    <col min="3319" max="3319" width="11.19921875" style="25" customWidth="1"/>
    <col min="3320" max="3320" width="11.69921875" style="25" bestFit="1" customWidth="1"/>
    <col min="3321" max="3553" width="9" style="25"/>
    <col min="3554" max="3554" width="6.19921875" style="25" customWidth="1"/>
    <col min="3555" max="3555" width="40.3984375" style="25" customWidth="1"/>
    <col min="3556" max="3556" width="12.5" style="25" customWidth="1"/>
    <col min="3557" max="3569" width="0" style="25" hidden="1" customWidth="1"/>
    <col min="3570" max="3571" width="16" style="25" customWidth="1"/>
    <col min="3572" max="3573" width="13.8984375" style="25" customWidth="1"/>
    <col min="3574" max="3574" width="11.09765625" style="25" customWidth="1"/>
    <col min="3575" max="3575" width="11.19921875" style="25" customWidth="1"/>
    <col min="3576" max="3576" width="11.69921875" style="25" bestFit="1" customWidth="1"/>
    <col min="3577" max="3809" width="9" style="25"/>
    <col min="3810" max="3810" width="6.19921875" style="25" customWidth="1"/>
    <col min="3811" max="3811" width="40.3984375" style="25" customWidth="1"/>
    <col min="3812" max="3812" width="12.5" style="25" customWidth="1"/>
    <col min="3813" max="3825" width="0" style="25" hidden="1" customWidth="1"/>
    <col min="3826" max="3827" width="16" style="25" customWidth="1"/>
    <col min="3828" max="3829" width="13.8984375" style="25" customWidth="1"/>
    <col min="3830" max="3830" width="11.09765625" style="25" customWidth="1"/>
    <col min="3831" max="3831" width="11.19921875" style="25" customWidth="1"/>
    <col min="3832" max="3832" width="11.69921875" style="25" bestFit="1" customWidth="1"/>
    <col min="3833" max="4065" width="9" style="25"/>
    <col min="4066" max="4066" width="6.19921875" style="25" customWidth="1"/>
    <col min="4067" max="4067" width="40.3984375" style="25" customWidth="1"/>
    <col min="4068" max="4068" width="12.5" style="25" customWidth="1"/>
    <col min="4069" max="4081" width="0" style="25" hidden="1" customWidth="1"/>
    <col min="4082" max="4083" width="16" style="25" customWidth="1"/>
    <col min="4084" max="4085" width="13.8984375" style="25" customWidth="1"/>
    <col min="4086" max="4086" width="11.09765625" style="25" customWidth="1"/>
    <col min="4087" max="4087" width="11.19921875" style="25" customWidth="1"/>
    <col min="4088" max="4088" width="11.69921875" style="25" bestFit="1" customWidth="1"/>
    <col min="4089" max="4321" width="9" style="25"/>
    <col min="4322" max="4322" width="6.19921875" style="25" customWidth="1"/>
    <col min="4323" max="4323" width="40.3984375" style="25" customWidth="1"/>
    <col min="4324" max="4324" width="12.5" style="25" customWidth="1"/>
    <col min="4325" max="4337" width="0" style="25" hidden="1" customWidth="1"/>
    <col min="4338" max="4339" width="16" style="25" customWidth="1"/>
    <col min="4340" max="4341" width="13.8984375" style="25" customWidth="1"/>
    <col min="4342" max="4342" width="11.09765625" style="25" customWidth="1"/>
    <col min="4343" max="4343" width="11.19921875" style="25" customWidth="1"/>
    <col min="4344" max="4344" width="11.69921875" style="25" bestFit="1" customWidth="1"/>
    <col min="4345" max="4577" width="9" style="25"/>
    <col min="4578" max="4578" width="6.19921875" style="25" customWidth="1"/>
    <col min="4579" max="4579" width="40.3984375" style="25" customWidth="1"/>
    <col min="4580" max="4580" width="12.5" style="25" customWidth="1"/>
    <col min="4581" max="4593" width="0" style="25" hidden="1" customWidth="1"/>
    <col min="4594" max="4595" width="16" style="25" customWidth="1"/>
    <col min="4596" max="4597" width="13.8984375" style="25" customWidth="1"/>
    <col min="4598" max="4598" width="11.09765625" style="25" customWidth="1"/>
    <col min="4599" max="4599" width="11.19921875" style="25" customWidth="1"/>
    <col min="4600" max="4600" width="11.69921875" style="25" bestFit="1" customWidth="1"/>
    <col min="4601" max="4833" width="9" style="25"/>
    <col min="4834" max="4834" width="6.19921875" style="25" customWidth="1"/>
    <col min="4835" max="4835" width="40.3984375" style="25" customWidth="1"/>
    <col min="4836" max="4836" width="12.5" style="25" customWidth="1"/>
    <col min="4837" max="4849" width="0" style="25" hidden="1" customWidth="1"/>
    <col min="4850" max="4851" width="16" style="25" customWidth="1"/>
    <col min="4852" max="4853" width="13.8984375" style="25" customWidth="1"/>
    <col min="4854" max="4854" width="11.09765625" style="25" customWidth="1"/>
    <col min="4855" max="4855" width="11.19921875" style="25" customWidth="1"/>
    <col min="4856" max="4856" width="11.69921875" style="25" bestFit="1" customWidth="1"/>
    <col min="4857" max="5089" width="9" style="25"/>
    <col min="5090" max="5090" width="6.19921875" style="25" customWidth="1"/>
    <col min="5091" max="5091" width="40.3984375" style="25" customWidth="1"/>
    <col min="5092" max="5092" width="12.5" style="25" customWidth="1"/>
    <col min="5093" max="5105" width="0" style="25" hidden="1" customWidth="1"/>
    <col min="5106" max="5107" width="16" style="25" customWidth="1"/>
    <col min="5108" max="5109" width="13.8984375" style="25" customWidth="1"/>
    <col min="5110" max="5110" width="11.09765625" style="25" customWidth="1"/>
    <col min="5111" max="5111" width="11.19921875" style="25" customWidth="1"/>
    <col min="5112" max="5112" width="11.69921875" style="25" bestFit="1" customWidth="1"/>
    <col min="5113" max="5345" width="9" style="25"/>
    <col min="5346" max="5346" width="6.19921875" style="25" customWidth="1"/>
    <col min="5347" max="5347" width="40.3984375" style="25" customWidth="1"/>
    <col min="5348" max="5348" width="12.5" style="25" customWidth="1"/>
    <col min="5349" max="5361" width="0" style="25" hidden="1" customWidth="1"/>
    <col min="5362" max="5363" width="16" style="25" customWidth="1"/>
    <col min="5364" max="5365" width="13.8984375" style="25" customWidth="1"/>
    <col min="5366" max="5366" width="11.09765625" style="25" customWidth="1"/>
    <col min="5367" max="5367" width="11.19921875" style="25" customWidth="1"/>
    <col min="5368" max="5368" width="11.69921875" style="25" bestFit="1" customWidth="1"/>
    <col min="5369" max="5601" width="9" style="25"/>
    <col min="5602" max="5602" width="6.19921875" style="25" customWidth="1"/>
    <col min="5603" max="5603" width="40.3984375" style="25" customWidth="1"/>
    <col min="5604" max="5604" width="12.5" style="25" customWidth="1"/>
    <col min="5605" max="5617" width="0" style="25" hidden="1" customWidth="1"/>
    <col min="5618" max="5619" width="16" style="25" customWidth="1"/>
    <col min="5620" max="5621" width="13.8984375" style="25" customWidth="1"/>
    <col min="5622" max="5622" width="11.09765625" style="25" customWidth="1"/>
    <col min="5623" max="5623" width="11.19921875" style="25" customWidth="1"/>
    <col min="5624" max="5624" width="11.69921875" style="25" bestFit="1" customWidth="1"/>
    <col min="5625" max="5857" width="9" style="25"/>
    <col min="5858" max="5858" width="6.19921875" style="25" customWidth="1"/>
    <col min="5859" max="5859" width="40.3984375" style="25" customWidth="1"/>
    <col min="5860" max="5860" width="12.5" style="25" customWidth="1"/>
    <col min="5861" max="5873" width="0" style="25" hidden="1" customWidth="1"/>
    <col min="5874" max="5875" width="16" style="25" customWidth="1"/>
    <col min="5876" max="5877" width="13.8984375" style="25" customWidth="1"/>
    <col min="5878" max="5878" width="11.09765625" style="25" customWidth="1"/>
    <col min="5879" max="5879" width="11.19921875" style="25" customWidth="1"/>
    <col min="5880" max="5880" width="11.69921875" style="25" bestFit="1" customWidth="1"/>
    <col min="5881" max="6113" width="9" style="25"/>
    <col min="6114" max="6114" width="6.19921875" style="25" customWidth="1"/>
    <col min="6115" max="6115" width="40.3984375" style="25" customWidth="1"/>
    <col min="6116" max="6116" width="12.5" style="25" customWidth="1"/>
    <col min="6117" max="6129" width="0" style="25" hidden="1" customWidth="1"/>
    <col min="6130" max="6131" width="16" style="25" customWidth="1"/>
    <col min="6132" max="6133" width="13.8984375" style="25" customWidth="1"/>
    <col min="6134" max="6134" width="11.09765625" style="25" customWidth="1"/>
    <col min="6135" max="6135" width="11.19921875" style="25" customWidth="1"/>
    <col min="6136" max="6136" width="11.69921875" style="25" bestFit="1" customWidth="1"/>
    <col min="6137" max="6369" width="9" style="25"/>
    <col min="6370" max="6370" width="6.19921875" style="25" customWidth="1"/>
    <col min="6371" max="6371" width="40.3984375" style="25" customWidth="1"/>
    <col min="6372" max="6372" width="12.5" style="25" customWidth="1"/>
    <col min="6373" max="6385" width="0" style="25" hidden="1" customWidth="1"/>
    <col min="6386" max="6387" width="16" style="25" customWidth="1"/>
    <col min="6388" max="6389" width="13.8984375" style="25" customWidth="1"/>
    <col min="6390" max="6390" width="11.09765625" style="25" customWidth="1"/>
    <col min="6391" max="6391" width="11.19921875" style="25" customWidth="1"/>
    <col min="6392" max="6392" width="11.69921875" style="25" bestFit="1" customWidth="1"/>
    <col min="6393" max="6625" width="9" style="25"/>
    <col min="6626" max="6626" width="6.19921875" style="25" customWidth="1"/>
    <col min="6627" max="6627" width="40.3984375" style="25" customWidth="1"/>
    <col min="6628" max="6628" width="12.5" style="25" customWidth="1"/>
    <col min="6629" max="6641" width="0" style="25" hidden="1" customWidth="1"/>
    <col min="6642" max="6643" width="16" style="25" customWidth="1"/>
    <col min="6644" max="6645" width="13.8984375" style="25" customWidth="1"/>
    <col min="6646" max="6646" width="11.09765625" style="25" customWidth="1"/>
    <col min="6647" max="6647" width="11.19921875" style="25" customWidth="1"/>
    <col min="6648" max="6648" width="11.69921875" style="25" bestFit="1" customWidth="1"/>
    <col min="6649" max="6881" width="9" style="25"/>
    <col min="6882" max="6882" width="6.19921875" style="25" customWidth="1"/>
    <col min="6883" max="6883" width="40.3984375" style="25" customWidth="1"/>
    <col min="6884" max="6884" width="12.5" style="25" customWidth="1"/>
    <col min="6885" max="6897" width="0" style="25" hidden="1" customWidth="1"/>
    <col min="6898" max="6899" width="16" style="25" customWidth="1"/>
    <col min="6900" max="6901" width="13.8984375" style="25" customWidth="1"/>
    <col min="6902" max="6902" width="11.09765625" style="25" customWidth="1"/>
    <col min="6903" max="6903" width="11.19921875" style="25" customWidth="1"/>
    <col min="6904" max="6904" width="11.69921875" style="25" bestFit="1" customWidth="1"/>
    <col min="6905" max="7137" width="9" style="25"/>
    <col min="7138" max="7138" width="6.19921875" style="25" customWidth="1"/>
    <col min="7139" max="7139" width="40.3984375" style="25" customWidth="1"/>
    <col min="7140" max="7140" width="12.5" style="25" customWidth="1"/>
    <col min="7141" max="7153" width="0" style="25" hidden="1" customWidth="1"/>
    <col min="7154" max="7155" width="16" style="25" customWidth="1"/>
    <col min="7156" max="7157" width="13.8984375" style="25" customWidth="1"/>
    <col min="7158" max="7158" width="11.09765625" style="25" customWidth="1"/>
    <col min="7159" max="7159" width="11.19921875" style="25" customWidth="1"/>
    <col min="7160" max="7160" width="11.69921875" style="25" bestFit="1" customWidth="1"/>
    <col min="7161" max="7393" width="9" style="25"/>
    <col min="7394" max="7394" width="6.19921875" style="25" customWidth="1"/>
    <col min="7395" max="7395" width="40.3984375" style="25" customWidth="1"/>
    <col min="7396" max="7396" width="12.5" style="25" customWidth="1"/>
    <col min="7397" max="7409" width="0" style="25" hidden="1" customWidth="1"/>
    <col min="7410" max="7411" width="16" style="25" customWidth="1"/>
    <col min="7412" max="7413" width="13.8984375" style="25" customWidth="1"/>
    <col min="7414" max="7414" width="11.09765625" style="25" customWidth="1"/>
    <col min="7415" max="7415" width="11.19921875" style="25" customWidth="1"/>
    <col min="7416" max="7416" width="11.69921875" style="25" bestFit="1" customWidth="1"/>
    <col min="7417" max="7649" width="9" style="25"/>
    <col min="7650" max="7650" width="6.19921875" style="25" customWidth="1"/>
    <col min="7651" max="7651" width="40.3984375" style="25" customWidth="1"/>
    <col min="7652" max="7652" width="12.5" style="25" customWidth="1"/>
    <col min="7653" max="7665" width="0" style="25" hidden="1" customWidth="1"/>
    <col min="7666" max="7667" width="16" style="25" customWidth="1"/>
    <col min="7668" max="7669" width="13.8984375" style="25" customWidth="1"/>
    <col min="7670" max="7670" width="11.09765625" style="25" customWidth="1"/>
    <col min="7671" max="7671" width="11.19921875" style="25" customWidth="1"/>
    <col min="7672" max="7672" width="11.69921875" style="25" bestFit="1" customWidth="1"/>
    <col min="7673" max="7905" width="9" style="25"/>
    <col min="7906" max="7906" width="6.19921875" style="25" customWidth="1"/>
    <col min="7907" max="7907" width="40.3984375" style="25" customWidth="1"/>
    <col min="7908" max="7908" width="12.5" style="25" customWidth="1"/>
    <col min="7909" max="7921" width="0" style="25" hidden="1" customWidth="1"/>
    <col min="7922" max="7923" width="16" style="25" customWidth="1"/>
    <col min="7924" max="7925" width="13.8984375" style="25" customWidth="1"/>
    <col min="7926" max="7926" width="11.09765625" style="25" customWidth="1"/>
    <col min="7927" max="7927" width="11.19921875" style="25" customWidth="1"/>
    <col min="7928" max="7928" width="11.69921875" style="25" bestFit="1" customWidth="1"/>
    <col min="7929" max="8161" width="9" style="25"/>
    <col min="8162" max="8162" width="6.19921875" style="25" customWidth="1"/>
    <col min="8163" max="8163" width="40.3984375" style="25" customWidth="1"/>
    <col min="8164" max="8164" width="12.5" style="25" customWidth="1"/>
    <col min="8165" max="8177" width="0" style="25" hidden="1" customWidth="1"/>
    <col min="8178" max="8179" width="16" style="25" customWidth="1"/>
    <col min="8180" max="8181" width="13.8984375" style="25" customWidth="1"/>
    <col min="8182" max="8182" width="11.09765625" style="25" customWidth="1"/>
    <col min="8183" max="8183" width="11.19921875" style="25" customWidth="1"/>
    <col min="8184" max="8184" width="11.69921875" style="25" bestFit="1" customWidth="1"/>
    <col min="8185" max="8417" width="9" style="25"/>
    <col min="8418" max="8418" width="6.19921875" style="25" customWidth="1"/>
    <col min="8419" max="8419" width="40.3984375" style="25" customWidth="1"/>
    <col min="8420" max="8420" width="12.5" style="25" customWidth="1"/>
    <col min="8421" max="8433" width="0" style="25" hidden="1" customWidth="1"/>
    <col min="8434" max="8435" width="16" style="25" customWidth="1"/>
    <col min="8436" max="8437" width="13.8984375" style="25" customWidth="1"/>
    <col min="8438" max="8438" width="11.09765625" style="25" customWidth="1"/>
    <col min="8439" max="8439" width="11.19921875" style="25" customWidth="1"/>
    <col min="8440" max="8440" width="11.69921875" style="25" bestFit="1" customWidth="1"/>
    <col min="8441" max="8673" width="9" style="25"/>
    <col min="8674" max="8674" width="6.19921875" style="25" customWidth="1"/>
    <col min="8675" max="8675" width="40.3984375" style="25" customWidth="1"/>
    <col min="8676" max="8676" width="12.5" style="25" customWidth="1"/>
    <col min="8677" max="8689" width="0" style="25" hidden="1" customWidth="1"/>
    <col min="8690" max="8691" width="16" style="25" customWidth="1"/>
    <col min="8692" max="8693" width="13.8984375" style="25" customWidth="1"/>
    <col min="8694" max="8694" width="11.09765625" style="25" customWidth="1"/>
    <col min="8695" max="8695" width="11.19921875" style="25" customWidth="1"/>
    <col min="8696" max="8696" width="11.69921875" style="25" bestFit="1" customWidth="1"/>
    <col min="8697" max="8929" width="9" style="25"/>
    <col min="8930" max="8930" width="6.19921875" style="25" customWidth="1"/>
    <col min="8931" max="8931" width="40.3984375" style="25" customWidth="1"/>
    <col min="8932" max="8932" width="12.5" style="25" customWidth="1"/>
    <col min="8933" max="8945" width="0" style="25" hidden="1" customWidth="1"/>
    <col min="8946" max="8947" width="16" style="25" customWidth="1"/>
    <col min="8948" max="8949" width="13.8984375" style="25" customWidth="1"/>
    <col min="8950" max="8950" width="11.09765625" style="25" customWidth="1"/>
    <col min="8951" max="8951" width="11.19921875" style="25" customWidth="1"/>
    <col min="8952" max="8952" width="11.69921875" style="25" bestFit="1" customWidth="1"/>
    <col min="8953" max="9185" width="9" style="25"/>
    <col min="9186" max="9186" width="6.19921875" style="25" customWidth="1"/>
    <col min="9187" max="9187" width="40.3984375" style="25" customWidth="1"/>
    <col min="9188" max="9188" width="12.5" style="25" customWidth="1"/>
    <col min="9189" max="9201" width="0" style="25" hidden="1" customWidth="1"/>
    <col min="9202" max="9203" width="16" style="25" customWidth="1"/>
    <col min="9204" max="9205" width="13.8984375" style="25" customWidth="1"/>
    <col min="9206" max="9206" width="11.09765625" style="25" customWidth="1"/>
    <col min="9207" max="9207" width="11.19921875" style="25" customWidth="1"/>
    <col min="9208" max="9208" width="11.69921875" style="25" bestFit="1" customWidth="1"/>
    <col min="9209" max="9441" width="9" style="25"/>
    <col min="9442" max="9442" width="6.19921875" style="25" customWidth="1"/>
    <col min="9443" max="9443" width="40.3984375" style="25" customWidth="1"/>
    <col min="9444" max="9444" width="12.5" style="25" customWidth="1"/>
    <col min="9445" max="9457" width="0" style="25" hidden="1" customWidth="1"/>
    <col min="9458" max="9459" width="16" style="25" customWidth="1"/>
    <col min="9460" max="9461" width="13.8984375" style="25" customWidth="1"/>
    <col min="9462" max="9462" width="11.09765625" style="25" customWidth="1"/>
    <col min="9463" max="9463" width="11.19921875" style="25" customWidth="1"/>
    <col min="9464" max="9464" width="11.69921875" style="25" bestFit="1" customWidth="1"/>
    <col min="9465" max="9697" width="9" style="25"/>
    <col min="9698" max="9698" width="6.19921875" style="25" customWidth="1"/>
    <col min="9699" max="9699" width="40.3984375" style="25" customWidth="1"/>
    <col min="9700" max="9700" width="12.5" style="25" customWidth="1"/>
    <col min="9701" max="9713" width="0" style="25" hidden="1" customWidth="1"/>
    <col min="9714" max="9715" width="16" style="25" customWidth="1"/>
    <col min="9716" max="9717" width="13.8984375" style="25" customWidth="1"/>
    <col min="9718" max="9718" width="11.09765625" style="25" customWidth="1"/>
    <col min="9719" max="9719" width="11.19921875" style="25" customWidth="1"/>
    <col min="9720" max="9720" width="11.69921875" style="25" bestFit="1" customWidth="1"/>
    <col min="9721" max="9953" width="9" style="25"/>
    <col min="9954" max="9954" width="6.19921875" style="25" customWidth="1"/>
    <col min="9955" max="9955" width="40.3984375" style="25" customWidth="1"/>
    <col min="9956" max="9956" width="12.5" style="25" customWidth="1"/>
    <col min="9957" max="9969" width="0" style="25" hidden="1" customWidth="1"/>
    <col min="9970" max="9971" width="16" style="25" customWidth="1"/>
    <col min="9972" max="9973" width="13.8984375" style="25" customWidth="1"/>
    <col min="9974" max="9974" width="11.09765625" style="25" customWidth="1"/>
    <col min="9975" max="9975" width="11.19921875" style="25" customWidth="1"/>
    <col min="9976" max="9976" width="11.69921875" style="25" bestFit="1" customWidth="1"/>
    <col min="9977" max="10209" width="9" style="25"/>
    <col min="10210" max="10210" width="6.19921875" style="25" customWidth="1"/>
    <col min="10211" max="10211" width="40.3984375" style="25" customWidth="1"/>
    <col min="10212" max="10212" width="12.5" style="25" customWidth="1"/>
    <col min="10213" max="10225" width="0" style="25" hidden="1" customWidth="1"/>
    <col min="10226" max="10227" width="16" style="25" customWidth="1"/>
    <col min="10228" max="10229" width="13.8984375" style="25" customWidth="1"/>
    <col min="10230" max="10230" width="11.09765625" style="25" customWidth="1"/>
    <col min="10231" max="10231" width="11.19921875" style="25" customWidth="1"/>
    <col min="10232" max="10232" width="11.69921875" style="25" bestFit="1" customWidth="1"/>
    <col min="10233" max="10465" width="9" style="25"/>
    <col min="10466" max="10466" width="6.19921875" style="25" customWidth="1"/>
    <col min="10467" max="10467" width="40.3984375" style="25" customWidth="1"/>
    <col min="10468" max="10468" width="12.5" style="25" customWidth="1"/>
    <col min="10469" max="10481" width="0" style="25" hidden="1" customWidth="1"/>
    <col min="10482" max="10483" width="16" style="25" customWidth="1"/>
    <col min="10484" max="10485" width="13.8984375" style="25" customWidth="1"/>
    <col min="10486" max="10486" width="11.09765625" style="25" customWidth="1"/>
    <col min="10487" max="10487" width="11.19921875" style="25" customWidth="1"/>
    <col min="10488" max="10488" width="11.69921875" style="25" bestFit="1" customWidth="1"/>
    <col min="10489" max="10721" width="9" style="25"/>
    <col min="10722" max="10722" width="6.19921875" style="25" customWidth="1"/>
    <col min="10723" max="10723" width="40.3984375" style="25" customWidth="1"/>
    <col min="10724" max="10724" width="12.5" style="25" customWidth="1"/>
    <col min="10725" max="10737" width="0" style="25" hidden="1" customWidth="1"/>
    <col min="10738" max="10739" width="16" style="25" customWidth="1"/>
    <col min="10740" max="10741" width="13.8984375" style="25" customWidth="1"/>
    <col min="10742" max="10742" width="11.09765625" style="25" customWidth="1"/>
    <col min="10743" max="10743" width="11.19921875" style="25" customWidth="1"/>
    <col min="10744" max="10744" width="11.69921875" style="25" bestFit="1" customWidth="1"/>
    <col min="10745" max="10977" width="9" style="25"/>
    <col min="10978" max="10978" width="6.19921875" style="25" customWidth="1"/>
    <col min="10979" max="10979" width="40.3984375" style="25" customWidth="1"/>
    <col min="10980" max="10980" width="12.5" style="25" customWidth="1"/>
    <col min="10981" max="10993" width="0" style="25" hidden="1" customWidth="1"/>
    <col min="10994" max="10995" width="16" style="25" customWidth="1"/>
    <col min="10996" max="10997" width="13.8984375" style="25" customWidth="1"/>
    <col min="10998" max="10998" width="11.09765625" style="25" customWidth="1"/>
    <col min="10999" max="10999" width="11.19921875" style="25" customWidth="1"/>
    <col min="11000" max="11000" width="11.69921875" style="25" bestFit="1" customWidth="1"/>
    <col min="11001" max="11233" width="9" style="25"/>
    <col min="11234" max="11234" width="6.19921875" style="25" customWidth="1"/>
    <col min="11235" max="11235" width="40.3984375" style="25" customWidth="1"/>
    <col min="11236" max="11236" width="12.5" style="25" customWidth="1"/>
    <col min="11237" max="11249" width="0" style="25" hidden="1" customWidth="1"/>
    <col min="11250" max="11251" width="16" style="25" customWidth="1"/>
    <col min="11252" max="11253" width="13.8984375" style="25" customWidth="1"/>
    <col min="11254" max="11254" width="11.09765625" style="25" customWidth="1"/>
    <col min="11255" max="11255" width="11.19921875" style="25" customWidth="1"/>
    <col min="11256" max="11256" width="11.69921875" style="25" bestFit="1" customWidth="1"/>
    <col min="11257" max="11489" width="9" style="25"/>
    <col min="11490" max="11490" width="6.19921875" style="25" customWidth="1"/>
    <col min="11491" max="11491" width="40.3984375" style="25" customWidth="1"/>
    <col min="11492" max="11492" width="12.5" style="25" customWidth="1"/>
    <col min="11493" max="11505" width="0" style="25" hidden="1" customWidth="1"/>
    <col min="11506" max="11507" width="16" style="25" customWidth="1"/>
    <col min="11508" max="11509" width="13.8984375" style="25" customWidth="1"/>
    <col min="11510" max="11510" width="11.09765625" style="25" customWidth="1"/>
    <col min="11511" max="11511" width="11.19921875" style="25" customWidth="1"/>
    <col min="11512" max="11512" width="11.69921875" style="25" bestFit="1" customWidth="1"/>
    <col min="11513" max="11745" width="9" style="25"/>
    <col min="11746" max="11746" width="6.19921875" style="25" customWidth="1"/>
    <col min="11747" max="11747" width="40.3984375" style="25" customWidth="1"/>
    <col min="11748" max="11748" width="12.5" style="25" customWidth="1"/>
    <col min="11749" max="11761" width="0" style="25" hidden="1" customWidth="1"/>
    <col min="11762" max="11763" width="16" style="25" customWidth="1"/>
    <col min="11764" max="11765" width="13.8984375" style="25" customWidth="1"/>
    <col min="11766" max="11766" width="11.09765625" style="25" customWidth="1"/>
    <col min="11767" max="11767" width="11.19921875" style="25" customWidth="1"/>
    <col min="11768" max="11768" width="11.69921875" style="25" bestFit="1" customWidth="1"/>
    <col min="11769" max="12001" width="9" style="25"/>
    <col min="12002" max="12002" width="6.19921875" style="25" customWidth="1"/>
    <col min="12003" max="12003" width="40.3984375" style="25" customWidth="1"/>
    <col min="12004" max="12004" width="12.5" style="25" customWidth="1"/>
    <col min="12005" max="12017" width="0" style="25" hidden="1" customWidth="1"/>
    <col min="12018" max="12019" width="16" style="25" customWidth="1"/>
    <col min="12020" max="12021" width="13.8984375" style="25" customWidth="1"/>
    <col min="12022" max="12022" width="11.09765625" style="25" customWidth="1"/>
    <col min="12023" max="12023" width="11.19921875" style="25" customWidth="1"/>
    <col min="12024" max="12024" width="11.69921875" style="25" bestFit="1" customWidth="1"/>
    <col min="12025" max="12257" width="9" style="25"/>
    <col min="12258" max="12258" width="6.19921875" style="25" customWidth="1"/>
    <col min="12259" max="12259" width="40.3984375" style="25" customWidth="1"/>
    <col min="12260" max="12260" width="12.5" style="25" customWidth="1"/>
    <col min="12261" max="12273" width="0" style="25" hidden="1" customWidth="1"/>
    <col min="12274" max="12275" width="16" style="25" customWidth="1"/>
    <col min="12276" max="12277" width="13.8984375" style="25" customWidth="1"/>
    <col min="12278" max="12278" width="11.09765625" style="25" customWidth="1"/>
    <col min="12279" max="12279" width="11.19921875" style="25" customWidth="1"/>
    <col min="12280" max="12280" width="11.69921875" style="25" bestFit="1" customWidth="1"/>
    <col min="12281" max="12513" width="9" style="25"/>
    <col min="12514" max="12514" width="6.19921875" style="25" customWidth="1"/>
    <col min="12515" max="12515" width="40.3984375" style="25" customWidth="1"/>
    <col min="12516" max="12516" width="12.5" style="25" customWidth="1"/>
    <col min="12517" max="12529" width="0" style="25" hidden="1" customWidth="1"/>
    <col min="12530" max="12531" width="16" style="25" customWidth="1"/>
    <col min="12532" max="12533" width="13.8984375" style="25" customWidth="1"/>
    <col min="12534" max="12534" width="11.09765625" style="25" customWidth="1"/>
    <col min="12535" max="12535" width="11.19921875" style="25" customWidth="1"/>
    <col min="12536" max="12536" width="11.69921875" style="25" bestFit="1" customWidth="1"/>
    <col min="12537" max="12769" width="9" style="25"/>
    <col min="12770" max="12770" width="6.19921875" style="25" customWidth="1"/>
    <col min="12771" max="12771" width="40.3984375" style="25" customWidth="1"/>
    <col min="12772" max="12772" width="12.5" style="25" customWidth="1"/>
    <col min="12773" max="12785" width="0" style="25" hidden="1" customWidth="1"/>
    <col min="12786" max="12787" width="16" style="25" customWidth="1"/>
    <col min="12788" max="12789" width="13.8984375" style="25" customWidth="1"/>
    <col min="12790" max="12790" width="11.09765625" style="25" customWidth="1"/>
    <col min="12791" max="12791" width="11.19921875" style="25" customWidth="1"/>
    <col min="12792" max="12792" width="11.69921875" style="25" bestFit="1" customWidth="1"/>
    <col min="12793" max="13025" width="9" style="25"/>
    <col min="13026" max="13026" width="6.19921875" style="25" customWidth="1"/>
    <col min="13027" max="13027" width="40.3984375" style="25" customWidth="1"/>
    <col min="13028" max="13028" width="12.5" style="25" customWidth="1"/>
    <col min="13029" max="13041" width="0" style="25" hidden="1" customWidth="1"/>
    <col min="13042" max="13043" width="16" style="25" customWidth="1"/>
    <col min="13044" max="13045" width="13.8984375" style="25" customWidth="1"/>
    <col min="13046" max="13046" width="11.09765625" style="25" customWidth="1"/>
    <col min="13047" max="13047" width="11.19921875" style="25" customWidth="1"/>
    <col min="13048" max="13048" width="11.69921875" style="25" bestFit="1" customWidth="1"/>
    <col min="13049" max="13281" width="9" style="25"/>
    <col min="13282" max="13282" width="6.19921875" style="25" customWidth="1"/>
    <col min="13283" max="13283" width="40.3984375" style="25" customWidth="1"/>
    <col min="13284" max="13284" width="12.5" style="25" customWidth="1"/>
    <col min="13285" max="13297" width="0" style="25" hidden="1" customWidth="1"/>
    <col min="13298" max="13299" width="16" style="25" customWidth="1"/>
    <col min="13300" max="13301" width="13.8984375" style="25" customWidth="1"/>
    <col min="13302" max="13302" width="11.09765625" style="25" customWidth="1"/>
    <col min="13303" max="13303" width="11.19921875" style="25" customWidth="1"/>
    <col min="13304" max="13304" width="11.69921875" style="25" bestFit="1" customWidth="1"/>
    <col min="13305" max="13537" width="9" style="25"/>
    <col min="13538" max="13538" width="6.19921875" style="25" customWidth="1"/>
    <col min="13539" max="13539" width="40.3984375" style="25" customWidth="1"/>
    <col min="13540" max="13540" width="12.5" style="25" customWidth="1"/>
    <col min="13541" max="13553" width="0" style="25" hidden="1" customWidth="1"/>
    <col min="13554" max="13555" width="16" style="25" customWidth="1"/>
    <col min="13556" max="13557" width="13.8984375" style="25" customWidth="1"/>
    <col min="13558" max="13558" width="11.09765625" style="25" customWidth="1"/>
    <col min="13559" max="13559" width="11.19921875" style="25" customWidth="1"/>
    <col min="13560" max="13560" width="11.69921875" style="25" bestFit="1" customWidth="1"/>
    <col min="13561" max="13793" width="9" style="25"/>
    <col min="13794" max="13794" width="6.19921875" style="25" customWidth="1"/>
    <col min="13795" max="13795" width="40.3984375" style="25" customWidth="1"/>
    <col min="13796" max="13796" width="12.5" style="25" customWidth="1"/>
    <col min="13797" max="13809" width="0" style="25" hidden="1" customWidth="1"/>
    <col min="13810" max="13811" width="16" style="25" customWidth="1"/>
    <col min="13812" max="13813" width="13.8984375" style="25" customWidth="1"/>
    <col min="13814" max="13814" width="11.09765625" style="25" customWidth="1"/>
    <col min="13815" max="13815" width="11.19921875" style="25" customWidth="1"/>
    <col min="13816" max="13816" width="11.69921875" style="25" bestFit="1" customWidth="1"/>
    <col min="13817" max="14049" width="9" style="25"/>
    <col min="14050" max="14050" width="6.19921875" style="25" customWidth="1"/>
    <col min="14051" max="14051" width="40.3984375" style="25" customWidth="1"/>
    <col min="14052" max="14052" width="12.5" style="25" customWidth="1"/>
    <col min="14053" max="14065" width="0" style="25" hidden="1" customWidth="1"/>
    <col min="14066" max="14067" width="16" style="25" customWidth="1"/>
    <col min="14068" max="14069" width="13.8984375" style="25" customWidth="1"/>
    <col min="14070" max="14070" width="11.09765625" style="25" customWidth="1"/>
    <col min="14071" max="14071" width="11.19921875" style="25" customWidth="1"/>
    <col min="14072" max="14072" width="11.69921875" style="25" bestFit="1" customWidth="1"/>
    <col min="14073" max="14305" width="9" style="25"/>
    <col min="14306" max="14306" width="6.19921875" style="25" customWidth="1"/>
    <col min="14307" max="14307" width="40.3984375" style="25" customWidth="1"/>
    <col min="14308" max="14308" width="12.5" style="25" customWidth="1"/>
    <col min="14309" max="14321" width="0" style="25" hidden="1" customWidth="1"/>
    <col min="14322" max="14323" width="16" style="25" customWidth="1"/>
    <col min="14324" max="14325" width="13.8984375" style="25" customWidth="1"/>
    <col min="14326" max="14326" width="11.09765625" style="25" customWidth="1"/>
    <col min="14327" max="14327" width="11.19921875" style="25" customWidth="1"/>
    <col min="14328" max="14328" width="11.69921875" style="25" bestFit="1" customWidth="1"/>
    <col min="14329" max="14561" width="9" style="25"/>
    <col min="14562" max="14562" width="6.19921875" style="25" customWidth="1"/>
    <col min="14563" max="14563" width="40.3984375" style="25" customWidth="1"/>
    <col min="14564" max="14564" width="12.5" style="25" customWidth="1"/>
    <col min="14565" max="14577" width="0" style="25" hidden="1" customWidth="1"/>
    <col min="14578" max="14579" width="16" style="25" customWidth="1"/>
    <col min="14580" max="14581" width="13.8984375" style="25" customWidth="1"/>
    <col min="14582" max="14582" width="11.09765625" style="25" customWidth="1"/>
    <col min="14583" max="14583" width="11.19921875" style="25" customWidth="1"/>
    <col min="14584" max="14584" width="11.69921875" style="25" bestFit="1" customWidth="1"/>
    <col min="14585" max="14817" width="9" style="25"/>
    <col min="14818" max="14818" width="6.19921875" style="25" customWidth="1"/>
    <col min="14819" max="14819" width="40.3984375" style="25" customWidth="1"/>
    <col min="14820" max="14820" width="12.5" style="25" customWidth="1"/>
    <col min="14821" max="14833" width="0" style="25" hidden="1" customWidth="1"/>
    <col min="14834" max="14835" width="16" style="25" customWidth="1"/>
    <col min="14836" max="14837" width="13.8984375" style="25" customWidth="1"/>
    <col min="14838" max="14838" width="11.09765625" style="25" customWidth="1"/>
    <col min="14839" max="14839" width="11.19921875" style="25" customWidth="1"/>
    <col min="14840" max="14840" width="11.69921875" style="25" bestFit="1" customWidth="1"/>
    <col min="14841" max="15073" width="9" style="25"/>
    <col min="15074" max="15074" width="6.19921875" style="25" customWidth="1"/>
    <col min="15075" max="15075" width="40.3984375" style="25" customWidth="1"/>
    <col min="15076" max="15076" width="12.5" style="25" customWidth="1"/>
    <col min="15077" max="15089" width="0" style="25" hidden="1" customWidth="1"/>
    <col min="15090" max="15091" width="16" style="25" customWidth="1"/>
    <col min="15092" max="15093" width="13.8984375" style="25" customWidth="1"/>
    <col min="15094" max="15094" width="11.09765625" style="25" customWidth="1"/>
    <col min="15095" max="15095" width="11.19921875" style="25" customWidth="1"/>
    <col min="15096" max="15096" width="11.69921875" style="25" bestFit="1" customWidth="1"/>
    <col min="15097" max="15329" width="9" style="25"/>
    <col min="15330" max="15330" width="6.19921875" style="25" customWidth="1"/>
    <col min="15331" max="15331" width="40.3984375" style="25" customWidth="1"/>
    <col min="15332" max="15332" width="12.5" style="25" customWidth="1"/>
    <col min="15333" max="15345" width="0" style="25" hidden="1" customWidth="1"/>
    <col min="15346" max="15347" width="16" style="25" customWidth="1"/>
    <col min="15348" max="15349" width="13.8984375" style="25" customWidth="1"/>
    <col min="15350" max="15350" width="11.09765625" style="25" customWidth="1"/>
    <col min="15351" max="15351" width="11.19921875" style="25" customWidth="1"/>
    <col min="15352" max="15352" width="11.69921875" style="25" bestFit="1" customWidth="1"/>
    <col min="15353" max="15585" width="9" style="25"/>
    <col min="15586" max="15586" width="6.19921875" style="25" customWidth="1"/>
    <col min="15587" max="15587" width="40.3984375" style="25" customWidth="1"/>
    <col min="15588" max="15588" width="12.5" style="25" customWidth="1"/>
    <col min="15589" max="15601" width="0" style="25" hidden="1" customWidth="1"/>
    <col min="15602" max="15603" width="16" style="25" customWidth="1"/>
    <col min="15604" max="15605" width="13.8984375" style="25" customWidth="1"/>
    <col min="15606" max="15606" width="11.09765625" style="25" customWidth="1"/>
    <col min="15607" max="15607" width="11.19921875" style="25" customWidth="1"/>
    <col min="15608" max="15608" width="11.69921875" style="25" bestFit="1" customWidth="1"/>
    <col min="15609" max="15841" width="9" style="25"/>
    <col min="15842" max="15842" width="6.19921875" style="25" customWidth="1"/>
    <col min="15843" max="15843" width="40.3984375" style="25" customWidth="1"/>
    <col min="15844" max="15844" width="12.5" style="25" customWidth="1"/>
    <col min="15845" max="15857" width="0" style="25" hidden="1" customWidth="1"/>
    <col min="15858" max="15859" width="16" style="25" customWidth="1"/>
    <col min="15860" max="15861" width="13.8984375" style="25" customWidth="1"/>
    <col min="15862" max="15862" width="11.09765625" style="25" customWidth="1"/>
    <col min="15863" max="15863" width="11.19921875" style="25" customWidth="1"/>
    <col min="15864" max="15864" width="11.69921875" style="25" bestFit="1" customWidth="1"/>
    <col min="15865" max="16097" width="9" style="25"/>
    <col min="16098" max="16098" width="6.19921875" style="25" customWidth="1"/>
    <col min="16099" max="16099" width="40.3984375" style="25" customWidth="1"/>
    <col min="16100" max="16100" width="12.5" style="25" customWidth="1"/>
    <col min="16101" max="16113" width="0" style="25" hidden="1" customWidth="1"/>
    <col min="16114" max="16115" width="16" style="25" customWidth="1"/>
    <col min="16116" max="16117" width="13.8984375" style="25" customWidth="1"/>
    <col min="16118" max="16118" width="11.09765625" style="25" customWidth="1"/>
    <col min="16119" max="16119" width="11.19921875" style="25" customWidth="1"/>
    <col min="16120" max="16120" width="11.69921875" style="25" bestFit="1" customWidth="1"/>
    <col min="16121" max="16384" width="9" style="25"/>
  </cols>
  <sheetData>
    <row r="1" spans="1:16" ht="27.75" customHeight="1">
      <c r="A1" s="12" t="s">
        <v>480</v>
      </c>
      <c r="B1" s="24"/>
      <c r="C1" s="24"/>
      <c r="D1" s="24"/>
      <c r="E1" s="24"/>
      <c r="F1" s="24"/>
      <c r="G1" s="24"/>
      <c r="H1" s="24"/>
      <c r="I1" s="24"/>
      <c r="J1" s="24"/>
      <c r="K1" s="24"/>
      <c r="L1" s="24"/>
      <c r="M1" s="24"/>
    </row>
    <row r="2" spans="1:16" ht="31.5" customHeight="1">
      <c r="A2" s="661" t="s">
        <v>365</v>
      </c>
      <c r="B2" s="661"/>
      <c r="C2" s="661"/>
      <c r="D2" s="661"/>
      <c r="E2" s="661"/>
      <c r="F2" s="661"/>
      <c r="G2" s="661"/>
      <c r="H2" s="661"/>
      <c r="I2" s="661"/>
      <c r="J2" s="661"/>
      <c r="K2" s="661"/>
      <c r="L2" s="661"/>
      <c r="M2" s="661"/>
    </row>
    <row r="3" spans="1:16" ht="27.75" customHeight="1">
      <c r="A3" s="662" t="str">
        <f>'BIỂU TH'!A3:J3</f>
        <v>(Kèm theo Báo cáo số 899/BC-UBND, ngày 28 háng 11 năm 2022 của UBND huyện Tuần Giáo)</v>
      </c>
      <c r="B3" s="662"/>
      <c r="C3" s="662"/>
      <c r="D3" s="662"/>
      <c r="E3" s="662"/>
      <c r="F3" s="662"/>
      <c r="G3" s="662"/>
      <c r="H3" s="662"/>
      <c r="I3" s="662"/>
      <c r="J3" s="662"/>
      <c r="K3" s="662"/>
      <c r="L3" s="662"/>
      <c r="M3" s="662"/>
    </row>
    <row r="4" spans="1:16" ht="21.75" customHeight="1">
      <c r="A4" s="663" t="s">
        <v>44</v>
      </c>
      <c r="B4" s="663"/>
      <c r="C4" s="663"/>
      <c r="D4" s="663"/>
      <c r="E4" s="663"/>
      <c r="F4" s="663"/>
      <c r="G4" s="663"/>
      <c r="H4" s="663"/>
      <c r="I4" s="663"/>
      <c r="J4" s="663"/>
      <c r="K4" s="663"/>
      <c r="L4" s="663"/>
      <c r="M4" s="663"/>
    </row>
    <row r="5" spans="1:16" s="26" customFormat="1" ht="36.75" customHeight="1">
      <c r="A5" s="664" t="s">
        <v>49</v>
      </c>
      <c r="B5" s="665" t="s">
        <v>1</v>
      </c>
      <c r="C5" s="665" t="s">
        <v>27</v>
      </c>
      <c r="D5" s="665" t="s">
        <v>87</v>
      </c>
      <c r="E5" s="674" t="s">
        <v>45</v>
      </c>
      <c r="F5" s="675"/>
      <c r="G5" s="667" t="s">
        <v>81</v>
      </c>
      <c r="H5" s="668"/>
      <c r="I5" s="665" t="s">
        <v>359</v>
      </c>
      <c r="J5" s="665"/>
      <c r="K5" s="658" t="s">
        <v>286</v>
      </c>
      <c r="L5" s="658" t="s">
        <v>246</v>
      </c>
      <c r="M5" s="658" t="s">
        <v>8</v>
      </c>
    </row>
    <row r="6" spans="1:16" s="26" customFormat="1" ht="31.5" customHeight="1">
      <c r="A6" s="664"/>
      <c r="B6" s="665"/>
      <c r="C6" s="665"/>
      <c r="D6" s="665"/>
      <c r="E6" s="676"/>
      <c r="F6" s="677"/>
      <c r="G6" s="665" t="s">
        <v>19</v>
      </c>
      <c r="H6" s="665" t="s">
        <v>85</v>
      </c>
      <c r="I6" s="665" t="s">
        <v>19</v>
      </c>
      <c r="J6" s="665" t="s">
        <v>362</v>
      </c>
      <c r="K6" s="659"/>
      <c r="L6" s="659"/>
      <c r="M6" s="659"/>
    </row>
    <row r="7" spans="1:16" s="26" customFormat="1" ht="26.25" customHeight="1">
      <c r="A7" s="664"/>
      <c r="B7" s="665"/>
      <c r="C7" s="665"/>
      <c r="D7" s="665"/>
      <c r="E7" s="678"/>
      <c r="F7" s="679"/>
      <c r="G7" s="665"/>
      <c r="H7" s="665"/>
      <c r="I7" s="665"/>
      <c r="J7" s="665"/>
      <c r="K7" s="660"/>
      <c r="L7" s="660"/>
      <c r="M7" s="659"/>
    </row>
    <row r="8" spans="1:16" s="369" customFormat="1" ht="22.5" customHeight="1">
      <c r="A8" s="371">
        <v>1</v>
      </c>
      <c r="B8" s="372">
        <v>2</v>
      </c>
      <c r="C8" s="371">
        <v>3</v>
      </c>
      <c r="D8" s="372">
        <v>4</v>
      </c>
      <c r="E8" s="372">
        <v>5</v>
      </c>
      <c r="F8" s="479" t="s">
        <v>491</v>
      </c>
      <c r="G8" s="372">
        <v>6</v>
      </c>
      <c r="H8" s="371">
        <v>7</v>
      </c>
      <c r="I8" s="372">
        <v>8</v>
      </c>
      <c r="J8" s="371">
        <v>9</v>
      </c>
      <c r="K8" s="372">
        <v>10</v>
      </c>
      <c r="L8" s="372"/>
      <c r="M8" s="371">
        <v>11</v>
      </c>
    </row>
    <row r="9" spans="1:16" ht="36.75" customHeight="1">
      <c r="A9" s="467"/>
      <c r="B9" s="229" t="s">
        <v>54</v>
      </c>
      <c r="C9" s="28"/>
      <c r="D9" s="94">
        <f>SUM(D10:D14)</f>
        <v>108000</v>
      </c>
      <c r="E9" s="94">
        <f t="shared" ref="E9:L9" si="0">SUM(E10:E14)</f>
        <v>22234</v>
      </c>
      <c r="F9" s="453">
        <f t="shared" si="0"/>
        <v>22234</v>
      </c>
      <c r="G9" s="94">
        <f t="shared" si="0"/>
        <v>41413.555999999997</v>
      </c>
      <c r="H9" s="94">
        <f t="shared" si="0"/>
        <v>46716.504999999997</v>
      </c>
      <c r="I9" s="94">
        <f t="shared" si="0"/>
        <v>22234</v>
      </c>
      <c r="J9" s="94">
        <f t="shared" si="0"/>
        <v>39628</v>
      </c>
      <c r="K9" s="94">
        <f t="shared" si="0"/>
        <v>22234</v>
      </c>
      <c r="L9" s="94">
        <f t="shared" si="0"/>
        <v>23368</v>
      </c>
      <c r="M9" s="480"/>
      <c r="N9" s="25">
        <f>+D9-J9</f>
        <v>68372</v>
      </c>
      <c r="O9" s="313">
        <f>+E9-K9</f>
        <v>0</v>
      </c>
      <c r="P9" s="25">
        <f>+H9-J9</f>
        <v>7088.5049999999974</v>
      </c>
    </row>
    <row r="10" spans="1:16" ht="43.5" customHeight="1">
      <c r="A10" s="13">
        <v>1</v>
      </c>
      <c r="B10" s="30" t="s">
        <v>29</v>
      </c>
      <c r="C10" s="14" t="s">
        <v>30</v>
      </c>
      <c r="D10" s="153">
        <v>5000</v>
      </c>
      <c r="E10" s="483">
        <f>F10</f>
        <v>1500</v>
      </c>
      <c r="F10" s="455">
        <v>1500</v>
      </c>
      <c r="G10" s="99">
        <f>3923+570.14</f>
        <v>4493.1400000000003</v>
      </c>
      <c r="H10" s="99">
        <f>219+G10</f>
        <v>4712.1400000000003</v>
      </c>
      <c r="I10" s="99">
        <v>1500</v>
      </c>
      <c r="J10" s="99">
        <f>2500+I10</f>
        <v>4000</v>
      </c>
      <c r="K10" s="99">
        <v>1500</v>
      </c>
      <c r="L10" s="97">
        <v>969</v>
      </c>
      <c r="M10" s="481"/>
      <c r="N10" s="25">
        <f t="shared" ref="N10:N14" si="1">+D10-J10</f>
        <v>1000</v>
      </c>
      <c r="O10" s="313">
        <f t="shared" ref="O10:O15" si="2">+E10-K10</f>
        <v>0</v>
      </c>
      <c r="P10" s="25">
        <f t="shared" ref="P10:P15" si="3">+H10-J10</f>
        <v>712.14000000000033</v>
      </c>
    </row>
    <row r="11" spans="1:16" ht="42.6" customHeight="1">
      <c r="A11" s="13">
        <v>2</v>
      </c>
      <c r="B11" s="30" t="s">
        <v>31</v>
      </c>
      <c r="C11" s="14" t="s">
        <v>30</v>
      </c>
      <c r="D11" s="153">
        <v>40000</v>
      </c>
      <c r="E11" s="483">
        <f t="shared" ref="E11:E14" si="4">F11</f>
        <v>8700</v>
      </c>
      <c r="F11" s="455">
        <v>8700</v>
      </c>
      <c r="G11" s="99">
        <f>13673.7+4737.39+283</f>
        <v>18694.09</v>
      </c>
      <c r="H11" s="99">
        <f>472.045+G11</f>
        <v>19166.134999999998</v>
      </c>
      <c r="I11" s="99">
        <v>8700</v>
      </c>
      <c r="J11" s="99">
        <f>4360+I11</f>
        <v>13060</v>
      </c>
      <c r="K11" s="99">
        <v>8700</v>
      </c>
      <c r="L11" s="99">
        <f>8818+31</f>
        <v>8849</v>
      </c>
      <c r="M11" s="457"/>
      <c r="N11" s="25">
        <f t="shared" si="1"/>
        <v>26940</v>
      </c>
      <c r="O11" s="313">
        <f t="shared" si="2"/>
        <v>0</v>
      </c>
      <c r="P11" s="25">
        <f t="shared" si="3"/>
        <v>6106.1349999999984</v>
      </c>
    </row>
    <row r="12" spans="1:16" ht="55.5" customHeight="1">
      <c r="A12" s="13">
        <v>3</v>
      </c>
      <c r="B12" s="30" t="s">
        <v>32</v>
      </c>
      <c r="C12" s="14" t="s">
        <v>30</v>
      </c>
      <c r="D12" s="153">
        <v>18000</v>
      </c>
      <c r="E12" s="483">
        <f t="shared" si="4"/>
        <v>4500</v>
      </c>
      <c r="F12" s="455">
        <v>4500</v>
      </c>
      <c r="G12" s="99">
        <f>5552.4+2668.468</f>
        <v>8220.8679999999986</v>
      </c>
      <c r="H12" s="99">
        <f>6365.532+2668.468</f>
        <v>9034</v>
      </c>
      <c r="I12" s="99">
        <v>4500</v>
      </c>
      <c r="J12" s="99">
        <f>4534+I12</f>
        <v>9034</v>
      </c>
      <c r="K12" s="99">
        <v>4500</v>
      </c>
      <c r="L12" s="99">
        <v>6000</v>
      </c>
      <c r="M12" s="481"/>
      <c r="N12" s="25">
        <f t="shared" si="1"/>
        <v>8966</v>
      </c>
      <c r="O12" s="313">
        <f t="shared" si="2"/>
        <v>0</v>
      </c>
      <c r="P12" s="25">
        <f t="shared" si="3"/>
        <v>0</v>
      </c>
    </row>
    <row r="13" spans="1:16" ht="47.25" customHeight="1">
      <c r="A13" s="13">
        <v>4</v>
      </c>
      <c r="B13" s="482" t="s">
        <v>33</v>
      </c>
      <c r="C13" s="14" t="s">
        <v>30</v>
      </c>
      <c r="D13" s="153">
        <v>33000</v>
      </c>
      <c r="E13" s="483">
        <f t="shared" si="4"/>
        <v>6534</v>
      </c>
      <c r="F13" s="458">
        <v>6534</v>
      </c>
      <c r="G13" s="456">
        <f>4139+1765.4+4101.058</f>
        <v>10005.457999999999</v>
      </c>
      <c r="H13" s="99">
        <f>6432.942+4101.058</f>
        <v>10534</v>
      </c>
      <c r="I13" s="456">
        <v>6534</v>
      </c>
      <c r="J13" s="456">
        <f>4000+I13</f>
        <v>10534</v>
      </c>
      <c r="K13" s="456">
        <v>6534</v>
      </c>
      <c r="L13" s="456">
        <v>7550</v>
      </c>
      <c r="M13" s="481"/>
      <c r="N13" s="25">
        <f t="shared" si="1"/>
        <v>22466</v>
      </c>
      <c r="O13" s="313">
        <f t="shared" si="2"/>
        <v>0</v>
      </c>
      <c r="P13" s="25">
        <f t="shared" si="3"/>
        <v>0</v>
      </c>
    </row>
    <row r="14" spans="1:16" ht="36" customHeight="1">
      <c r="A14" s="13">
        <v>5</v>
      </c>
      <c r="B14" s="482" t="s">
        <v>34</v>
      </c>
      <c r="C14" s="14" t="s">
        <v>35</v>
      </c>
      <c r="D14" s="153">
        <v>12000</v>
      </c>
      <c r="E14" s="483">
        <f t="shared" si="4"/>
        <v>1000</v>
      </c>
      <c r="F14" s="458">
        <v>1000</v>
      </c>
      <c r="G14" s="456"/>
      <c r="H14" s="456">
        <f>2934.23+336</f>
        <v>3270.23</v>
      </c>
      <c r="I14" s="456">
        <v>1000</v>
      </c>
      <c r="J14" s="456">
        <f>2000+I14</f>
        <v>3000</v>
      </c>
      <c r="K14" s="456">
        <v>1000</v>
      </c>
      <c r="L14" s="456"/>
      <c r="M14" s="93" t="s">
        <v>191</v>
      </c>
      <c r="N14" s="25">
        <f t="shared" si="1"/>
        <v>9000</v>
      </c>
      <c r="O14" s="313">
        <f t="shared" si="2"/>
        <v>0</v>
      </c>
      <c r="P14" s="25">
        <f t="shared" si="3"/>
        <v>270.23</v>
      </c>
    </row>
    <row r="15" spans="1:16" ht="30.75" customHeight="1" thickBot="1">
      <c r="A15" s="612"/>
      <c r="B15" s="613"/>
      <c r="C15" s="602"/>
      <c r="D15" s="603"/>
      <c r="E15" s="603"/>
      <c r="F15" s="614"/>
      <c r="G15" s="615"/>
      <c r="H15" s="615"/>
      <c r="I15" s="615"/>
      <c r="J15" s="615"/>
      <c r="K15" s="615"/>
      <c r="L15" s="616"/>
      <c r="M15" s="617"/>
      <c r="O15" s="313">
        <f t="shared" si="2"/>
        <v>0</v>
      </c>
      <c r="P15" s="25">
        <f t="shared" si="3"/>
        <v>0</v>
      </c>
    </row>
    <row r="16" spans="1:16" ht="16.5" customHeight="1" thickTop="1">
      <c r="A16" s="35"/>
      <c r="B16" s="40"/>
      <c r="C16" s="41"/>
      <c r="D16" s="41"/>
      <c r="E16" s="41"/>
      <c r="F16" s="42"/>
      <c r="G16" s="42"/>
      <c r="H16" s="42"/>
      <c r="I16" s="42"/>
      <c r="J16" s="42"/>
      <c r="K16" s="42"/>
      <c r="L16" s="42"/>
      <c r="M16" s="43"/>
    </row>
    <row r="17" spans="1:13" ht="16.5" customHeight="1">
      <c r="A17" s="35"/>
      <c r="B17" s="40"/>
      <c r="C17" s="41"/>
      <c r="D17" s="41"/>
      <c r="E17" s="41"/>
      <c r="F17" s="42"/>
      <c r="G17" s="42"/>
      <c r="H17" s="42"/>
      <c r="I17" s="42"/>
      <c r="J17" s="42"/>
      <c r="K17" s="42"/>
      <c r="L17" s="42"/>
      <c r="M17" s="43"/>
    </row>
    <row r="18" spans="1:13" ht="16.5" customHeight="1">
      <c r="A18" s="35"/>
      <c r="B18" s="40"/>
      <c r="C18" s="41"/>
      <c r="D18" s="41"/>
      <c r="E18" s="41"/>
      <c r="F18" s="42"/>
      <c r="G18" s="42"/>
      <c r="H18" s="42"/>
      <c r="I18" s="42"/>
      <c r="J18" s="42"/>
      <c r="K18" s="42"/>
      <c r="L18" s="42"/>
      <c r="M18" s="43"/>
    </row>
    <row r="19" spans="1:13" ht="16.5" customHeight="1">
      <c r="A19" s="35"/>
      <c r="B19" s="40"/>
      <c r="C19" s="41"/>
      <c r="D19" s="41"/>
      <c r="E19" s="41"/>
      <c r="F19" s="42"/>
      <c r="G19" s="42"/>
      <c r="H19" s="42"/>
      <c r="I19" s="42"/>
      <c r="J19" s="42"/>
      <c r="K19" s="42"/>
      <c r="L19" s="42"/>
      <c r="M19" s="43"/>
    </row>
    <row r="20" spans="1:13" ht="16.5" customHeight="1">
      <c r="A20" s="35"/>
      <c r="B20" s="40"/>
      <c r="C20" s="41"/>
      <c r="D20" s="41"/>
      <c r="E20" s="41"/>
      <c r="F20" s="42"/>
      <c r="G20" s="42"/>
      <c r="H20" s="42"/>
      <c r="I20" s="42"/>
      <c r="J20" s="42"/>
      <c r="K20" s="42"/>
      <c r="L20" s="42"/>
      <c r="M20" s="43"/>
    </row>
    <row r="21" spans="1:13" ht="16.5" customHeight="1">
      <c r="A21" s="35"/>
      <c r="B21" s="40"/>
      <c r="C21" s="41"/>
      <c r="D21" s="41"/>
      <c r="E21" s="41"/>
      <c r="F21" s="42"/>
      <c r="G21" s="42"/>
      <c r="H21" s="42"/>
      <c r="I21" s="42"/>
      <c r="J21" s="42"/>
      <c r="K21" s="42"/>
      <c r="L21" s="42"/>
      <c r="M21" s="43"/>
    </row>
    <row r="22" spans="1:13" ht="16.5" customHeight="1">
      <c r="A22" s="35"/>
      <c r="B22" s="40"/>
      <c r="C22" s="41"/>
      <c r="D22" s="41"/>
      <c r="E22" s="41"/>
      <c r="F22" s="42"/>
      <c r="G22" s="42"/>
      <c r="H22" s="42"/>
      <c r="I22" s="42"/>
      <c r="J22" s="42"/>
      <c r="K22" s="42"/>
      <c r="L22" s="42"/>
      <c r="M22" s="43"/>
    </row>
    <row r="23" spans="1:13" ht="16.5" customHeight="1">
      <c r="B23" s="45"/>
      <c r="C23" s="41"/>
      <c r="D23" s="41"/>
      <c r="E23" s="41"/>
      <c r="F23" s="42"/>
      <c r="G23" s="42"/>
      <c r="H23" s="42"/>
      <c r="I23" s="42"/>
      <c r="J23" s="42"/>
      <c r="K23" s="42"/>
      <c r="L23" s="42"/>
      <c r="M23" s="43"/>
    </row>
    <row r="24" spans="1:13" ht="31.5" customHeight="1">
      <c r="B24" s="673"/>
      <c r="C24" s="673"/>
      <c r="D24" s="464"/>
      <c r="E24" s="470"/>
      <c r="F24" s="464"/>
      <c r="G24" s="464"/>
      <c r="H24" s="464"/>
      <c r="I24" s="464"/>
      <c r="J24" s="464"/>
      <c r="K24" s="464"/>
      <c r="L24" s="464"/>
    </row>
    <row r="25" spans="1:13" ht="20.100000000000001" customHeight="1">
      <c r="A25" s="47"/>
    </row>
    <row r="26" spans="1:13">
      <c r="A26" s="47"/>
      <c r="B26" s="25"/>
      <c r="C26" s="25"/>
      <c r="D26" s="25"/>
      <c r="E26" s="25"/>
      <c r="F26" s="25"/>
      <c r="G26" s="25"/>
      <c r="H26" s="25"/>
      <c r="I26" s="25"/>
      <c r="J26" s="25"/>
      <c r="K26" s="25"/>
      <c r="L26" s="25"/>
    </row>
    <row r="27" spans="1:13">
      <c r="A27" s="47"/>
      <c r="B27" s="25"/>
      <c r="C27" s="25"/>
      <c r="D27" s="25"/>
      <c r="E27" s="25"/>
      <c r="F27" s="25"/>
      <c r="G27" s="25"/>
      <c r="H27" s="25"/>
      <c r="I27" s="25"/>
      <c r="J27" s="25"/>
      <c r="K27" s="25"/>
      <c r="L27" s="25"/>
    </row>
    <row r="28" spans="1:13">
      <c r="A28" s="47"/>
      <c r="B28" s="25"/>
      <c r="C28" s="25"/>
      <c r="D28" s="25"/>
      <c r="E28" s="25"/>
      <c r="F28" s="25"/>
      <c r="G28" s="25"/>
      <c r="H28" s="25"/>
      <c r="I28" s="25"/>
      <c r="J28" s="25"/>
      <c r="K28" s="25"/>
      <c r="L28" s="25"/>
    </row>
    <row r="29" spans="1:13" s="39" customFormat="1">
      <c r="A29" s="47"/>
      <c r="B29" s="25"/>
      <c r="C29" s="25"/>
      <c r="D29" s="25"/>
      <c r="E29" s="25"/>
      <c r="F29" s="25"/>
      <c r="G29" s="25"/>
      <c r="H29" s="25"/>
      <c r="I29" s="25"/>
      <c r="J29" s="25"/>
      <c r="K29" s="25"/>
      <c r="L29" s="25"/>
    </row>
    <row r="30" spans="1:13" s="39" customFormat="1">
      <c r="A30" s="47"/>
      <c r="B30" s="25"/>
      <c r="C30" s="25"/>
      <c r="D30" s="25"/>
      <c r="E30" s="25"/>
      <c r="F30" s="25"/>
      <c r="G30" s="25"/>
      <c r="H30" s="25"/>
      <c r="I30" s="25"/>
      <c r="J30" s="25"/>
      <c r="K30" s="25"/>
      <c r="L30" s="25"/>
    </row>
    <row r="31" spans="1:13" s="39" customFormat="1">
      <c r="A31" s="47"/>
      <c r="B31" s="25"/>
      <c r="C31" s="25"/>
      <c r="D31" s="25"/>
      <c r="E31" s="25"/>
      <c r="F31" s="25"/>
      <c r="G31" s="25"/>
      <c r="H31" s="25"/>
      <c r="I31" s="25"/>
      <c r="J31" s="25"/>
      <c r="K31" s="25"/>
      <c r="L31" s="25"/>
    </row>
    <row r="32" spans="1:13" s="39" customFormat="1">
      <c r="A32" s="47"/>
      <c r="B32" s="25"/>
      <c r="C32" s="25"/>
      <c r="D32" s="25"/>
      <c r="E32" s="25"/>
      <c r="F32" s="25"/>
      <c r="G32" s="25"/>
      <c r="H32" s="25"/>
      <c r="I32" s="25"/>
      <c r="J32" s="25"/>
      <c r="K32" s="25"/>
      <c r="L32" s="25"/>
    </row>
    <row r="33" spans="1:12" s="39" customFormat="1">
      <c r="A33" s="47"/>
      <c r="B33" s="25"/>
      <c r="C33" s="25"/>
      <c r="D33" s="25"/>
      <c r="E33" s="25"/>
      <c r="F33" s="25"/>
      <c r="G33" s="25"/>
      <c r="H33" s="25"/>
      <c r="I33" s="25"/>
      <c r="J33" s="25"/>
      <c r="K33" s="25"/>
      <c r="L33" s="25"/>
    </row>
    <row r="34" spans="1:12" s="39" customFormat="1">
      <c r="A34" s="47"/>
      <c r="B34" s="25"/>
      <c r="C34" s="25"/>
      <c r="D34" s="25"/>
      <c r="E34" s="25"/>
      <c r="F34" s="25"/>
      <c r="G34" s="25"/>
      <c r="H34" s="25"/>
      <c r="I34" s="25"/>
      <c r="J34" s="25"/>
      <c r="K34" s="25"/>
      <c r="L34" s="25"/>
    </row>
    <row r="35" spans="1:12" s="39" customFormat="1">
      <c r="A35" s="47"/>
      <c r="B35" s="25"/>
      <c r="C35" s="25"/>
      <c r="D35" s="25"/>
      <c r="E35" s="25"/>
      <c r="F35" s="25"/>
      <c r="G35" s="25"/>
      <c r="H35" s="25"/>
      <c r="I35" s="25"/>
      <c r="J35" s="25"/>
      <c r="K35" s="25"/>
      <c r="L35" s="25"/>
    </row>
    <row r="36" spans="1:12" s="39" customFormat="1">
      <c r="A36" s="47"/>
      <c r="B36" s="25"/>
      <c r="C36" s="25"/>
      <c r="D36" s="25"/>
      <c r="E36" s="25"/>
      <c r="F36" s="25"/>
      <c r="G36" s="25"/>
      <c r="H36" s="25"/>
      <c r="I36" s="25"/>
      <c r="J36" s="25"/>
      <c r="K36" s="25"/>
      <c r="L36" s="25"/>
    </row>
    <row r="37" spans="1:12" s="39" customFormat="1">
      <c r="A37" s="47"/>
      <c r="B37" s="25"/>
      <c r="C37" s="25"/>
      <c r="D37" s="25"/>
      <c r="E37" s="25"/>
      <c r="F37" s="25"/>
      <c r="G37" s="25"/>
      <c r="H37" s="25"/>
      <c r="I37" s="25"/>
      <c r="J37" s="25"/>
      <c r="K37" s="25"/>
      <c r="L37" s="25"/>
    </row>
    <row r="38" spans="1:12" s="39" customFormat="1">
      <c r="A38" s="47"/>
      <c r="B38" s="25"/>
      <c r="C38" s="25"/>
      <c r="D38" s="25"/>
      <c r="E38" s="25"/>
      <c r="F38" s="25"/>
      <c r="G38" s="25"/>
      <c r="H38" s="25"/>
      <c r="I38" s="25"/>
      <c r="J38" s="25"/>
      <c r="K38" s="25"/>
      <c r="L38" s="25"/>
    </row>
    <row r="39" spans="1:12" s="39" customFormat="1">
      <c r="A39" s="47"/>
      <c r="B39" s="25"/>
      <c r="C39" s="25"/>
      <c r="D39" s="25"/>
      <c r="E39" s="25"/>
      <c r="F39" s="25"/>
      <c r="G39" s="25"/>
      <c r="H39" s="25"/>
      <c r="I39" s="25"/>
      <c r="J39" s="25"/>
      <c r="K39" s="25"/>
      <c r="L39" s="25"/>
    </row>
    <row r="40" spans="1:12" s="39" customFormat="1">
      <c r="A40" s="47"/>
      <c r="B40" s="25"/>
      <c r="C40" s="25"/>
      <c r="D40" s="25"/>
      <c r="E40" s="25"/>
      <c r="F40" s="25"/>
      <c r="G40" s="25"/>
      <c r="H40" s="25"/>
      <c r="I40" s="25"/>
      <c r="J40" s="25"/>
      <c r="K40" s="25"/>
      <c r="L40" s="25"/>
    </row>
    <row r="41" spans="1:12" s="39" customFormat="1">
      <c r="A41" s="47"/>
      <c r="B41" s="25"/>
      <c r="C41" s="25"/>
      <c r="D41" s="25"/>
      <c r="E41" s="25"/>
      <c r="F41" s="25"/>
      <c r="G41" s="25"/>
      <c r="H41" s="25"/>
      <c r="I41" s="25"/>
      <c r="J41" s="25"/>
      <c r="K41" s="25"/>
      <c r="L41" s="25"/>
    </row>
    <row r="42" spans="1:12" s="39" customFormat="1">
      <c r="A42" s="47"/>
      <c r="B42" s="25"/>
      <c r="C42" s="25"/>
      <c r="D42" s="25"/>
      <c r="E42" s="25"/>
      <c r="F42" s="25"/>
      <c r="G42" s="25"/>
      <c r="H42" s="25"/>
      <c r="I42" s="25"/>
      <c r="J42" s="25"/>
      <c r="K42" s="25"/>
      <c r="L42" s="25"/>
    </row>
    <row r="43" spans="1:12" s="39" customFormat="1">
      <c r="A43" s="47"/>
      <c r="B43" s="25"/>
      <c r="C43" s="25"/>
      <c r="D43" s="25"/>
      <c r="E43" s="25"/>
      <c r="F43" s="25"/>
      <c r="G43" s="25"/>
      <c r="H43" s="25"/>
      <c r="I43" s="25"/>
      <c r="J43" s="25"/>
      <c r="K43" s="25"/>
      <c r="L43" s="25"/>
    </row>
    <row r="44" spans="1:12" s="39" customFormat="1">
      <c r="A44" s="47"/>
      <c r="B44" s="25"/>
      <c r="C44" s="25"/>
      <c r="D44" s="25"/>
      <c r="E44" s="25"/>
      <c r="F44" s="25"/>
      <c r="G44" s="25"/>
      <c r="H44" s="25"/>
      <c r="I44" s="25"/>
      <c r="J44" s="25"/>
      <c r="K44" s="25"/>
      <c r="L44" s="25"/>
    </row>
    <row r="45" spans="1:12" s="39" customFormat="1">
      <c r="A45" s="47"/>
      <c r="B45" s="25"/>
      <c r="C45" s="25"/>
      <c r="D45" s="25"/>
      <c r="E45" s="25"/>
      <c r="F45" s="25"/>
      <c r="G45" s="25"/>
      <c r="H45" s="25"/>
      <c r="I45" s="25"/>
      <c r="J45" s="25"/>
      <c r="K45" s="25"/>
      <c r="L45" s="25"/>
    </row>
    <row r="46" spans="1:12" s="39" customFormat="1">
      <c r="A46" s="47"/>
      <c r="B46" s="25"/>
      <c r="C46" s="25"/>
      <c r="D46" s="25"/>
      <c r="E46" s="25"/>
      <c r="F46" s="25"/>
      <c r="G46" s="25"/>
      <c r="H46" s="25"/>
      <c r="I46" s="25"/>
      <c r="J46" s="25"/>
      <c r="K46" s="25"/>
      <c r="L46" s="25"/>
    </row>
    <row r="47" spans="1:12" s="39" customFormat="1">
      <c r="A47" s="47"/>
      <c r="B47" s="25"/>
      <c r="C47" s="25"/>
      <c r="D47" s="25"/>
      <c r="E47" s="25"/>
      <c r="F47" s="25"/>
      <c r="G47" s="25"/>
      <c r="H47" s="25"/>
      <c r="I47" s="25"/>
      <c r="J47" s="25"/>
      <c r="K47" s="25"/>
      <c r="L47" s="25"/>
    </row>
    <row r="48" spans="1:12" s="39" customFormat="1">
      <c r="A48" s="47"/>
      <c r="B48" s="25"/>
      <c r="C48" s="25"/>
      <c r="D48" s="25"/>
      <c r="E48" s="25"/>
      <c r="F48" s="25"/>
      <c r="G48" s="25"/>
      <c r="H48" s="25"/>
      <c r="I48" s="25"/>
      <c r="J48" s="25"/>
      <c r="K48" s="25"/>
      <c r="L48" s="25"/>
    </row>
    <row r="49" spans="1:12" s="39" customFormat="1">
      <c r="A49" s="47"/>
      <c r="B49" s="25"/>
      <c r="C49" s="25"/>
      <c r="D49" s="25"/>
      <c r="E49" s="25"/>
      <c r="F49" s="25"/>
      <c r="G49" s="25"/>
      <c r="H49" s="25"/>
      <c r="I49" s="25"/>
      <c r="J49" s="25"/>
      <c r="K49" s="25"/>
      <c r="L49" s="25"/>
    </row>
    <row r="50" spans="1:12" s="39" customFormat="1">
      <c r="A50" s="47"/>
      <c r="B50" s="25"/>
      <c r="C50" s="25"/>
      <c r="D50" s="25"/>
      <c r="E50" s="25"/>
      <c r="F50" s="25"/>
      <c r="G50" s="25"/>
      <c r="H50" s="25"/>
      <c r="I50" s="25"/>
      <c r="J50" s="25"/>
      <c r="K50" s="25"/>
      <c r="L50" s="25"/>
    </row>
    <row r="51" spans="1:12" s="39" customFormat="1">
      <c r="A51" s="47"/>
      <c r="B51" s="25"/>
      <c r="C51" s="25"/>
      <c r="D51" s="25"/>
      <c r="E51" s="25"/>
      <c r="F51" s="25"/>
      <c r="G51" s="25"/>
      <c r="H51" s="25"/>
      <c r="I51" s="25"/>
      <c r="J51" s="25"/>
      <c r="K51" s="25"/>
      <c r="L51" s="25"/>
    </row>
    <row r="52" spans="1:12" s="39" customFormat="1">
      <c r="A52" s="47"/>
      <c r="B52" s="25"/>
      <c r="C52" s="25"/>
      <c r="D52" s="25"/>
      <c r="E52" s="25"/>
      <c r="F52" s="25"/>
      <c r="G52" s="25"/>
      <c r="H52" s="25"/>
      <c r="I52" s="25"/>
      <c r="J52" s="25"/>
      <c r="K52" s="25"/>
      <c r="L52" s="25"/>
    </row>
    <row r="53" spans="1:12" s="39" customFormat="1">
      <c r="A53" s="47"/>
      <c r="B53" s="25"/>
      <c r="C53" s="25"/>
      <c r="D53" s="25"/>
      <c r="E53" s="25"/>
      <c r="F53" s="25"/>
      <c r="G53" s="25"/>
      <c r="H53" s="25"/>
      <c r="I53" s="25"/>
      <c r="J53" s="25"/>
      <c r="K53" s="25"/>
      <c r="L53" s="25"/>
    </row>
    <row r="54" spans="1:12" s="39" customFormat="1">
      <c r="A54" s="47"/>
      <c r="B54" s="25"/>
      <c r="C54" s="25"/>
      <c r="D54" s="25"/>
      <c r="E54" s="25"/>
      <c r="F54" s="25"/>
      <c r="G54" s="25"/>
      <c r="H54" s="25"/>
      <c r="I54" s="25"/>
      <c r="J54" s="25"/>
      <c r="K54" s="25"/>
      <c r="L54" s="25"/>
    </row>
    <row r="55" spans="1:12" s="39" customFormat="1">
      <c r="A55" s="47"/>
      <c r="B55" s="25"/>
      <c r="C55" s="25"/>
      <c r="D55" s="25"/>
      <c r="E55" s="25"/>
      <c r="F55" s="25"/>
      <c r="G55" s="25"/>
      <c r="H55" s="25"/>
      <c r="I55" s="25"/>
      <c r="J55" s="25"/>
      <c r="K55" s="25"/>
      <c r="L55" s="25"/>
    </row>
    <row r="56" spans="1:12" s="39" customFormat="1">
      <c r="A56" s="47"/>
      <c r="B56" s="25"/>
      <c r="C56" s="25"/>
      <c r="D56" s="25"/>
      <c r="E56" s="25"/>
      <c r="F56" s="25"/>
      <c r="G56" s="25"/>
      <c r="H56" s="25"/>
      <c r="I56" s="25"/>
      <c r="J56" s="25"/>
      <c r="K56" s="25"/>
      <c r="L56" s="25"/>
    </row>
    <row r="57" spans="1:12" s="39" customFormat="1">
      <c r="A57" s="47"/>
      <c r="B57" s="25"/>
      <c r="C57" s="25"/>
      <c r="D57" s="25"/>
      <c r="E57" s="25"/>
      <c r="F57" s="25"/>
      <c r="G57" s="25"/>
      <c r="H57" s="25"/>
      <c r="I57" s="25"/>
      <c r="J57" s="25"/>
      <c r="K57" s="25"/>
      <c r="L57" s="25"/>
    </row>
    <row r="58" spans="1:12" s="39" customFormat="1">
      <c r="A58" s="47"/>
      <c r="B58" s="25"/>
      <c r="C58" s="25"/>
      <c r="D58" s="25"/>
      <c r="E58" s="25"/>
      <c r="F58" s="25"/>
      <c r="G58" s="25"/>
      <c r="H58" s="25"/>
      <c r="I58" s="25"/>
      <c r="J58" s="25"/>
      <c r="K58" s="25"/>
      <c r="L58" s="25"/>
    </row>
    <row r="59" spans="1:12" s="39" customFormat="1">
      <c r="A59" s="47"/>
      <c r="B59" s="25"/>
      <c r="C59" s="25"/>
      <c r="D59" s="25"/>
      <c r="E59" s="25"/>
      <c r="F59" s="25"/>
      <c r="G59" s="25"/>
      <c r="H59" s="25"/>
      <c r="I59" s="25"/>
      <c r="J59" s="25"/>
      <c r="K59" s="25"/>
      <c r="L59" s="25"/>
    </row>
    <row r="60" spans="1:12" s="39" customFormat="1">
      <c r="A60" s="47"/>
      <c r="B60" s="25"/>
      <c r="C60" s="25"/>
      <c r="D60" s="25"/>
      <c r="E60" s="25"/>
      <c r="F60" s="25"/>
      <c r="G60" s="25"/>
      <c r="H60" s="25"/>
      <c r="I60" s="25"/>
      <c r="J60" s="25"/>
      <c r="K60" s="25"/>
      <c r="L60" s="25"/>
    </row>
    <row r="61" spans="1:12" s="39" customFormat="1">
      <c r="A61" s="47"/>
      <c r="B61" s="25"/>
      <c r="C61" s="25"/>
      <c r="D61" s="25"/>
      <c r="E61" s="25"/>
      <c r="F61" s="25"/>
      <c r="G61" s="25"/>
      <c r="H61" s="25"/>
      <c r="I61" s="25"/>
      <c r="J61" s="25"/>
      <c r="K61" s="25"/>
      <c r="L61" s="25"/>
    </row>
    <row r="62" spans="1:12" s="39" customFormat="1">
      <c r="A62" s="47"/>
      <c r="B62" s="25"/>
      <c r="C62" s="25"/>
      <c r="D62" s="25"/>
      <c r="E62" s="25"/>
      <c r="F62" s="25"/>
      <c r="G62" s="25"/>
      <c r="H62" s="25"/>
      <c r="I62" s="25"/>
      <c r="J62" s="25"/>
      <c r="K62" s="25"/>
      <c r="L62" s="25"/>
    </row>
    <row r="63" spans="1:12" s="39" customFormat="1">
      <c r="A63" s="47"/>
      <c r="B63" s="25"/>
      <c r="C63" s="25"/>
      <c r="D63" s="25"/>
      <c r="E63" s="25"/>
      <c r="F63" s="25"/>
      <c r="G63" s="25"/>
      <c r="H63" s="25"/>
      <c r="I63" s="25"/>
      <c r="J63" s="25"/>
      <c r="K63" s="25"/>
      <c r="L63" s="25"/>
    </row>
    <row r="64" spans="1:12" s="39" customFormat="1">
      <c r="A64" s="47"/>
      <c r="B64" s="25"/>
      <c r="C64" s="25"/>
      <c r="D64" s="25"/>
      <c r="E64" s="25"/>
      <c r="F64" s="25"/>
      <c r="G64" s="25"/>
      <c r="H64" s="25"/>
      <c r="I64" s="25"/>
      <c r="J64" s="25"/>
      <c r="K64" s="25"/>
      <c r="L64" s="25"/>
    </row>
    <row r="65" spans="1:12" s="39" customFormat="1">
      <c r="A65" s="47"/>
      <c r="B65" s="25"/>
      <c r="C65" s="25"/>
      <c r="D65" s="25"/>
      <c r="E65" s="25"/>
      <c r="F65" s="25"/>
      <c r="G65" s="25"/>
      <c r="H65" s="25"/>
      <c r="I65" s="25"/>
      <c r="J65" s="25"/>
      <c r="K65" s="25"/>
      <c r="L65" s="25"/>
    </row>
    <row r="66" spans="1:12" s="39" customFormat="1">
      <c r="A66" s="47"/>
      <c r="B66" s="25"/>
      <c r="C66" s="25"/>
      <c r="D66" s="25"/>
      <c r="E66" s="25"/>
      <c r="F66" s="25"/>
      <c r="G66" s="25"/>
      <c r="H66" s="25"/>
      <c r="I66" s="25"/>
      <c r="J66" s="25"/>
      <c r="K66" s="25"/>
      <c r="L66" s="25"/>
    </row>
    <row r="67" spans="1:12" s="39" customFormat="1">
      <c r="A67" s="47"/>
      <c r="B67" s="25"/>
      <c r="C67" s="25"/>
      <c r="D67" s="25"/>
      <c r="E67" s="25"/>
      <c r="F67" s="25"/>
      <c r="G67" s="25"/>
      <c r="H67" s="25"/>
      <c r="I67" s="25"/>
      <c r="J67" s="25"/>
      <c r="K67" s="25"/>
      <c r="L67" s="25"/>
    </row>
    <row r="68" spans="1:12" s="39" customFormat="1">
      <c r="A68" s="47"/>
      <c r="B68" s="25"/>
      <c r="C68" s="25"/>
      <c r="D68" s="25"/>
      <c r="E68" s="25"/>
      <c r="F68" s="25"/>
      <c r="G68" s="25"/>
      <c r="H68" s="25"/>
      <c r="I68" s="25"/>
      <c r="J68" s="25"/>
      <c r="K68" s="25"/>
      <c r="L68" s="25"/>
    </row>
    <row r="69" spans="1:12" s="39" customFormat="1">
      <c r="A69" s="47"/>
      <c r="B69" s="25"/>
      <c r="C69" s="25"/>
      <c r="D69" s="25"/>
      <c r="E69" s="25"/>
      <c r="F69" s="25"/>
      <c r="G69" s="25"/>
      <c r="H69" s="25"/>
      <c r="I69" s="25"/>
      <c r="J69" s="25"/>
      <c r="K69" s="25"/>
      <c r="L69" s="25"/>
    </row>
    <row r="70" spans="1:12" s="39" customFormat="1">
      <c r="A70" s="47"/>
      <c r="B70" s="25"/>
      <c r="C70" s="25"/>
      <c r="D70" s="25"/>
      <c r="E70" s="25"/>
      <c r="F70" s="25"/>
      <c r="G70" s="25"/>
      <c r="H70" s="25"/>
      <c r="I70" s="25"/>
      <c r="J70" s="25"/>
      <c r="K70" s="25"/>
      <c r="L70" s="25"/>
    </row>
    <row r="71" spans="1:12" s="39" customFormat="1">
      <c r="A71" s="47"/>
      <c r="B71" s="25"/>
      <c r="C71" s="25"/>
      <c r="D71" s="25"/>
      <c r="E71" s="25"/>
      <c r="F71" s="25"/>
      <c r="G71" s="25"/>
      <c r="H71" s="25"/>
      <c r="I71" s="25"/>
      <c r="J71" s="25"/>
      <c r="K71" s="25"/>
      <c r="L71" s="25"/>
    </row>
    <row r="72" spans="1:12" s="39" customFormat="1">
      <c r="A72" s="47"/>
      <c r="B72" s="25"/>
      <c r="C72" s="25"/>
      <c r="D72" s="25"/>
      <c r="E72" s="25"/>
      <c r="F72" s="25"/>
      <c r="G72" s="25"/>
      <c r="H72" s="25"/>
      <c r="I72" s="25"/>
      <c r="J72" s="25"/>
      <c r="K72" s="25"/>
      <c r="L72" s="25"/>
    </row>
    <row r="73" spans="1:12" s="39" customFormat="1">
      <c r="A73" s="47"/>
      <c r="B73" s="25"/>
      <c r="C73" s="25"/>
      <c r="D73" s="25"/>
      <c r="E73" s="25"/>
      <c r="F73" s="25"/>
      <c r="G73" s="25"/>
      <c r="H73" s="25"/>
      <c r="I73" s="25"/>
      <c r="J73" s="25"/>
      <c r="K73" s="25"/>
      <c r="L73" s="25"/>
    </row>
    <row r="74" spans="1:12" s="39" customFormat="1">
      <c r="A74" s="47"/>
      <c r="B74" s="25"/>
      <c r="C74" s="25"/>
      <c r="D74" s="25"/>
      <c r="E74" s="25"/>
      <c r="F74" s="25"/>
      <c r="G74" s="25"/>
      <c r="H74" s="25"/>
      <c r="I74" s="25"/>
      <c r="J74" s="25"/>
      <c r="K74" s="25"/>
      <c r="L74" s="25"/>
    </row>
    <row r="75" spans="1:12" s="39" customFormat="1">
      <c r="A75" s="47"/>
      <c r="B75" s="25"/>
      <c r="C75" s="25"/>
      <c r="D75" s="25"/>
      <c r="E75" s="25"/>
      <c r="F75" s="25"/>
      <c r="G75" s="25"/>
      <c r="H75" s="25"/>
      <c r="I75" s="25"/>
      <c r="J75" s="25"/>
      <c r="K75" s="25"/>
      <c r="L75" s="25"/>
    </row>
    <row r="76" spans="1:12" s="39" customFormat="1">
      <c r="A76" s="47"/>
      <c r="B76" s="25"/>
      <c r="C76" s="25"/>
      <c r="D76" s="25"/>
      <c r="E76" s="25"/>
      <c r="F76" s="25"/>
      <c r="G76" s="25"/>
      <c r="H76" s="25"/>
      <c r="I76" s="25"/>
      <c r="J76" s="25"/>
      <c r="K76" s="25"/>
      <c r="L76" s="25"/>
    </row>
    <row r="77" spans="1:12" s="39" customFormat="1">
      <c r="A77" s="47"/>
      <c r="B77" s="25"/>
      <c r="C77" s="25"/>
      <c r="D77" s="25"/>
      <c r="E77" s="25"/>
      <c r="F77" s="25"/>
      <c r="G77" s="25"/>
      <c r="H77" s="25"/>
      <c r="I77" s="25"/>
      <c r="J77" s="25"/>
      <c r="K77" s="25"/>
      <c r="L77" s="25"/>
    </row>
    <row r="78" spans="1:12" s="39" customFormat="1">
      <c r="A78" s="47"/>
      <c r="B78" s="25"/>
      <c r="C78" s="25"/>
      <c r="D78" s="25"/>
      <c r="E78" s="25"/>
      <c r="F78" s="25"/>
      <c r="G78" s="25"/>
      <c r="H78" s="25"/>
      <c r="I78" s="25"/>
      <c r="J78" s="25"/>
      <c r="K78" s="25"/>
      <c r="L78" s="25"/>
    </row>
    <row r="79" spans="1:12" s="39" customFormat="1">
      <c r="A79" s="47"/>
      <c r="B79" s="25"/>
      <c r="C79" s="25"/>
      <c r="D79" s="25"/>
      <c r="E79" s="25"/>
      <c r="F79" s="25"/>
      <c r="G79" s="25"/>
      <c r="H79" s="25"/>
      <c r="I79" s="25"/>
      <c r="J79" s="25"/>
      <c r="K79" s="25"/>
      <c r="L79" s="25"/>
    </row>
    <row r="80" spans="1:12" s="39" customFormat="1">
      <c r="A80" s="47"/>
      <c r="B80" s="25"/>
      <c r="C80" s="25"/>
      <c r="D80" s="25"/>
      <c r="E80" s="25"/>
      <c r="F80" s="25"/>
      <c r="G80" s="25"/>
      <c r="H80" s="25"/>
      <c r="I80" s="25"/>
      <c r="J80" s="25"/>
      <c r="K80" s="25"/>
      <c r="L80" s="25"/>
    </row>
    <row r="81" spans="1:12" s="39" customFormat="1">
      <c r="A81" s="47"/>
      <c r="B81" s="25"/>
      <c r="C81" s="25"/>
      <c r="D81" s="25"/>
      <c r="E81" s="25"/>
      <c r="F81" s="25"/>
      <c r="G81" s="25"/>
      <c r="H81" s="25"/>
      <c r="I81" s="25"/>
      <c r="J81" s="25"/>
      <c r="K81" s="25"/>
      <c r="L81" s="25"/>
    </row>
    <row r="82" spans="1:12" s="39" customFormat="1">
      <c r="A82" s="47"/>
      <c r="B82" s="25"/>
      <c r="C82" s="25"/>
      <c r="D82" s="25"/>
      <c r="E82" s="25"/>
      <c r="F82" s="25"/>
      <c r="G82" s="25"/>
      <c r="H82" s="25"/>
      <c r="I82" s="25"/>
      <c r="J82" s="25"/>
      <c r="K82" s="25"/>
      <c r="L82" s="25"/>
    </row>
    <row r="83" spans="1:12" s="39" customFormat="1">
      <c r="A83" s="47"/>
      <c r="B83" s="25"/>
      <c r="C83" s="25"/>
      <c r="D83" s="25"/>
      <c r="E83" s="25"/>
      <c r="F83" s="25"/>
      <c r="G83" s="25"/>
      <c r="H83" s="25"/>
      <c r="I83" s="25"/>
      <c r="J83" s="25"/>
      <c r="K83" s="25"/>
      <c r="L83" s="25"/>
    </row>
    <row r="84" spans="1:12" s="39" customFormat="1">
      <c r="A84" s="47"/>
      <c r="B84" s="25"/>
      <c r="C84" s="25"/>
      <c r="D84" s="25"/>
      <c r="E84" s="25"/>
      <c r="F84" s="25"/>
      <c r="G84" s="25"/>
      <c r="H84" s="25"/>
      <c r="I84" s="25"/>
      <c r="J84" s="25"/>
      <c r="K84" s="25"/>
      <c r="L84" s="25"/>
    </row>
    <row r="85" spans="1:12" s="39" customFormat="1">
      <c r="A85" s="47"/>
      <c r="B85" s="25"/>
      <c r="C85" s="25"/>
      <c r="D85" s="25"/>
      <c r="E85" s="25"/>
      <c r="F85" s="25"/>
      <c r="G85" s="25"/>
      <c r="H85" s="25"/>
      <c r="I85" s="25"/>
      <c r="J85" s="25"/>
      <c r="K85" s="25"/>
      <c r="L85" s="25"/>
    </row>
    <row r="86" spans="1:12" s="39" customFormat="1">
      <c r="A86" s="47"/>
      <c r="B86" s="25"/>
      <c r="C86" s="25"/>
      <c r="D86" s="25"/>
      <c r="E86" s="25"/>
      <c r="F86" s="25"/>
      <c r="G86" s="25"/>
      <c r="H86" s="25"/>
      <c r="I86" s="25"/>
      <c r="J86" s="25"/>
      <c r="K86" s="25"/>
      <c r="L86" s="25"/>
    </row>
    <row r="87" spans="1:12" s="39" customFormat="1">
      <c r="A87" s="47"/>
      <c r="B87" s="25"/>
      <c r="C87" s="25"/>
      <c r="D87" s="25"/>
      <c r="E87" s="25"/>
      <c r="F87" s="25"/>
      <c r="G87" s="25"/>
      <c r="H87" s="25"/>
      <c r="I87" s="25"/>
      <c r="J87" s="25"/>
      <c r="K87" s="25"/>
      <c r="L87" s="25"/>
    </row>
    <row r="88" spans="1:12" s="39" customFormat="1">
      <c r="A88" s="47"/>
      <c r="B88" s="25"/>
      <c r="C88" s="25"/>
      <c r="D88" s="25"/>
      <c r="E88" s="25"/>
      <c r="F88" s="25"/>
      <c r="G88" s="25"/>
      <c r="H88" s="25"/>
      <c r="I88" s="25"/>
      <c r="J88" s="25"/>
      <c r="K88" s="25"/>
      <c r="L88" s="25"/>
    </row>
    <row r="89" spans="1:12" s="39" customFormat="1">
      <c r="A89" s="47"/>
      <c r="B89" s="25"/>
      <c r="C89" s="25"/>
      <c r="D89" s="25"/>
      <c r="E89" s="25"/>
      <c r="F89" s="25"/>
      <c r="G89" s="25"/>
      <c r="H89" s="25"/>
      <c r="I89" s="25"/>
      <c r="J89" s="25"/>
      <c r="K89" s="25"/>
      <c r="L89" s="25"/>
    </row>
    <row r="90" spans="1:12" s="39" customFormat="1">
      <c r="A90" s="47"/>
      <c r="B90" s="25"/>
      <c r="C90" s="25"/>
      <c r="D90" s="25"/>
      <c r="E90" s="25"/>
      <c r="F90" s="25"/>
      <c r="G90" s="25"/>
      <c r="H90" s="25"/>
      <c r="I90" s="25"/>
      <c r="J90" s="25"/>
      <c r="K90" s="25"/>
      <c r="L90" s="25"/>
    </row>
    <row r="91" spans="1:12" s="39" customFormat="1">
      <c r="A91" s="47"/>
      <c r="B91" s="25"/>
      <c r="C91" s="25"/>
      <c r="D91" s="25"/>
      <c r="E91" s="25"/>
      <c r="F91" s="25"/>
      <c r="G91" s="25"/>
      <c r="H91" s="25"/>
      <c r="I91" s="25"/>
      <c r="J91" s="25"/>
      <c r="K91" s="25"/>
      <c r="L91" s="25"/>
    </row>
    <row r="92" spans="1:12" s="39" customFormat="1">
      <c r="A92" s="47"/>
      <c r="B92" s="25"/>
      <c r="C92" s="25"/>
      <c r="D92" s="25"/>
      <c r="E92" s="25"/>
      <c r="F92" s="25"/>
      <c r="G92" s="25"/>
      <c r="H92" s="25"/>
      <c r="I92" s="25"/>
      <c r="J92" s="25"/>
      <c r="K92" s="25"/>
      <c r="L92" s="25"/>
    </row>
    <row r="93" spans="1:12" s="39" customFormat="1">
      <c r="A93" s="47"/>
      <c r="B93" s="25"/>
      <c r="C93" s="25"/>
      <c r="D93" s="25"/>
      <c r="E93" s="25"/>
      <c r="F93" s="25"/>
      <c r="G93" s="25"/>
      <c r="H93" s="25"/>
      <c r="I93" s="25"/>
      <c r="J93" s="25"/>
      <c r="K93" s="25"/>
      <c r="L93" s="25"/>
    </row>
    <row r="94" spans="1:12" s="39" customFormat="1">
      <c r="A94" s="47"/>
      <c r="B94" s="25"/>
      <c r="C94" s="25"/>
      <c r="D94" s="25"/>
      <c r="E94" s="25"/>
      <c r="F94" s="25"/>
      <c r="G94" s="25"/>
      <c r="H94" s="25"/>
      <c r="I94" s="25"/>
      <c r="J94" s="25"/>
      <c r="K94" s="25"/>
      <c r="L94" s="25"/>
    </row>
    <row r="95" spans="1:12" s="39" customFormat="1">
      <c r="A95" s="47"/>
      <c r="B95" s="25"/>
      <c r="C95" s="25"/>
      <c r="D95" s="25"/>
      <c r="E95" s="25"/>
      <c r="F95" s="25"/>
      <c r="G95" s="25"/>
      <c r="H95" s="25"/>
      <c r="I95" s="25"/>
      <c r="J95" s="25"/>
      <c r="K95" s="25"/>
      <c r="L95" s="25"/>
    </row>
    <row r="96" spans="1:12" s="39" customFormat="1">
      <c r="A96" s="47"/>
      <c r="B96" s="25"/>
      <c r="C96" s="25"/>
      <c r="D96" s="25"/>
      <c r="E96" s="25"/>
      <c r="F96" s="25"/>
      <c r="G96" s="25"/>
      <c r="H96" s="25"/>
      <c r="I96" s="25"/>
      <c r="J96" s="25"/>
      <c r="K96" s="25"/>
      <c r="L96" s="25"/>
    </row>
    <row r="97" spans="1:12" s="39" customFormat="1">
      <c r="A97" s="47"/>
      <c r="B97" s="25"/>
      <c r="C97" s="25"/>
      <c r="D97" s="25"/>
      <c r="E97" s="25"/>
      <c r="F97" s="25"/>
      <c r="G97" s="25"/>
      <c r="H97" s="25"/>
      <c r="I97" s="25"/>
      <c r="J97" s="25"/>
      <c r="K97" s="25"/>
      <c r="L97" s="25"/>
    </row>
    <row r="98" spans="1:12" s="39" customFormat="1">
      <c r="A98" s="47"/>
      <c r="B98" s="25"/>
      <c r="C98" s="25"/>
      <c r="D98" s="25"/>
      <c r="E98" s="25"/>
      <c r="F98" s="25"/>
      <c r="G98" s="25"/>
      <c r="H98" s="25"/>
      <c r="I98" s="25"/>
      <c r="J98" s="25"/>
      <c r="K98" s="25"/>
      <c r="L98" s="25"/>
    </row>
    <row r="99" spans="1:12" s="39" customFormat="1">
      <c r="A99" s="47"/>
      <c r="B99" s="25"/>
      <c r="C99" s="25"/>
      <c r="D99" s="25"/>
      <c r="E99" s="25"/>
      <c r="F99" s="25"/>
      <c r="G99" s="25"/>
      <c r="H99" s="25"/>
      <c r="I99" s="25"/>
      <c r="J99" s="25"/>
      <c r="K99" s="25"/>
      <c r="L99" s="25"/>
    </row>
    <row r="100" spans="1:12" s="39" customFormat="1">
      <c r="A100" s="47"/>
      <c r="B100" s="25"/>
      <c r="C100" s="25"/>
      <c r="D100" s="25"/>
      <c r="E100" s="25"/>
      <c r="F100" s="25"/>
      <c r="G100" s="25"/>
      <c r="H100" s="25"/>
      <c r="I100" s="25"/>
      <c r="J100" s="25"/>
      <c r="K100" s="25"/>
      <c r="L100" s="25"/>
    </row>
    <row r="101" spans="1:12" s="39" customFormat="1">
      <c r="A101" s="47"/>
      <c r="B101" s="25"/>
      <c r="C101" s="25"/>
      <c r="D101" s="25"/>
      <c r="E101" s="25"/>
      <c r="F101" s="25"/>
      <c r="G101" s="25"/>
      <c r="H101" s="25"/>
      <c r="I101" s="25"/>
      <c r="J101" s="25"/>
      <c r="K101" s="25"/>
      <c r="L101" s="25"/>
    </row>
    <row r="102" spans="1:12" s="39" customFormat="1">
      <c r="A102" s="47"/>
      <c r="B102" s="25"/>
      <c r="C102" s="25"/>
      <c r="D102" s="25"/>
      <c r="E102" s="25"/>
      <c r="F102" s="25"/>
      <c r="G102" s="25"/>
      <c r="H102" s="25"/>
      <c r="I102" s="25"/>
      <c r="J102" s="25"/>
      <c r="K102" s="25"/>
      <c r="L102" s="25"/>
    </row>
    <row r="103" spans="1:12" s="39" customFormat="1">
      <c r="A103" s="47"/>
      <c r="B103" s="25"/>
      <c r="C103" s="25"/>
      <c r="D103" s="25"/>
      <c r="E103" s="25"/>
      <c r="F103" s="25"/>
      <c r="G103" s="25"/>
      <c r="H103" s="25"/>
      <c r="I103" s="25"/>
      <c r="J103" s="25"/>
      <c r="K103" s="25"/>
      <c r="L103" s="25"/>
    </row>
    <row r="104" spans="1:12" s="39" customFormat="1">
      <c r="A104" s="47"/>
      <c r="B104" s="25"/>
      <c r="C104" s="25"/>
      <c r="D104" s="25"/>
      <c r="E104" s="25"/>
      <c r="F104" s="25"/>
      <c r="G104" s="25"/>
      <c r="H104" s="25"/>
      <c r="I104" s="25"/>
      <c r="J104" s="25"/>
      <c r="K104" s="25"/>
      <c r="L104" s="25"/>
    </row>
    <row r="105" spans="1:12" s="39" customFormat="1">
      <c r="A105" s="47"/>
      <c r="B105" s="25"/>
      <c r="C105" s="25"/>
      <c r="D105" s="25"/>
      <c r="E105" s="25"/>
      <c r="F105" s="25"/>
      <c r="G105" s="25"/>
      <c r="H105" s="25"/>
      <c r="I105" s="25"/>
      <c r="J105" s="25"/>
      <c r="K105" s="25"/>
      <c r="L105" s="25"/>
    </row>
    <row r="106" spans="1:12" s="39" customFormat="1">
      <c r="A106" s="47"/>
      <c r="B106" s="25"/>
      <c r="C106" s="25"/>
      <c r="D106" s="25"/>
      <c r="E106" s="25"/>
      <c r="F106" s="25"/>
      <c r="G106" s="25"/>
      <c r="H106" s="25"/>
      <c r="I106" s="25"/>
      <c r="J106" s="25"/>
      <c r="K106" s="25"/>
      <c r="L106" s="25"/>
    </row>
    <row r="107" spans="1:12" s="39" customFormat="1">
      <c r="A107" s="47"/>
      <c r="B107" s="25"/>
      <c r="C107" s="25"/>
      <c r="D107" s="25"/>
      <c r="E107" s="25"/>
      <c r="F107" s="25"/>
      <c r="G107" s="25"/>
      <c r="H107" s="25"/>
      <c r="I107" s="25"/>
      <c r="J107" s="25"/>
      <c r="K107" s="25"/>
      <c r="L107" s="25"/>
    </row>
    <row r="108" spans="1:12" s="39" customFormat="1">
      <c r="A108" s="47"/>
      <c r="B108" s="25"/>
      <c r="C108" s="25"/>
      <c r="D108" s="25"/>
      <c r="E108" s="25"/>
      <c r="F108" s="25"/>
      <c r="G108" s="25"/>
      <c r="H108" s="25"/>
      <c r="I108" s="25"/>
      <c r="J108" s="25"/>
      <c r="K108" s="25"/>
      <c r="L108" s="25"/>
    </row>
    <row r="109" spans="1:12" s="39" customFormat="1">
      <c r="A109" s="47"/>
      <c r="B109" s="25"/>
      <c r="C109" s="25"/>
      <c r="D109" s="25"/>
      <c r="E109" s="25"/>
      <c r="F109" s="25"/>
      <c r="G109" s="25"/>
      <c r="H109" s="25"/>
      <c r="I109" s="25"/>
      <c r="J109" s="25"/>
      <c r="K109" s="25"/>
      <c r="L109" s="25"/>
    </row>
    <row r="110" spans="1:12" s="39" customFormat="1">
      <c r="A110" s="47"/>
      <c r="B110" s="25"/>
      <c r="C110" s="25"/>
      <c r="D110" s="25"/>
      <c r="E110" s="25"/>
      <c r="F110" s="25"/>
      <c r="G110" s="25"/>
      <c r="H110" s="25"/>
      <c r="I110" s="25"/>
      <c r="J110" s="25"/>
      <c r="K110" s="25"/>
      <c r="L110" s="25"/>
    </row>
    <row r="111" spans="1:12" s="39" customFormat="1">
      <c r="A111" s="47"/>
      <c r="B111" s="25"/>
      <c r="C111" s="25"/>
      <c r="D111" s="25"/>
      <c r="E111" s="25"/>
      <c r="F111" s="25"/>
      <c r="G111" s="25"/>
      <c r="H111" s="25"/>
      <c r="I111" s="25"/>
      <c r="J111" s="25"/>
      <c r="K111" s="25"/>
      <c r="L111" s="25"/>
    </row>
    <row r="112" spans="1:12" s="39" customFormat="1">
      <c r="A112" s="47"/>
      <c r="B112" s="25"/>
      <c r="C112" s="25"/>
      <c r="D112" s="25"/>
      <c r="E112" s="25"/>
      <c r="F112" s="25"/>
      <c r="G112" s="25"/>
      <c r="H112" s="25"/>
      <c r="I112" s="25"/>
      <c r="J112" s="25"/>
      <c r="K112" s="25"/>
      <c r="L112" s="25"/>
    </row>
    <row r="113" spans="1:12" s="39" customFormat="1">
      <c r="A113" s="47"/>
      <c r="B113" s="25"/>
      <c r="C113" s="25"/>
      <c r="D113" s="25"/>
      <c r="E113" s="25"/>
      <c r="F113" s="25"/>
      <c r="G113" s="25"/>
      <c r="H113" s="25"/>
      <c r="I113" s="25"/>
      <c r="J113" s="25"/>
      <c r="K113" s="25"/>
      <c r="L113" s="25"/>
    </row>
    <row r="114" spans="1:12" s="39" customFormat="1">
      <c r="A114" s="47"/>
      <c r="B114" s="25"/>
      <c r="C114" s="25"/>
      <c r="D114" s="25"/>
      <c r="E114" s="25"/>
      <c r="F114" s="25"/>
      <c r="G114" s="25"/>
      <c r="H114" s="25"/>
      <c r="I114" s="25"/>
      <c r="J114" s="25"/>
      <c r="K114" s="25"/>
      <c r="L114" s="25"/>
    </row>
    <row r="115" spans="1:12" s="39" customFormat="1">
      <c r="A115" s="47"/>
      <c r="B115" s="25"/>
      <c r="C115" s="25"/>
      <c r="D115" s="25"/>
      <c r="E115" s="25"/>
      <c r="F115" s="25"/>
      <c r="G115" s="25"/>
      <c r="H115" s="25"/>
      <c r="I115" s="25"/>
      <c r="J115" s="25"/>
      <c r="K115" s="25"/>
      <c r="L115" s="25"/>
    </row>
    <row r="116" spans="1:12" s="39" customFormat="1">
      <c r="A116" s="47"/>
      <c r="B116" s="25"/>
      <c r="C116" s="25"/>
      <c r="D116" s="25"/>
      <c r="E116" s="25"/>
      <c r="F116" s="25"/>
      <c r="G116" s="25"/>
      <c r="H116" s="25"/>
      <c r="I116" s="25"/>
      <c r="J116" s="25"/>
      <c r="K116" s="25"/>
      <c r="L116" s="25"/>
    </row>
    <row r="117" spans="1:12" s="39" customFormat="1">
      <c r="A117" s="47"/>
      <c r="B117" s="25"/>
      <c r="C117" s="25"/>
      <c r="D117" s="25"/>
      <c r="E117" s="25"/>
      <c r="F117" s="25"/>
      <c r="G117" s="25"/>
      <c r="H117" s="25"/>
      <c r="I117" s="25"/>
      <c r="J117" s="25"/>
      <c r="K117" s="25"/>
      <c r="L117" s="25"/>
    </row>
    <row r="118" spans="1:12" s="39" customFormat="1">
      <c r="A118" s="47"/>
      <c r="B118" s="25"/>
      <c r="C118" s="25"/>
      <c r="D118" s="25"/>
      <c r="E118" s="25"/>
      <c r="F118" s="25"/>
      <c r="G118" s="25"/>
      <c r="H118" s="25"/>
      <c r="I118" s="25"/>
      <c r="J118" s="25"/>
      <c r="K118" s="25"/>
      <c r="L118" s="25"/>
    </row>
    <row r="119" spans="1:12" s="39" customFormat="1">
      <c r="A119" s="47"/>
      <c r="B119" s="25"/>
      <c r="C119" s="25"/>
      <c r="D119" s="25"/>
      <c r="E119" s="25"/>
      <c r="F119" s="25"/>
      <c r="G119" s="25"/>
      <c r="H119" s="25"/>
      <c r="I119" s="25"/>
      <c r="J119" s="25"/>
      <c r="K119" s="25"/>
      <c r="L119" s="25"/>
    </row>
    <row r="120" spans="1:12" s="39" customFormat="1">
      <c r="A120" s="47"/>
      <c r="B120" s="25"/>
      <c r="C120" s="25"/>
      <c r="D120" s="25"/>
      <c r="E120" s="25"/>
      <c r="F120" s="25"/>
      <c r="G120" s="25"/>
      <c r="H120" s="25"/>
      <c r="I120" s="25"/>
      <c r="J120" s="25"/>
      <c r="K120" s="25"/>
      <c r="L120" s="25"/>
    </row>
    <row r="121" spans="1:12" s="39" customFormat="1">
      <c r="A121" s="47"/>
      <c r="B121" s="25"/>
      <c r="C121" s="25"/>
      <c r="D121" s="25"/>
      <c r="E121" s="25"/>
      <c r="F121" s="25"/>
      <c r="G121" s="25"/>
      <c r="H121" s="25"/>
      <c r="I121" s="25"/>
      <c r="J121" s="25"/>
      <c r="K121" s="25"/>
      <c r="L121" s="25"/>
    </row>
    <row r="122" spans="1:12" s="39" customFormat="1">
      <c r="A122" s="47"/>
      <c r="B122" s="25"/>
      <c r="C122" s="25"/>
      <c r="D122" s="25"/>
      <c r="E122" s="25"/>
      <c r="F122" s="25"/>
      <c r="G122" s="25"/>
      <c r="H122" s="25"/>
      <c r="I122" s="25"/>
      <c r="J122" s="25"/>
      <c r="K122" s="25"/>
      <c r="L122" s="25"/>
    </row>
    <row r="123" spans="1:12" s="39" customFormat="1">
      <c r="A123" s="47"/>
      <c r="B123" s="25"/>
      <c r="C123" s="25"/>
      <c r="D123" s="25"/>
      <c r="E123" s="25"/>
      <c r="F123" s="25"/>
      <c r="G123" s="25"/>
      <c r="H123" s="25"/>
      <c r="I123" s="25"/>
      <c r="J123" s="25"/>
      <c r="K123" s="25"/>
      <c r="L123" s="25"/>
    </row>
    <row r="124" spans="1:12" s="39" customFormat="1">
      <c r="A124" s="47"/>
      <c r="B124" s="25"/>
      <c r="C124" s="25"/>
      <c r="D124" s="25"/>
      <c r="E124" s="25"/>
      <c r="F124" s="25"/>
      <c r="G124" s="25"/>
      <c r="H124" s="25"/>
      <c r="I124" s="25"/>
      <c r="J124" s="25"/>
      <c r="K124" s="25"/>
      <c r="L124" s="25"/>
    </row>
    <row r="125" spans="1:12" s="39" customFormat="1">
      <c r="A125" s="47"/>
      <c r="B125" s="25"/>
      <c r="C125" s="25"/>
      <c r="D125" s="25"/>
      <c r="E125" s="25"/>
      <c r="F125" s="25"/>
      <c r="G125" s="25"/>
      <c r="H125" s="25"/>
      <c r="I125" s="25"/>
      <c r="J125" s="25"/>
      <c r="K125" s="25"/>
      <c r="L125" s="25"/>
    </row>
    <row r="126" spans="1:12" s="39" customFormat="1">
      <c r="A126" s="47"/>
      <c r="B126" s="25"/>
      <c r="C126" s="25"/>
      <c r="D126" s="25"/>
      <c r="E126" s="25"/>
      <c r="F126" s="25"/>
      <c r="G126" s="25"/>
      <c r="H126" s="25"/>
      <c r="I126" s="25"/>
      <c r="J126" s="25"/>
      <c r="K126" s="25"/>
      <c r="L126" s="25"/>
    </row>
    <row r="127" spans="1:12" s="39" customFormat="1">
      <c r="A127" s="47"/>
      <c r="B127" s="25"/>
      <c r="C127" s="25"/>
      <c r="D127" s="25"/>
      <c r="E127" s="25"/>
      <c r="F127" s="25"/>
      <c r="G127" s="25"/>
      <c r="H127" s="25"/>
      <c r="I127" s="25"/>
      <c r="J127" s="25"/>
      <c r="K127" s="25"/>
      <c r="L127" s="25"/>
    </row>
    <row r="128" spans="1:12" s="39" customFormat="1">
      <c r="A128" s="47"/>
      <c r="B128" s="25"/>
      <c r="C128" s="25"/>
      <c r="D128" s="25"/>
      <c r="E128" s="25"/>
      <c r="F128" s="25"/>
      <c r="G128" s="25"/>
      <c r="H128" s="25"/>
      <c r="I128" s="25"/>
      <c r="J128" s="25"/>
      <c r="K128" s="25"/>
      <c r="L128" s="25"/>
    </row>
    <row r="129" spans="1:12" s="39" customFormat="1">
      <c r="A129" s="47"/>
      <c r="B129" s="25"/>
      <c r="C129" s="25"/>
      <c r="D129" s="25"/>
      <c r="E129" s="25"/>
      <c r="F129" s="25"/>
      <c r="G129" s="25"/>
      <c r="H129" s="25"/>
      <c r="I129" s="25"/>
      <c r="J129" s="25"/>
      <c r="K129" s="25"/>
      <c r="L129" s="25"/>
    </row>
    <row r="130" spans="1:12" s="39" customFormat="1">
      <c r="A130" s="47"/>
      <c r="B130" s="25"/>
      <c r="C130" s="25"/>
      <c r="D130" s="25"/>
      <c r="E130" s="25"/>
      <c r="F130" s="25"/>
      <c r="G130" s="25"/>
      <c r="H130" s="25"/>
      <c r="I130" s="25"/>
      <c r="J130" s="25"/>
      <c r="K130" s="25"/>
      <c r="L130" s="25"/>
    </row>
    <row r="131" spans="1:12" s="39" customFormat="1">
      <c r="A131" s="47"/>
      <c r="B131" s="25"/>
      <c r="C131" s="25"/>
      <c r="D131" s="25"/>
      <c r="E131" s="25"/>
      <c r="F131" s="25"/>
      <c r="G131" s="25"/>
      <c r="H131" s="25"/>
      <c r="I131" s="25"/>
      <c r="J131" s="25"/>
      <c r="K131" s="25"/>
      <c r="L131" s="25"/>
    </row>
    <row r="132" spans="1:12" s="39" customFormat="1">
      <c r="A132" s="47"/>
      <c r="B132" s="25"/>
      <c r="C132" s="25"/>
      <c r="D132" s="25"/>
      <c r="E132" s="25"/>
      <c r="F132" s="25"/>
      <c r="G132" s="25"/>
      <c r="H132" s="25"/>
      <c r="I132" s="25"/>
      <c r="J132" s="25"/>
      <c r="K132" s="25"/>
      <c r="L132" s="25"/>
    </row>
    <row r="133" spans="1:12" s="39" customFormat="1">
      <c r="A133" s="47"/>
      <c r="B133" s="25"/>
      <c r="C133" s="25"/>
      <c r="D133" s="25"/>
      <c r="E133" s="25"/>
      <c r="F133" s="25"/>
      <c r="G133" s="25"/>
      <c r="H133" s="25"/>
      <c r="I133" s="25"/>
      <c r="J133" s="25"/>
      <c r="K133" s="25"/>
      <c r="L133" s="25"/>
    </row>
    <row r="134" spans="1:12" s="39" customFormat="1">
      <c r="A134" s="47"/>
      <c r="B134" s="25"/>
      <c r="C134" s="25"/>
      <c r="D134" s="25"/>
      <c r="E134" s="25"/>
      <c r="F134" s="25"/>
      <c r="G134" s="25"/>
      <c r="H134" s="25"/>
      <c r="I134" s="25"/>
      <c r="J134" s="25"/>
      <c r="K134" s="25"/>
      <c r="L134" s="25"/>
    </row>
    <row r="135" spans="1:12" s="39" customFormat="1">
      <c r="A135" s="47"/>
      <c r="B135" s="25"/>
      <c r="C135" s="25"/>
      <c r="D135" s="25"/>
      <c r="E135" s="25"/>
      <c r="F135" s="25"/>
      <c r="G135" s="25"/>
      <c r="H135" s="25"/>
      <c r="I135" s="25"/>
      <c r="J135" s="25"/>
      <c r="K135" s="25"/>
      <c r="L135" s="25"/>
    </row>
    <row r="136" spans="1:12" s="39" customFormat="1">
      <c r="A136" s="47"/>
      <c r="B136" s="25"/>
      <c r="C136" s="25"/>
      <c r="D136" s="25"/>
      <c r="E136" s="25"/>
      <c r="F136" s="25"/>
      <c r="G136" s="25"/>
      <c r="H136" s="25"/>
      <c r="I136" s="25"/>
      <c r="J136" s="25"/>
      <c r="K136" s="25"/>
      <c r="L136" s="25"/>
    </row>
    <row r="137" spans="1:12" s="39" customFormat="1">
      <c r="A137" s="47"/>
      <c r="B137" s="25"/>
      <c r="C137" s="25"/>
      <c r="D137" s="25"/>
      <c r="E137" s="25"/>
      <c r="F137" s="25"/>
      <c r="G137" s="25"/>
      <c r="H137" s="25"/>
      <c r="I137" s="25"/>
      <c r="J137" s="25"/>
      <c r="K137" s="25"/>
      <c r="L137" s="25"/>
    </row>
    <row r="138" spans="1:12" s="39" customFormat="1">
      <c r="A138" s="47"/>
      <c r="B138" s="25"/>
      <c r="C138" s="25"/>
      <c r="D138" s="25"/>
      <c r="E138" s="25"/>
      <c r="F138" s="25"/>
      <c r="G138" s="25"/>
      <c r="H138" s="25"/>
      <c r="I138" s="25"/>
      <c r="J138" s="25"/>
      <c r="K138" s="25"/>
      <c r="L138" s="25"/>
    </row>
    <row r="139" spans="1:12" s="39" customFormat="1">
      <c r="A139" s="47"/>
      <c r="B139" s="25"/>
      <c r="C139" s="25"/>
      <c r="D139" s="25"/>
      <c r="E139" s="25"/>
      <c r="F139" s="25"/>
      <c r="G139" s="25"/>
      <c r="H139" s="25"/>
      <c r="I139" s="25"/>
      <c r="J139" s="25"/>
      <c r="K139" s="25"/>
      <c r="L139" s="25"/>
    </row>
    <row r="140" spans="1:12" s="39" customFormat="1">
      <c r="A140" s="47"/>
      <c r="B140" s="25"/>
      <c r="C140" s="25"/>
      <c r="D140" s="25"/>
      <c r="E140" s="25"/>
      <c r="F140" s="25"/>
      <c r="G140" s="25"/>
      <c r="H140" s="25"/>
      <c r="I140" s="25"/>
      <c r="J140" s="25"/>
      <c r="K140" s="25"/>
      <c r="L140" s="25"/>
    </row>
    <row r="141" spans="1:12" s="39" customFormat="1">
      <c r="A141" s="47"/>
      <c r="B141" s="25"/>
      <c r="C141" s="25"/>
      <c r="D141" s="25"/>
      <c r="E141" s="25"/>
      <c r="F141" s="25"/>
      <c r="G141" s="25"/>
      <c r="H141" s="25"/>
      <c r="I141" s="25"/>
      <c r="J141" s="25"/>
      <c r="K141" s="25"/>
      <c r="L141" s="25"/>
    </row>
    <row r="142" spans="1:12" s="39" customFormat="1">
      <c r="A142" s="47"/>
      <c r="B142" s="25"/>
      <c r="C142" s="25"/>
      <c r="D142" s="25"/>
      <c r="E142" s="25"/>
      <c r="F142" s="25"/>
      <c r="G142" s="25"/>
      <c r="H142" s="25"/>
      <c r="I142" s="25"/>
      <c r="J142" s="25"/>
      <c r="K142" s="25"/>
      <c r="L142" s="25"/>
    </row>
    <row r="143" spans="1:12" s="39" customFormat="1">
      <c r="A143" s="47"/>
      <c r="B143" s="25"/>
      <c r="C143" s="25"/>
      <c r="D143" s="25"/>
      <c r="E143" s="25"/>
      <c r="F143" s="25"/>
      <c r="G143" s="25"/>
      <c r="H143" s="25"/>
      <c r="I143" s="25"/>
      <c r="J143" s="25"/>
      <c r="K143" s="25"/>
      <c r="L143" s="25"/>
    </row>
    <row r="144" spans="1:12" s="39" customFormat="1">
      <c r="A144" s="47"/>
      <c r="B144" s="25"/>
      <c r="C144" s="25"/>
      <c r="D144" s="25"/>
      <c r="E144" s="25"/>
      <c r="F144" s="25"/>
      <c r="G144" s="25"/>
      <c r="H144" s="25"/>
      <c r="I144" s="25"/>
      <c r="J144" s="25"/>
      <c r="K144" s="25"/>
      <c r="L144" s="25"/>
    </row>
    <row r="145" spans="1:12" s="39" customFormat="1">
      <c r="A145" s="47"/>
      <c r="B145" s="25"/>
      <c r="C145" s="25"/>
      <c r="D145" s="25"/>
      <c r="E145" s="25"/>
      <c r="F145" s="25"/>
      <c r="G145" s="25"/>
      <c r="H145" s="25"/>
      <c r="I145" s="25"/>
      <c r="J145" s="25"/>
      <c r="K145" s="25"/>
      <c r="L145" s="25"/>
    </row>
    <row r="146" spans="1:12" s="39" customFormat="1">
      <c r="A146" s="47"/>
      <c r="B146" s="25"/>
      <c r="C146" s="25"/>
      <c r="D146" s="25"/>
      <c r="E146" s="25"/>
      <c r="F146" s="25"/>
      <c r="G146" s="25"/>
      <c r="H146" s="25"/>
      <c r="I146" s="25"/>
      <c r="J146" s="25"/>
      <c r="K146" s="25"/>
      <c r="L146" s="25"/>
    </row>
    <row r="147" spans="1:12" s="39" customFormat="1">
      <c r="A147" s="47"/>
      <c r="B147" s="25"/>
      <c r="C147" s="25"/>
      <c r="D147" s="25"/>
      <c r="E147" s="25"/>
      <c r="F147" s="25"/>
      <c r="G147" s="25"/>
      <c r="H147" s="25"/>
      <c r="I147" s="25"/>
      <c r="J147" s="25"/>
      <c r="K147" s="25"/>
      <c r="L147" s="25"/>
    </row>
    <row r="148" spans="1:12" s="39" customFormat="1">
      <c r="A148" s="47"/>
      <c r="B148" s="25"/>
      <c r="C148" s="25"/>
      <c r="D148" s="25"/>
      <c r="E148" s="25"/>
      <c r="F148" s="25"/>
      <c r="G148" s="25"/>
      <c r="H148" s="25"/>
      <c r="I148" s="25"/>
      <c r="J148" s="25"/>
      <c r="K148" s="25"/>
      <c r="L148" s="25"/>
    </row>
    <row r="149" spans="1:12" s="39" customFormat="1">
      <c r="A149" s="47"/>
      <c r="B149" s="25"/>
      <c r="C149" s="25"/>
      <c r="D149" s="25"/>
      <c r="E149" s="25"/>
      <c r="F149" s="25"/>
      <c r="G149" s="25"/>
      <c r="H149" s="25"/>
      <c r="I149" s="25"/>
      <c r="J149" s="25"/>
      <c r="K149" s="25"/>
      <c r="L149" s="25"/>
    </row>
    <row r="150" spans="1:12" s="39" customFormat="1">
      <c r="A150" s="47"/>
      <c r="B150" s="25"/>
      <c r="C150" s="25"/>
      <c r="D150" s="25"/>
      <c r="E150" s="25"/>
      <c r="F150" s="25"/>
      <c r="G150" s="25"/>
      <c r="H150" s="25"/>
      <c r="I150" s="25"/>
      <c r="J150" s="25"/>
      <c r="K150" s="25"/>
      <c r="L150" s="25"/>
    </row>
    <row r="151" spans="1:12" s="39" customFormat="1">
      <c r="A151" s="47"/>
      <c r="B151" s="25"/>
      <c r="C151" s="25"/>
      <c r="D151" s="25"/>
      <c r="E151" s="25"/>
      <c r="F151" s="25"/>
      <c r="G151" s="25"/>
      <c r="H151" s="25"/>
      <c r="I151" s="25"/>
      <c r="J151" s="25"/>
      <c r="K151" s="25"/>
      <c r="L151" s="25"/>
    </row>
    <row r="152" spans="1:12" s="39" customFormat="1">
      <c r="A152" s="47"/>
      <c r="B152" s="25"/>
      <c r="C152" s="25"/>
      <c r="D152" s="25"/>
      <c r="E152" s="25"/>
      <c r="F152" s="25"/>
      <c r="G152" s="25"/>
      <c r="H152" s="25"/>
      <c r="I152" s="25"/>
      <c r="J152" s="25"/>
      <c r="K152" s="25"/>
      <c r="L152" s="25"/>
    </row>
    <row r="153" spans="1:12" s="39" customFormat="1">
      <c r="A153" s="47"/>
      <c r="B153" s="25"/>
      <c r="C153" s="25"/>
      <c r="D153" s="25"/>
      <c r="E153" s="25"/>
      <c r="F153" s="25"/>
      <c r="G153" s="25"/>
      <c r="H153" s="25"/>
      <c r="I153" s="25"/>
      <c r="J153" s="25"/>
      <c r="K153" s="25"/>
      <c r="L153" s="25"/>
    </row>
    <row r="154" spans="1:12" s="39" customFormat="1">
      <c r="A154" s="47"/>
      <c r="B154" s="25"/>
      <c r="C154" s="25"/>
      <c r="D154" s="25"/>
      <c r="E154" s="25"/>
      <c r="F154" s="25"/>
      <c r="G154" s="25"/>
      <c r="H154" s="25"/>
      <c r="I154" s="25"/>
      <c r="J154" s="25"/>
      <c r="K154" s="25"/>
      <c r="L154" s="25"/>
    </row>
    <row r="155" spans="1:12" s="39" customFormat="1">
      <c r="A155" s="47"/>
      <c r="B155" s="25"/>
      <c r="C155" s="25"/>
      <c r="D155" s="25"/>
      <c r="E155" s="25"/>
      <c r="F155" s="25"/>
      <c r="G155" s="25"/>
      <c r="H155" s="25"/>
      <c r="I155" s="25"/>
      <c r="J155" s="25"/>
      <c r="K155" s="25"/>
      <c r="L155" s="25"/>
    </row>
    <row r="156" spans="1:12" s="39" customFormat="1">
      <c r="A156" s="47"/>
      <c r="B156" s="25"/>
      <c r="C156" s="25"/>
      <c r="D156" s="25"/>
      <c r="E156" s="25"/>
      <c r="F156" s="25"/>
      <c r="G156" s="25"/>
      <c r="H156" s="25"/>
      <c r="I156" s="25"/>
      <c r="J156" s="25"/>
      <c r="K156" s="25"/>
      <c r="L156" s="25"/>
    </row>
    <row r="157" spans="1:12" s="39" customFormat="1">
      <c r="A157" s="47"/>
      <c r="B157" s="25"/>
      <c r="C157" s="25"/>
      <c r="D157" s="25"/>
      <c r="E157" s="25"/>
      <c r="F157" s="25"/>
      <c r="G157" s="25"/>
      <c r="H157" s="25"/>
      <c r="I157" s="25"/>
      <c r="J157" s="25"/>
      <c r="K157" s="25"/>
      <c r="L157" s="25"/>
    </row>
    <row r="158" spans="1:12" s="39" customFormat="1">
      <c r="A158" s="47"/>
      <c r="B158" s="25"/>
      <c r="C158" s="25"/>
      <c r="D158" s="25"/>
      <c r="E158" s="25"/>
      <c r="F158" s="25"/>
      <c r="G158" s="25"/>
      <c r="H158" s="25"/>
      <c r="I158" s="25"/>
      <c r="J158" s="25"/>
      <c r="K158" s="25"/>
      <c r="L158" s="25"/>
    </row>
    <row r="159" spans="1:12" s="39" customFormat="1">
      <c r="A159" s="47"/>
      <c r="B159" s="25"/>
      <c r="C159" s="25"/>
      <c r="D159" s="25"/>
      <c r="E159" s="25"/>
      <c r="F159" s="25"/>
      <c r="G159" s="25"/>
      <c r="H159" s="25"/>
      <c r="I159" s="25"/>
      <c r="J159" s="25"/>
      <c r="K159" s="25"/>
      <c r="L159" s="25"/>
    </row>
    <row r="160" spans="1:12" s="39" customFormat="1">
      <c r="A160" s="47"/>
      <c r="B160" s="25"/>
      <c r="C160" s="25"/>
      <c r="D160" s="25"/>
      <c r="E160" s="25"/>
      <c r="F160" s="25"/>
      <c r="G160" s="25"/>
      <c r="H160" s="25"/>
      <c r="I160" s="25"/>
      <c r="J160" s="25"/>
      <c r="K160" s="25"/>
      <c r="L160" s="25"/>
    </row>
    <row r="161" spans="1:12" s="39" customFormat="1">
      <c r="A161" s="47"/>
      <c r="B161" s="25"/>
      <c r="C161" s="25"/>
      <c r="D161" s="25"/>
      <c r="E161" s="25"/>
      <c r="F161" s="25"/>
      <c r="G161" s="25"/>
      <c r="H161" s="25"/>
      <c r="I161" s="25"/>
      <c r="J161" s="25"/>
      <c r="K161" s="25"/>
      <c r="L161" s="25"/>
    </row>
    <row r="162" spans="1:12" s="39" customFormat="1">
      <c r="A162" s="47"/>
      <c r="B162" s="25"/>
      <c r="C162" s="25"/>
      <c r="D162" s="25"/>
      <c r="E162" s="25"/>
      <c r="F162" s="25"/>
      <c r="G162" s="25"/>
      <c r="H162" s="25"/>
      <c r="I162" s="25"/>
      <c r="J162" s="25"/>
      <c r="K162" s="25"/>
      <c r="L162" s="25"/>
    </row>
    <row r="163" spans="1:12" s="39" customFormat="1">
      <c r="A163" s="47"/>
      <c r="B163" s="25"/>
      <c r="C163" s="25"/>
      <c r="D163" s="25"/>
      <c r="E163" s="25"/>
      <c r="F163" s="25"/>
      <c r="G163" s="25"/>
      <c r="H163" s="25"/>
      <c r="I163" s="25"/>
      <c r="J163" s="25"/>
      <c r="K163" s="25"/>
      <c r="L163" s="25"/>
    </row>
    <row r="164" spans="1:12" s="39" customFormat="1">
      <c r="A164" s="47"/>
      <c r="B164" s="25"/>
      <c r="C164" s="25"/>
      <c r="D164" s="25"/>
      <c r="E164" s="25"/>
      <c r="F164" s="25"/>
      <c r="G164" s="25"/>
      <c r="H164" s="25"/>
      <c r="I164" s="25"/>
      <c r="J164" s="25"/>
      <c r="K164" s="25"/>
      <c r="L164" s="25"/>
    </row>
    <row r="165" spans="1:12" s="39" customFormat="1">
      <c r="A165" s="47"/>
      <c r="B165" s="25"/>
      <c r="C165" s="25"/>
      <c r="D165" s="25"/>
      <c r="E165" s="25"/>
      <c r="F165" s="25"/>
      <c r="G165" s="25"/>
      <c r="H165" s="25"/>
      <c r="I165" s="25"/>
      <c r="J165" s="25"/>
      <c r="K165" s="25"/>
      <c r="L165" s="25"/>
    </row>
    <row r="166" spans="1:12" s="39" customFormat="1">
      <c r="A166" s="47"/>
      <c r="B166" s="25"/>
      <c r="C166" s="25"/>
      <c r="D166" s="25"/>
      <c r="E166" s="25"/>
      <c r="F166" s="25"/>
      <c r="G166" s="25"/>
      <c r="H166" s="25"/>
      <c r="I166" s="25"/>
      <c r="J166" s="25"/>
      <c r="K166" s="25"/>
      <c r="L166" s="25"/>
    </row>
    <row r="167" spans="1:12" s="39" customFormat="1">
      <c r="A167" s="47"/>
      <c r="B167" s="25"/>
      <c r="C167" s="25"/>
      <c r="D167" s="25"/>
      <c r="E167" s="25"/>
      <c r="F167" s="25"/>
      <c r="G167" s="25"/>
      <c r="H167" s="25"/>
      <c r="I167" s="25"/>
      <c r="J167" s="25"/>
      <c r="K167" s="25"/>
      <c r="L167" s="25"/>
    </row>
    <row r="168" spans="1:12" s="39" customFormat="1">
      <c r="A168" s="47"/>
      <c r="B168" s="25"/>
      <c r="C168" s="25"/>
      <c r="D168" s="25"/>
      <c r="E168" s="25"/>
      <c r="F168" s="25"/>
      <c r="G168" s="25"/>
      <c r="H168" s="25"/>
      <c r="I168" s="25"/>
      <c r="J168" s="25"/>
      <c r="K168" s="25"/>
      <c r="L168" s="25"/>
    </row>
    <row r="169" spans="1:12" s="39" customFormat="1">
      <c r="A169" s="47"/>
      <c r="B169" s="25"/>
      <c r="C169" s="25"/>
      <c r="D169" s="25"/>
      <c r="E169" s="25"/>
      <c r="F169" s="25"/>
      <c r="G169" s="25"/>
      <c r="H169" s="25"/>
      <c r="I169" s="25"/>
      <c r="J169" s="25"/>
      <c r="K169" s="25"/>
      <c r="L169" s="25"/>
    </row>
    <row r="170" spans="1:12" s="39" customFormat="1">
      <c r="A170" s="47"/>
      <c r="B170" s="25"/>
      <c r="C170" s="25"/>
      <c r="D170" s="25"/>
      <c r="E170" s="25"/>
      <c r="F170" s="25"/>
      <c r="G170" s="25"/>
      <c r="H170" s="25"/>
      <c r="I170" s="25"/>
      <c r="J170" s="25"/>
      <c r="K170" s="25"/>
      <c r="L170" s="25"/>
    </row>
    <row r="171" spans="1:12" s="39" customFormat="1">
      <c r="A171" s="47"/>
      <c r="B171" s="25"/>
      <c r="C171" s="25"/>
      <c r="D171" s="25"/>
      <c r="E171" s="25"/>
      <c r="F171" s="25"/>
      <c r="G171" s="25"/>
      <c r="H171" s="25"/>
      <c r="I171" s="25"/>
      <c r="J171" s="25"/>
      <c r="K171" s="25"/>
      <c r="L171" s="25"/>
    </row>
    <row r="172" spans="1:12" s="39" customFormat="1">
      <c r="A172" s="47"/>
      <c r="B172" s="25"/>
      <c r="C172" s="25"/>
      <c r="D172" s="25"/>
      <c r="E172" s="25"/>
      <c r="F172" s="25"/>
      <c r="G172" s="25"/>
      <c r="H172" s="25"/>
      <c r="I172" s="25"/>
      <c r="J172" s="25"/>
      <c r="K172" s="25"/>
      <c r="L172" s="25"/>
    </row>
    <row r="173" spans="1:12" s="39" customFormat="1">
      <c r="A173" s="47"/>
      <c r="B173" s="25"/>
      <c r="C173" s="25"/>
      <c r="D173" s="25"/>
      <c r="E173" s="25"/>
      <c r="F173" s="25"/>
      <c r="G173" s="25"/>
      <c r="H173" s="25"/>
      <c r="I173" s="25"/>
      <c r="J173" s="25"/>
      <c r="K173" s="25"/>
      <c r="L173" s="25"/>
    </row>
    <row r="174" spans="1:12" s="39" customFormat="1">
      <c r="A174" s="47"/>
      <c r="B174" s="25"/>
      <c r="C174" s="25"/>
      <c r="D174" s="25"/>
      <c r="E174" s="25"/>
      <c r="F174" s="25"/>
      <c r="G174" s="25"/>
      <c r="H174" s="25"/>
      <c r="I174" s="25"/>
      <c r="J174" s="25"/>
      <c r="K174" s="25"/>
      <c r="L174" s="25"/>
    </row>
    <row r="175" spans="1:12" s="39" customFormat="1">
      <c r="A175" s="47"/>
      <c r="B175" s="25"/>
      <c r="C175" s="25"/>
      <c r="D175" s="25"/>
      <c r="E175" s="25"/>
      <c r="F175" s="25"/>
      <c r="G175" s="25"/>
      <c r="H175" s="25"/>
      <c r="I175" s="25"/>
      <c r="J175" s="25"/>
      <c r="K175" s="25"/>
      <c r="L175" s="25"/>
    </row>
    <row r="176" spans="1:12" s="39" customFormat="1">
      <c r="A176" s="47"/>
      <c r="B176" s="25"/>
      <c r="C176" s="25"/>
      <c r="D176" s="25"/>
      <c r="E176" s="25"/>
      <c r="F176" s="25"/>
      <c r="G176" s="25"/>
      <c r="H176" s="25"/>
      <c r="I176" s="25"/>
      <c r="J176" s="25"/>
      <c r="K176" s="25"/>
      <c r="L176" s="25"/>
    </row>
    <row r="177" spans="1:12" s="39" customFormat="1">
      <c r="A177" s="47"/>
      <c r="B177" s="25"/>
      <c r="C177" s="25"/>
      <c r="D177" s="25"/>
      <c r="E177" s="25"/>
      <c r="F177" s="25"/>
      <c r="G177" s="25"/>
      <c r="H177" s="25"/>
      <c r="I177" s="25"/>
      <c r="J177" s="25"/>
      <c r="K177" s="25"/>
      <c r="L177" s="25"/>
    </row>
    <row r="178" spans="1:12" s="39" customFormat="1">
      <c r="A178" s="47"/>
      <c r="B178" s="25"/>
      <c r="C178" s="25"/>
      <c r="D178" s="25"/>
      <c r="E178" s="25"/>
      <c r="F178" s="25"/>
      <c r="G178" s="25"/>
      <c r="H178" s="25"/>
      <c r="I178" s="25"/>
      <c r="J178" s="25"/>
      <c r="K178" s="25"/>
      <c r="L178" s="25"/>
    </row>
    <row r="179" spans="1:12" s="39" customFormat="1">
      <c r="A179" s="47"/>
      <c r="B179" s="25"/>
      <c r="C179" s="25"/>
      <c r="D179" s="25"/>
      <c r="E179" s="25"/>
      <c r="F179" s="25"/>
      <c r="G179" s="25"/>
      <c r="H179" s="25"/>
      <c r="I179" s="25"/>
      <c r="J179" s="25"/>
      <c r="K179" s="25"/>
      <c r="L179" s="25"/>
    </row>
    <row r="180" spans="1:12" s="39" customFormat="1">
      <c r="A180" s="47"/>
      <c r="B180" s="25"/>
      <c r="C180" s="25"/>
      <c r="D180" s="25"/>
      <c r="E180" s="25"/>
      <c r="F180" s="25"/>
      <c r="G180" s="25"/>
      <c r="H180" s="25"/>
      <c r="I180" s="25"/>
      <c r="J180" s="25"/>
      <c r="K180" s="25"/>
      <c r="L180" s="25"/>
    </row>
    <row r="181" spans="1:12" s="39" customFormat="1">
      <c r="A181" s="47"/>
      <c r="B181" s="25"/>
      <c r="C181" s="25"/>
      <c r="D181" s="25"/>
      <c r="E181" s="25"/>
      <c r="F181" s="25"/>
      <c r="G181" s="25"/>
      <c r="H181" s="25"/>
      <c r="I181" s="25"/>
      <c r="J181" s="25"/>
      <c r="K181" s="25"/>
      <c r="L181" s="25"/>
    </row>
    <row r="182" spans="1:12" s="39" customFormat="1">
      <c r="A182" s="47"/>
      <c r="B182" s="25"/>
      <c r="C182" s="25"/>
      <c r="D182" s="25"/>
      <c r="E182" s="25"/>
      <c r="F182" s="25"/>
      <c r="G182" s="25"/>
      <c r="H182" s="25"/>
      <c r="I182" s="25"/>
      <c r="J182" s="25"/>
      <c r="K182" s="25"/>
      <c r="L182" s="25"/>
    </row>
    <row r="183" spans="1:12" s="39" customFormat="1">
      <c r="A183" s="47"/>
      <c r="B183" s="25"/>
      <c r="C183" s="25"/>
      <c r="D183" s="25"/>
      <c r="E183" s="25"/>
      <c r="F183" s="25"/>
      <c r="G183" s="25"/>
      <c r="H183" s="25"/>
      <c r="I183" s="25"/>
      <c r="J183" s="25"/>
      <c r="K183" s="25"/>
      <c r="L183" s="25"/>
    </row>
    <row r="184" spans="1:12" s="39" customFormat="1">
      <c r="A184" s="47"/>
      <c r="B184" s="25"/>
      <c r="C184" s="25"/>
      <c r="D184" s="25"/>
      <c r="E184" s="25"/>
      <c r="F184" s="25"/>
      <c r="G184" s="25"/>
      <c r="H184" s="25"/>
      <c r="I184" s="25"/>
      <c r="J184" s="25"/>
      <c r="K184" s="25"/>
      <c r="L184" s="25"/>
    </row>
    <row r="185" spans="1:12" s="39" customFormat="1">
      <c r="A185" s="47"/>
      <c r="B185" s="25"/>
      <c r="C185" s="25"/>
      <c r="D185" s="25"/>
      <c r="E185" s="25"/>
      <c r="F185" s="25"/>
      <c r="G185" s="25"/>
      <c r="H185" s="25"/>
      <c r="I185" s="25"/>
      <c r="J185" s="25"/>
      <c r="K185" s="25"/>
      <c r="L185" s="25"/>
    </row>
    <row r="186" spans="1:12" s="39" customFormat="1">
      <c r="A186" s="47"/>
      <c r="B186" s="25"/>
      <c r="C186" s="25"/>
      <c r="D186" s="25"/>
      <c r="E186" s="25"/>
      <c r="F186" s="25"/>
      <c r="G186" s="25"/>
      <c r="H186" s="25"/>
      <c r="I186" s="25"/>
      <c r="J186" s="25"/>
      <c r="K186" s="25"/>
      <c r="L186" s="25"/>
    </row>
    <row r="187" spans="1:12" s="39" customFormat="1">
      <c r="A187" s="47"/>
      <c r="B187" s="25"/>
      <c r="C187" s="25"/>
      <c r="D187" s="25"/>
      <c r="E187" s="25"/>
      <c r="F187" s="25"/>
      <c r="G187" s="25"/>
      <c r="H187" s="25"/>
      <c r="I187" s="25"/>
      <c r="J187" s="25"/>
      <c r="K187" s="25"/>
      <c r="L187" s="25"/>
    </row>
    <row r="188" spans="1:12" s="39" customFormat="1">
      <c r="A188" s="47"/>
      <c r="B188" s="25"/>
      <c r="C188" s="25"/>
      <c r="D188" s="25"/>
      <c r="E188" s="25"/>
      <c r="F188" s="25"/>
      <c r="G188" s="25"/>
      <c r="H188" s="25"/>
      <c r="I188" s="25"/>
      <c r="J188" s="25"/>
      <c r="K188" s="25"/>
      <c r="L188" s="25"/>
    </row>
    <row r="189" spans="1:12" s="39" customFormat="1">
      <c r="A189" s="47"/>
      <c r="B189" s="25"/>
      <c r="C189" s="25"/>
      <c r="D189" s="25"/>
      <c r="E189" s="25"/>
      <c r="F189" s="25"/>
      <c r="G189" s="25"/>
      <c r="H189" s="25"/>
      <c r="I189" s="25"/>
      <c r="J189" s="25"/>
      <c r="K189" s="25"/>
      <c r="L189" s="25"/>
    </row>
    <row r="190" spans="1:12" s="39" customFormat="1">
      <c r="A190" s="47"/>
      <c r="B190" s="25"/>
      <c r="C190" s="25"/>
      <c r="D190" s="25"/>
      <c r="E190" s="25"/>
      <c r="F190" s="25"/>
      <c r="G190" s="25"/>
      <c r="H190" s="25"/>
      <c r="I190" s="25"/>
      <c r="J190" s="25"/>
      <c r="K190" s="25"/>
      <c r="L190" s="25"/>
    </row>
    <row r="191" spans="1:12" s="39" customFormat="1">
      <c r="A191" s="47"/>
      <c r="B191" s="25"/>
      <c r="C191" s="25"/>
      <c r="D191" s="25"/>
      <c r="E191" s="25"/>
      <c r="F191" s="25"/>
      <c r="G191" s="25"/>
      <c r="H191" s="25"/>
      <c r="I191" s="25"/>
      <c r="J191" s="25"/>
      <c r="K191" s="25"/>
      <c r="L191" s="25"/>
    </row>
    <row r="192" spans="1:12" s="39" customFormat="1">
      <c r="A192" s="47"/>
      <c r="B192" s="25"/>
      <c r="C192" s="25"/>
      <c r="D192" s="25"/>
      <c r="E192" s="25"/>
      <c r="F192" s="25"/>
      <c r="G192" s="25"/>
      <c r="H192" s="25"/>
      <c r="I192" s="25"/>
      <c r="J192" s="25"/>
      <c r="K192" s="25"/>
      <c r="L192" s="25"/>
    </row>
    <row r="193" spans="1:12" s="39" customFormat="1">
      <c r="A193" s="47"/>
      <c r="B193" s="25"/>
      <c r="C193" s="25"/>
      <c r="D193" s="25"/>
      <c r="E193" s="25"/>
      <c r="F193" s="25"/>
      <c r="G193" s="25"/>
      <c r="H193" s="25"/>
      <c r="I193" s="25"/>
      <c r="J193" s="25"/>
      <c r="K193" s="25"/>
      <c r="L193" s="25"/>
    </row>
    <row r="194" spans="1:12" s="39" customFormat="1">
      <c r="A194" s="47"/>
      <c r="B194" s="25"/>
      <c r="C194" s="25"/>
      <c r="D194" s="25"/>
      <c r="E194" s="25"/>
      <c r="F194" s="25"/>
      <c r="G194" s="25"/>
      <c r="H194" s="25"/>
      <c r="I194" s="25"/>
      <c r="J194" s="25"/>
      <c r="K194" s="25"/>
      <c r="L194" s="25"/>
    </row>
    <row r="195" spans="1:12" s="39" customFormat="1">
      <c r="A195" s="47"/>
      <c r="B195" s="25"/>
      <c r="C195" s="25"/>
      <c r="D195" s="25"/>
      <c r="E195" s="25"/>
      <c r="F195" s="25"/>
      <c r="G195" s="25"/>
      <c r="H195" s="25"/>
      <c r="I195" s="25"/>
      <c r="J195" s="25"/>
      <c r="K195" s="25"/>
      <c r="L195" s="25"/>
    </row>
    <row r="196" spans="1:12" s="39" customFormat="1">
      <c r="A196" s="47"/>
      <c r="B196" s="25"/>
      <c r="C196" s="25"/>
      <c r="D196" s="25"/>
      <c r="E196" s="25"/>
      <c r="F196" s="25"/>
      <c r="G196" s="25"/>
      <c r="H196" s="25"/>
      <c r="I196" s="25"/>
      <c r="J196" s="25"/>
      <c r="K196" s="25"/>
      <c r="L196" s="25"/>
    </row>
    <row r="197" spans="1:12" s="39" customFormat="1">
      <c r="A197" s="47"/>
      <c r="B197" s="25"/>
      <c r="C197" s="25"/>
      <c r="D197" s="25"/>
      <c r="E197" s="25"/>
      <c r="F197" s="25"/>
      <c r="G197" s="25"/>
      <c r="H197" s="25"/>
      <c r="I197" s="25"/>
      <c r="J197" s="25"/>
      <c r="K197" s="25"/>
      <c r="L197" s="25"/>
    </row>
    <row r="198" spans="1:12" s="39" customFormat="1">
      <c r="A198" s="47"/>
      <c r="B198" s="25"/>
      <c r="C198" s="25"/>
      <c r="D198" s="25"/>
      <c r="E198" s="25"/>
      <c r="F198" s="25"/>
      <c r="G198" s="25"/>
      <c r="H198" s="25"/>
      <c r="I198" s="25"/>
      <c r="J198" s="25"/>
      <c r="K198" s="25"/>
      <c r="L198" s="25"/>
    </row>
    <row r="199" spans="1:12" s="39" customFormat="1">
      <c r="A199" s="47"/>
      <c r="B199" s="25"/>
      <c r="C199" s="25"/>
      <c r="D199" s="25"/>
      <c r="E199" s="25"/>
      <c r="F199" s="25"/>
      <c r="G199" s="25"/>
      <c r="H199" s="25"/>
      <c r="I199" s="25"/>
      <c r="J199" s="25"/>
      <c r="K199" s="25"/>
      <c r="L199" s="25"/>
    </row>
    <row r="200" spans="1:12" s="39" customFormat="1">
      <c r="A200" s="47"/>
      <c r="B200" s="25"/>
      <c r="C200" s="25"/>
      <c r="D200" s="25"/>
      <c r="E200" s="25"/>
      <c r="F200" s="25"/>
      <c r="G200" s="25"/>
      <c r="H200" s="25"/>
      <c r="I200" s="25"/>
      <c r="J200" s="25"/>
      <c r="K200" s="25"/>
      <c r="L200" s="25"/>
    </row>
    <row r="201" spans="1:12" s="39" customFormat="1">
      <c r="A201" s="47"/>
      <c r="B201" s="25"/>
      <c r="C201" s="25"/>
      <c r="D201" s="25"/>
      <c r="E201" s="25"/>
      <c r="F201" s="25"/>
      <c r="G201" s="25"/>
      <c r="H201" s="25"/>
      <c r="I201" s="25"/>
      <c r="J201" s="25"/>
      <c r="K201" s="25"/>
      <c r="L201" s="25"/>
    </row>
    <row r="202" spans="1:12" s="39" customFormat="1">
      <c r="A202" s="47"/>
      <c r="B202" s="25"/>
      <c r="C202" s="25"/>
      <c r="D202" s="25"/>
      <c r="E202" s="25"/>
      <c r="F202" s="25"/>
      <c r="G202" s="25"/>
      <c r="H202" s="25"/>
      <c r="I202" s="25"/>
      <c r="J202" s="25"/>
      <c r="K202" s="25"/>
      <c r="L202" s="25"/>
    </row>
    <row r="203" spans="1:12" s="39" customFormat="1">
      <c r="A203" s="47"/>
      <c r="B203" s="25"/>
      <c r="C203" s="25"/>
      <c r="D203" s="25"/>
      <c r="E203" s="25"/>
      <c r="F203" s="25"/>
      <c r="G203" s="25"/>
      <c r="H203" s="25"/>
      <c r="I203" s="25"/>
      <c r="J203" s="25"/>
      <c r="K203" s="25"/>
      <c r="L203" s="25"/>
    </row>
    <row r="204" spans="1:12" s="39" customFormat="1">
      <c r="A204" s="47"/>
      <c r="B204" s="25"/>
      <c r="C204" s="25"/>
      <c r="D204" s="25"/>
      <c r="E204" s="25"/>
      <c r="F204" s="25"/>
      <c r="G204" s="25"/>
      <c r="H204" s="25"/>
      <c r="I204" s="25"/>
      <c r="J204" s="25"/>
      <c r="K204" s="25"/>
      <c r="L204" s="25"/>
    </row>
    <row r="205" spans="1:12" s="39" customFormat="1">
      <c r="A205" s="47"/>
      <c r="B205" s="25"/>
      <c r="C205" s="25"/>
      <c r="D205" s="25"/>
      <c r="E205" s="25"/>
      <c r="F205" s="25"/>
      <c r="G205" s="25"/>
      <c r="H205" s="25"/>
      <c r="I205" s="25"/>
      <c r="J205" s="25"/>
      <c r="K205" s="25"/>
      <c r="L205" s="25"/>
    </row>
    <row r="206" spans="1:12" s="39" customFormat="1">
      <c r="A206" s="47"/>
      <c r="B206" s="25"/>
      <c r="C206" s="25"/>
      <c r="D206" s="25"/>
      <c r="E206" s="25"/>
      <c r="F206" s="25"/>
      <c r="G206" s="25"/>
      <c r="H206" s="25"/>
      <c r="I206" s="25"/>
      <c r="J206" s="25"/>
      <c r="K206" s="25"/>
      <c r="L206" s="25"/>
    </row>
    <row r="207" spans="1:12" s="39" customFormat="1">
      <c r="A207" s="47"/>
      <c r="B207" s="25"/>
      <c r="C207" s="25"/>
      <c r="D207" s="25"/>
      <c r="E207" s="25"/>
      <c r="F207" s="25"/>
      <c r="G207" s="25"/>
      <c r="H207" s="25"/>
      <c r="I207" s="25"/>
      <c r="J207" s="25"/>
      <c r="K207" s="25"/>
      <c r="L207" s="25"/>
    </row>
    <row r="208" spans="1:12" s="39" customFormat="1">
      <c r="A208" s="47"/>
      <c r="B208" s="25"/>
      <c r="C208" s="25"/>
      <c r="D208" s="25"/>
      <c r="E208" s="25"/>
      <c r="F208" s="25"/>
      <c r="G208" s="25"/>
      <c r="H208" s="25"/>
      <c r="I208" s="25"/>
      <c r="J208" s="25"/>
      <c r="K208" s="25"/>
      <c r="L208" s="25"/>
    </row>
    <row r="209" spans="1:12" s="39" customFormat="1">
      <c r="A209" s="47"/>
      <c r="B209" s="25"/>
      <c r="C209" s="25"/>
      <c r="D209" s="25"/>
      <c r="E209" s="25"/>
      <c r="F209" s="25"/>
      <c r="G209" s="25"/>
      <c r="H209" s="25"/>
      <c r="I209" s="25"/>
      <c r="J209" s="25"/>
      <c r="K209" s="25"/>
      <c r="L209" s="25"/>
    </row>
    <row r="210" spans="1:12" s="39" customFormat="1">
      <c r="A210" s="47"/>
      <c r="B210" s="25"/>
      <c r="C210" s="25"/>
      <c r="D210" s="25"/>
      <c r="E210" s="25"/>
      <c r="F210" s="25"/>
      <c r="G210" s="25"/>
      <c r="H210" s="25"/>
      <c r="I210" s="25"/>
      <c r="J210" s="25"/>
      <c r="K210" s="25"/>
      <c r="L210" s="25"/>
    </row>
    <row r="211" spans="1:12" s="39" customFormat="1">
      <c r="A211" s="47"/>
      <c r="B211" s="25"/>
      <c r="C211" s="25"/>
      <c r="D211" s="25"/>
      <c r="E211" s="25"/>
      <c r="F211" s="25"/>
      <c r="G211" s="25"/>
      <c r="H211" s="25"/>
      <c r="I211" s="25"/>
      <c r="J211" s="25"/>
      <c r="K211" s="25"/>
      <c r="L211" s="25"/>
    </row>
    <row r="212" spans="1:12" s="39" customFormat="1">
      <c r="A212" s="47"/>
      <c r="B212" s="25"/>
      <c r="C212" s="25"/>
      <c r="D212" s="25"/>
      <c r="E212" s="25"/>
      <c r="F212" s="25"/>
      <c r="G212" s="25"/>
      <c r="H212" s="25"/>
      <c r="I212" s="25"/>
      <c r="J212" s="25"/>
      <c r="K212" s="25"/>
      <c r="L212" s="25"/>
    </row>
    <row r="213" spans="1:12" s="39" customFormat="1">
      <c r="A213" s="47"/>
      <c r="B213" s="25"/>
      <c r="C213" s="25"/>
      <c r="D213" s="25"/>
      <c r="E213" s="25"/>
      <c r="F213" s="25"/>
      <c r="G213" s="25"/>
      <c r="H213" s="25"/>
      <c r="I213" s="25"/>
      <c r="J213" s="25"/>
      <c r="K213" s="25"/>
      <c r="L213" s="25"/>
    </row>
    <row r="214" spans="1:12" s="39" customFormat="1">
      <c r="A214" s="47"/>
      <c r="B214" s="25"/>
      <c r="C214" s="25"/>
      <c r="D214" s="25"/>
      <c r="E214" s="25"/>
      <c r="F214" s="25"/>
      <c r="G214" s="25"/>
      <c r="H214" s="25"/>
      <c r="I214" s="25"/>
      <c r="J214" s="25"/>
      <c r="K214" s="25"/>
      <c r="L214" s="25"/>
    </row>
    <row r="215" spans="1:12" s="39" customFormat="1">
      <c r="A215" s="47"/>
      <c r="B215" s="25"/>
      <c r="C215" s="25"/>
      <c r="D215" s="25"/>
      <c r="E215" s="25"/>
      <c r="F215" s="25"/>
      <c r="G215" s="25"/>
      <c r="H215" s="25"/>
      <c r="I215" s="25"/>
      <c r="J215" s="25"/>
      <c r="K215" s="25"/>
      <c r="L215" s="25"/>
    </row>
    <row r="216" spans="1:12" s="39" customFormat="1">
      <c r="A216" s="47"/>
      <c r="B216" s="25"/>
      <c r="C216" s="25"/>
      <c r="D216" s="25"/>
      <c r="E216" s="25"/>
      <c r="F216" s="25"/>
      <c r="G216" s="25"/>
      <c r="H216" s="25"/>
      <c r="I216" s="25"/>
      <c r="J216" s="25"/>
      <c r="K216" s="25"/>
      <c r="L216" s="25"/>
    </row>
    <row r="217" spans="1:12" s="39" customFormat="1">
      <c r="A217" s="47"/>
      <c r="B217" s="25"/>
      <c r="C217" s="25"/>
      <c r="D217" s="25"/>
      <c r="E217" s="25"/>
      <c r="F217" s="25"/>
      <c r="G217" s="25"/>
      <c r="H217" s="25"/>
      <c r="I217" s="25"/>
      <c r="J217" s="25"/>
      <c r="K217" s="25"/>
      <c r="L217" s="25"/>
    </row>
    <row r="218" spans="1:12" s="39" customFormat="1">
      <c r="A218" s="47"/>
      <c r="B218" s="25"/>
      <c r="C218" s="25"/>
      <c r="D218" s="25"/>
      <c r="E218" s="25"/>
      <c r="F218" s="25"/>
      <c r="G218" s="25"/>
      <c r="H218" s="25"/>
      <c r="I218" s="25"/>
      <c r="J218" s="25"/>
      <c r="K218" s="25"/>
      <c r="L218" s="25"/>
    </row>
    <row r="219" spans="1:12" s="39" customFormat="1">
      <c r="A219" s="47"/>
      <c r="B219" s="25"/>
      <c r="C219" s="25"/>
      <c r="D219" s="25"/>
      <c r="E219" s="25"/>
      <c r="F219" s="25"/>
      <c r="G219" s="25"/>
      <c r="H219" s="25"/>
      <c r="I219" s="25"/>
      <c r="J219" s="25"/>
      <c r="K219" s="25"/>
      <c r="L219" s="25"/>
    </row>
    <row r="220" spans="1:12" s="39" customFormat="1">
      <c r="A220" s="47"/>
      <c r="B220" s="25"/>
      <c r="C220" s="25"/>
      <c r="D220" s="25"/>
      <c r="E220" s="25"/>
      <c r="F220" s="25"/>
      <c r="G220" s="25"/>
      <c r="H220" s="25"/>
      <c r="I220" s="25"/>
      <c r="J220" s="25"/>
      <c r="K220" s="25"/>
      <c r="L220" s="25"/>
    </row>
    <row r="221" spans="1:12" s="39" customFormat="1">
      <c r="A221" s="47"/>
      <c r="B221" s="25"/>
      <c r="C221" s="25"/>
      <c r="D221" s="25"/>
      <c r="E221" s="25"/>
      <c r="F221" s="25"/>
      <c r="G221" s="25"/>
      <c r="H221" s="25"/>
      <c r="I221" s="25"/>
      <c r="J221" s="25"/>
      <c r="K221" s="25"/>
      <c r="L221" s="25"/>
    </row>
    <row r="222" spans="1:12" s="39" customFormat="1">
      <c r="A222" s="47"/>
      <c r="B222" s="25"/>
      <c r="C222" s="25"/>
      <c r="D222" s="25"/>
      <c r="E222" s="25"/>
      <c r="F222" s="25"/>
      <c r="G222" s="25"/>
      <c r="H222" s="25"/>
      <c r="I222" s="25"/>
      <c r="J222" s="25"/>
      <c r="K222" s="25"/>
      <c r="L222" s="25"/>
    </row>
    <row r="223" spans="1:12" s="39" customFormat="1">
      <c r="A223" s="47"/>
      <c r="B223" s="25"/>
      <c r="C223" s="25"/>
      <c r="D223" s="25"/>
      <c r="E223" s="25"/>
      <c r="F223" s="25"/>
      <c r="G223" s="25"/>
      <c r="H223" s="25"/>
      <c r="I223" s="25"/>
      <c r="J223" s="25"/>
      <c r="K223" s="25"/>
      <c r="L223" s="25"/>
    </row>
    <row r="224" spans="1:12" s="39" customFormat="1">
      <c r="A224" s="47"/>
      <c r="B224" s="25"/>
      <c r="C224" s="25"/>
      <c r="D224" s="25"/>
      <c r="E224" s="25"/>
      <c r="F224" s="25"/>
      <c r="G224" s="25"/>
      <c r="H224" s="25"/>
      <c r="I224" s="25"/>
      <c r="J224" s="25"/>
      <c r="K224" s="25"/>
      <c r="L224" s="25"/>
    </row>
    <row r="225" spans="1:12" s="39" customFormat="1">
      <c r="A225" s="47"/>
      <c r="B225" s="25"/>
      <c r="C225" s="25"/>
      <c r="D225" s="25"/>
      <c r="E225" s="25"/>
      <c r="F225" s="25"/>
      <c r="G225" s="25"/>
      <c r="H225" s="25"/>
      <c r="I225" s="25"/>
      <c r="J225" s="25"/>
      <c r="K225" s="25"/>
      <c r="L225" s="25"/>
    </row>
    <row r="226" spans="1:12" s="39" customFormat="1">
      <c r="A226" s="47"/>
      <c r="B226" s="25"/>
      <c r="C226" s="25"/>
      <c r="D226" s="25"/>
      <c r="E226" s="25"/>
      <c r="F226" s="25"/>
      <c r="G226" s="25"/>
      <c r="H226" s="25"/>
      <c r="I226" s="25"/>
      <c r="J226" s="25"/>
      <c r="K226" s="25"/>
      <c r="L226" s="25"/>
    </row>
    <row r="227" spans="1:12" s="39" customFormat="1">
      <c r="A227" s="47"/>
      <c r="B227" s="25"/>
      <c r="C227" s="25"/>
      <c r="D227" s="25"/>
      <c r="E227" s="25"/>
      <c r="F227" s="25"/>
      <c r="G227" s="25"/>
      <c r="H227" s="25"/>
      <c r="I227" s="25"/>
      <c r="J227" s="25"/>
      <c r="K227" s="25"/>
      <c r="L227" s="25"/>
    </row>
    <row r="228" spans="1:12" s="39" customFormat="1">
      <c r="A228" s="47"/>
      <c r="B228" s="25"/>
      <c r="C228" s="25"/>
      <c r="D228" s="25"/>
      <c r="E228" s="25"/>
      <c r="F228" s="25"/>
      <c r="G228" s="25"/>
      <c r="H228" s="25"/>
      <c r="I228" s="25"/>
      <c r="J228" s="25"/>
      <c r="K228" s="25"/>
      <c r="L228" s="25"/>
    </row>
    <row r="229" spans="1:12" s="39" customFormat="1">
      <c r="A229" s="47"/>
      <c r="B229" s="25"/>
      <c r="C229" s="25"/>
      <c r="D229" s="25"/>
      <c r="E229" s="25"/>
      <c r="F229" s="25"/>
      <c r="G229" s="25"/>
      <c r="H229" s="25"/>
      <c r="I229" s="25"/>
      <c r="J229" s="25"/>
      <c r="K229" s="25"/>
      <c r="L229" s="25"/>
    </row>
    <row r="230" spans="1:12" s="39" customFormat="1">
      <c r="A230" s="47"/>
      <c r="B230" s="25"/>
      <c r="C230" s="25"/>
      <c r="D230" s="25"/>
      <c r="E230" s="25"/>
      <c r="F230" s="25"/>
      <c r="G230" s="25"/>
      <c r="H230" s="25"/>
      <c r="I230" s="25"/>
      <c r="J230" s="25"/>
      <c r="K230" s="25"/>
      <c r="L230" s="25"/>
    </row>
    <row r="231" spans="1:12" s="39" customFormat="1">
      <c r="A231" s="47"/>
      <c r="B231" s="25"/>
      <c r="C231" s="25"/>
      <c r="D231" s="25"/>
      <c r="E231" s="25"/>
      <c r="F231" s="25"/>
      <c r="G231" s="25"/>
      <c r="H231" s="25"/>
      <c r="I231" s="25"/>
      <c r="J231" s="25"/>
      <c r="K231" s="25"/>
      <c r="L231" s="25"/>
    </row>
    <row r="232" spans="1:12" s="39" customFormat="1">
      <c r="A232" s="47"/>
      <c r="B232" s="25"/>
      <c r="C232" s="25"/>
      <c r="D232" s="25"/>
      <c r="E232" s="25"/>
      <c r="F232" s="25"/>
      <c r="G232" s="25"/>
      <c r="H232" s="25"/>
      <c r="I232" s="25"/>
      <c r="J232" s="25"/>
      <c r="K232" s="25"/>
      <c r="L232" s="25"/>
    </row>
    <row r="233" spans="1:12" s="39" customFormat="1">
      <c r="A233" s="47"/>
      <c r="B233" s="25"/>
      <c r="C233" s="25"/>
      <c r="D233" s="25"/>
      <c r="E233" s="25"/>
      <c r="F233" s="25"/>
      <c r="G233" s="25"/>
      <c r="H233" s="25"/>
      <c r="I233" s="25"/>
      <c r="J233" s="25"/>
      <c r="K233" s="25"/>
      <c r="L233" s="25"/>
    </row>
    <row r="234" spans="1:12" s="39" customFormat="1">
      <c r="A234" s="47"/>
      <c r="B234" s="25"/>
      <c r="C234" s="25"/>
      <c r="D234" s="25"/>
      <c r="E234" s="25"/>
      <c r="F234" s="25"/>
      <c r="G234" s="25"/>
      <c r="H234" s="25"/>
      <c r="I234" s="25"/>
      <c r="J234" s="25"/>
      <c r="K234" s="25"/>
      <c r="L234" s="25"/>
    </row>
    <row r="235" spans="1:12" s="39" customFormat="1">
      <c r="A235" s="47"/>
      <c r="B235" s="25"/>
      <c r="C235" s="25"/>
      <c r="D235" s="25"/>
      <c r="E235" s="25"/>
      <c r="F235" s="25"/>
      <c r="G235" s="25"/>
      <c r="H235" s="25"/>
      <c r="I235" s="25"/>
      <c r="J235" s="25"/>
      <c r="K235" s="25"/>
      <c r="L235" s="25"/>
    </row>
    <row r="236" spans="1:12" s="39" customFormat="1">
      <c r="A236" s="47"/>
      <c r="B236" s="25"/>
      <c r="C236" s="25"/>
      <c r="D236" s="25"/>
      <c r="E236" s="25"/>
      <c r="F236" s="25"/>
      <c r="G236" s="25"/>
      <c r="H236" s="25"/>
      <c r="I236" s="25"/>
      <c r="J236" s="25"/>
      <c r="K236" s="25"/>
      <c r="L236" s="25"/>
    </row>
    <row r="237" spans="1:12" s="39" customFormat="1">
      <c r="A237" s="47"/>
      <c r="B237" s="25"/>
      <c r="C237" s="25"/>
      <c r="D237" s="25"/>
      <c r="E237" s="25"/>
      <c r="F237" s="25"/>
      <c r="G237" s="25"/>
      <c r="H237" s="25"/>
      <c r="I237" s="25"/>
      <c r="J237" s="25"/>
      <c r="K237" s="25"/>
      <c r="L237" s="25"/>
    </row>
    <row r="238" spans="1:12" s="39" customFormat="1">
      <c r="A238" s="47"/>
      <c r="B238" s="25"/>
      <c r="C238" s="25"/>
      <c r="D238" s="25"/>
      <c r="E238" s="25"/>
      <c r="F238" s="25"/>
      <c r="G238" s="25"/>
      <c r="H238" s="25"/>
      <c r="I238" s="25"/>
      <c r="J238" s="25"/>
      <c r="K238" s="25"/>
      <c r="L238" s="25"/>
    </row>
    <row r="239" spans="1:12" s="39" customFormat="1">
      <c r="A239" s="47"/>
      <c r="B239" s="25"/>
      <c r="C239" s="25"/>
      <c r="D239" s="25"/>
      <c r="E239" s="25"/>
      <c r="F239" s="25"/>
      <c r="G239" s="25"/>
      <c r="H239" s="25"/>
      <c r="I239" s="25"/>
      <c r="J239" s="25"/>
      <c r="K239" s="25"/>
      <c r="L239" s="25"/>
    </row>
    <row r="240" spans="1:12" s="39" customFormat="1">
      <c r="A240" s="47"/>
      <c r="B240" s="25"/>
      <c r="C240" s="25"/>
      <c r="D240" s="25"/>
      <c r="E240" s="25"/>
      <c r="F240" s="25"/>
      <c r="G240" s="25"/>
      <c r="H240" s="25"/>
      <c r="I240" s="25"/>
      <c r="J240" s="25"/>
      <c r="K240" s="25"/>
      <c r="L240" s="25"/>
    </row>
    <row r="241" spans="1:12" s="39" customFormat="1">
      <c r="A241" s="47"/>
      <c r="B241" s="25"/>
      <c r="C241" s="25"/>
      <c r="D241" s="25"/>
      <c r="E241" s="25"/>
      <c r="F241" s="25"/>
      <c r="G241" s="25"/>
      <c r="H241" s="25"/>
      <c r="I241" s="25"/>
      <c r="J241" s="25"/>
      <c r="K241" s="25"/>
      <c r="L241" s="25"/>
    </row>
    <row r="242" spans="1:12" s="39" customFormat="1">
      <c r="A242" s="47"/>
      <c r="B242" s="25"/>
      <c r="C242" s="25"/>
      <c r="D242" s="25"/>
      <c r="E242" s="25"/>
      <c r="F242" s="25"/>
      <c r="G242" s="25"/>
      <c r="H242" s="25"/>
      <c r="I242" s="25"/>
      <c r="J242" s="25"/>
      <c r="K242" s="25"/>
      <c r="L242" s="25"/>
    </row>
    <row r="243" spans="1:12" s="39" customFormat="1">
      <c r="A243" s="47"/>
      <c r="B243" s="25"/>
      <c r="C243" s="25"/>
      <c r="D243" s="25"/>
      <c r="E243" s="25"/>
      <c r="F243" s="25"/>
      <c r="G243" s="25"/>
      <c r="H243" s="25"/>
      <c r="I243" s="25"/>
      <c r="J243" s="25"/>
      <c r="K243" s="25"/>
      <c r="L243" s="25"/>
    </row>
    <row r="244" spans="1:12" s="39" customFormat="1">
      <c r="A244" s="47"/>
      <c r="B244" s="25"/>
      <c r="C244" s="25"/>
      <c r="D244" s="25"/>
      <c r="E244" s="25"/>
      <c r="F244" s="25"/>
      <c r="G244" s="25"/>
      <c r="H244" s="25"/>
      <c r="I244" s="25"/>
      <c r="J244" s="25"/>
      <c r="K244" s="25"/>
      <c r="L244" s="25"/>
    </row>
    <row r="245" spans="1:12" s="39" customFormat="1">
      <c r="A245" s="47"/>
      <c r="B245" s="25"/>
      <c r="C245" s="25"/>
      <c r="D245" s="25"/>
      <c r="E245" s="25"/>
      <c r="F245" s="25"/>
      <c r="G245" s="25"/>
      <c r="H245" s="25"/>
      <c r="I245" s="25"/>
      <c r="J245" s="25"/>
      <c r="K245" s="25"/>
      <c r="L245" s="25"/>
    </row>
    <row r="246" spans="1:12" s="39" customFormat="1">
      <c r="A246" s="47"/>
      <c r="B246" s="25"/>
      <c r="C246" s="25"/>
      <c r="D246" s="25"/>
      <c r="E246" s="25"/>
      <c r="F246" s="25"/>
      <c r="G246" s="25"/>
      <c r="H246" s="25"/>
      <c r="I246" s="25"/>
      <c r="J246" s="25"/>
      <c r="K246" s="25"/>
      <c r="L246" s="25"/>
    </row>
    <row r="247" spans="1:12" s="39" customFormat="1">
      <c r="A247" s="47"/>
      <c r="B247" s="25"/>
      <c r="C247" s="25"/>
      <c r="D247" s="25"/>
      <c r="E247" s="25"/>
      <c r="F247" s="25"/>
      <c r="G247" s="25"/>
      <c r="H247" s="25"/>
      <c r="I247" s="25"/>
      <c r="J247" s="25"/>
      <c r="K247" s="25"/>
      <c r="L247" s="25"/>
    </row>
    <row r="248" spans="1:12" s="39" customFormat="1">
      <c r="A248" s="47"/>
      <c r="B248" s="25"/>
      <c r="C248" s="25"/>
      <c r="D248" s="25"/>
      <c r="E248" s="25"/>
      <c r="F248" s="25"/>
      <c r="G248" s="25"/>
      <c r="H248" s="25"/>
      <c r="I248" s="25"/>
      <c r="J248" s="25"/>
      <c r="K248" s="25"/>
      <c r="L248" s="25"/>
    </row>
    <row r="249" spans="1:12" s="39" customFormat="1">
      <c r="A249" s="47"/>
      <c r="B249" s="25"/>
      <c r="C249" s="25"/>
      <c r="D249" s="25"/>
      <c r="E249" s="25"/>
      <c r="F249" s="25"/>
      <c r="G249" s="25"/>
      <c r="H249" s="25"/>
      <c r="I249" s="25"/>
      <c r="J249" s="25"/>
      <c r="K249" s="25"/>
      <c r="L249" s="25"/>
    </row>
    <row r="250" spans="1:12" s="39" customFormat="1">
      <c r="A250" s="47"/>
      <c r="B250" s="25"/>
      <c r="C250" s="25"/>
      <c r="D250" s="25"/>
      <c r="E250" s="25"/>
      <c r="F250" s="25"/>
      <c r="G250" s="25"/>
      <c r="H250" s="25"/>
      <c r="I250" s="25"/>
      <c r="J250" s="25"/>
      <c r="K250" s="25"/>
      <c r="L250" s="25"/>
    </row>
    <row r="251" spans="1:12" s="39" customFormat="1">
      <c r="A251" s="47"/>
      <c r="B251" s="25"/>
      <c r="C251" s="25"/>
      <c r="D251" s="25"/>
      <c r="E251" s="25"/>
      <c r="F251" s="25"/>
      <c r="G251" s="25"/>
      <c r="H251" s="25"/>
      <c r="I251" s="25"/>
      <c r="J251" s="25"/>
      <c r="K251" s="25"/>
      <c r="L251" s="25"/>
    </row>
    <row r="252" spans="1:12" s="39" customFormat="1">
      <c r="A252" s="47"/>
      <c r="B252" s="25"/>
      <c r="C252" s="25"/>
      <c r="D252" s="25"/>
      <c r="E252" s="25"/>
      <c r="F252" s="25"/>
      <c r="G252" s="25"/>
      <c r="H252" s="25"/>
      <c r="I252" s="25"/>
      <c r="J252" s="25"/>
      <c r="K252" s="25"/>
      <c r="L252" s="25"/>
    </row>
    <row r="253" spans="1:12" s="39" customFormat="1">
      <c r="A253" s="47"/>
      <c r="B253" s="25"/>
      <c r="C253" s="25"/>
      <c r="D253" s="25"/>
      <c r="E253" s="25"/>
      <c r="F253" s="25"/>
      <c r="G253" s="25"/>
      <c r="H253" s="25"/>
      <c r="I253" s="25"/>
      <c r="J253" s="25"/>
      <c r="K253" s="25"/>
      <c r="L253" s="25"/>
    </row>
    <row r="254" spans="1:12" s="39" customFormat="1">
      <c r="A254" s="47"/>
      <c r="B254" s="25"/>
      <c r="C254" s="25"/>
      <c r="D254" s="25"/>
      <c r="E254" s="25"/>
      <c r="F254" s="25"/>
      <c r="G254" s="25"/>
      <c r="H254" s="25"/>
      <c r="I254" s="25"/>
      <c r="J254" s="25"/>
      <c r="K254" s="25"/>
      <c r="L254" s="25"/>
    </row>
    <row r="255" spans="1:12" s="39" customFormat="1">
      <c r="A255" s="47"/>
      <c r="B255" s="25"/>
      <c r="C255" s="25"/>
      <c r="D255" s="25"/>
      <c r="E255" s="25"/>
      <c r="F255" s="25"/>
      <c r="G255" s="25"/>
      <c r="H255" s="25"/>
      <c r="I255" s="25"/>
      <c r="J255" s="25"/>
      <c r="K255" s="25"/>
      <c r="L255" s="25"/>
    </row>
    <row r="256" spans="1:12" s="39" customFormat="1">
      <c r="A256" s="47"/>
      <c r="B256" s="25"/>
      <c r="C256" s="25"/>
      <c r="D256" s="25"/>
      <c r="E256" s="25"/>
      <c r="F256" s="25"/>
      <c r="G256" s="25"/>
      <c r="H256" s="25"/>
      <c r="I256" s="25"/>
      <c r="J256" s="25"/>
      <c r="K256" s="25"/>
      <c r="L256" s="25"/>
    </row>
    <row r="257" spans="1:12" s="39" customFormat="1">
      <c r="A257" s="47"/>
      <c r="B257" s="25"/>
      <c r="C257" s="25"/>
      <c r="D257" s="25"/>
      <c r="E257" s="25"/>
      <c r="F257" s="25"/>
      <c r="G257" s="25"/>
      <c r="H257" s="25"/>
      <c r="I257" s="25"/>
      <c r="J257" s="25"/>
      <c r="K257" s="25"/>
      <c r="L257" s="25"/>
    </row>
    <row r="258" spans="1:12" s="39" customFormat="1">
      <c r="A258" s="47"/>
      <c r="B258" s="25"/>
      <c r="C258" s="25"/>
      <c r="D258" s="25"/>
      <c r="E258" s="25"/>
      <c r="F258" s="25"/>
      <c r="G258" s="25"/>
      <c r="H258" s="25"/>
      <c r="I258" s="25"/>
      <c r="J258" s="25"/>
      <c r="K258" s="25"/>
      <c r="L258" s="25"/>
    </row>
    <row r="259" spans="1:12" s="39" customFormat="1">
      <c r="A259" s="47"/>
      <c r="B259" s="25"/>
      <c r="C259" s="25"/>
      <c r="D259" s="25"/>
      <c r="E259" s="25"/>
      <c r="F259" s="25"/>
      <c r="G259" s="25"/>
      <c r="H259" s="25"/>
      <c r="I259" s="25"/>
      <c r="J259" s="25"/>
      <c r="K259" s="25"/>
      <c r="L259" s="25"/>
    </row>
    <row r="260" spans="1:12" s="39" customFormat="1">
      <c r="A260" s="47"/>
      <c r="B260" s="25"/>
      <c r="C260" s="25"/>
      <c r="D260" s="25"/>
      <c r="E260" s="25"/>
      <c r="F260" s="25"/>
      <c r="G260" s="25"/>
      <c r="H260" s="25"/>
      <c r="I260" s="25"/>
      <c r="J260" s="25"/>
      <c r="K260" s="25"/>
      <c r="L260" s="25"/>
    </row>
    <row r="261" spans="1:12" s="39" customFormat="1">
      <c r="A261" s="47"/>
      <c r="B261" s="25"/>
      <c r="C261" s="25"/>
      <c r="D261" s="25"/>
      <c r="E261" s="25"/>
      <c r="F261" s="25"/>
      <c r="G261" s="25"/>
      <c r="H261" s="25"/>
      <c r="I261" s="25"/>
      <c r="J261" s="25"/>
      <c r="K261" s="25"/>
      <c r="L261" s="25"/>
    </row>
    <row r="262" spans="1:12" s="39" customFormat="1">
      <c r="A262" s="47"/>
      <c r="B262" s="25"/>
      <c r="C262" s="25"/>
      <c r="D262" s="25"/>
      <c r="E262" s="25"/>
      <c r="F262" s="25"/>
      <c r="G262" s="25"/>
      <c r="H262" s="25"/>
      <c r="I262" s="25"/>
      <c r="J262" s="25"/>
      <c r="K262" s="25"/>
      <c r="L262" s="25"/>
    </row>
    <row r="263" spans="1:12" s="39" customFormat="1">
      <c r="A263" s="47"/>
      <c r="B263" s="25"/>
      <c r="C263" s="25"/>
      <c r="D263" s="25"/>
      <c r="E263" s="25"/>
      <c r="F263" s="25"/>
      <c r="G263" s="25"/>
      <c r="H263" s="25"/>
      <c r="I263" s="25"/>
      <c r="J263" s="25"/>
      <c r="K263" s="25"/>
      <c r="L263" s="25"/>
    </row>
    <row r="264" spans="1:12" s="39" customFormat="1">
      <c r="A264" s="47"/>
      <c r="B264" s="25"/>
      <c r="C264" s="25"/>
      <c r="D264" s="25"/>
      <c r="E264" s="25"/>
      <c r="F264" s="25"/>
      <c r="G264" s="25"/>
      <c r="H264" s="25"/>
      <c r="I264" s="25"/>
      <c r="J264" s="25"/>
      <c r="K264" s="25"/>
      <c r="L264" s="25"/>
    </row>
    <row r="265" spans="1:12" s="39" customFormat="1">
      <c r="A265" s="47"/>
      <c r="B265" s="25"/>
      <c r="C265" s="25"/>
      <c r="D265" s="25"/>
      <c r="E265" s="25"/>
      <c r="F265" s="25"/>
      <c r="G265" s="25"/>
      <c r="H265" s="25"/>
      <c r="I265" s="25"/>
      <c r="J265" s="25"/>
      <c r="K265" s="25"/>
      <c r="L265" s="25"/>
    </row>
    <row r="266" spans="1:12" s="39" customFormat="1">
      <c r="A266" s="47"/>
      <c r="B266" s="25"/>
      <c r="C266" s="25"/>
      <c r="D266" s="25"/>
      <c r="E266" s="25"/>
      <c r="F266" s="25"/>
      <c r="G266" s="25"/>
      <c r="H266" s="25"/>
      <c r="I266" s="25"/>
      <c r="J266" s="25"/>
      <c r="K266" s="25"/>
      <c r="L266" s="25"/>
    </row>
    <row r="267" spans="1:12" s="39" customFormat="1">
      <c r="A267" s="47"/>
      <c r="B267" s="25"/>
      <c r="C267" s="25"/>
      <c r="D267" s="25"/>
      <c r="E267" s="25"/>
      <c r="F267" s="25"/>
      <c r="G267" s="25"/>
      <c r="H267" s="25"/>
      <c r="I267" s="25"/>
      <c r="J267" s="25"/>
      <c r="K267" s="25"/>
      <c r="L267" s="25"/>
    </row>
    <row r="268" spans="1:12" s="39" customFormat="1">
      <c r="A268" s="47"/>
      <c r="B268" s="25"/>
      <c r="C268" s="25"/>
      <c r="D268" s="25"/>
      <c r="E268" s="25"/>
      <c r="F268" s="25"/>
      <c r="G268" s="25"/>
      <c r="H268" s="25"/>
      <c r="I268" s="25"/>
      <c r="J268" s="25"/>
      <c r="K268" s="25"/>
      <c r="L268" s="25"/>
    </row>
    <row r="269" spans="1:12" s="39" customFormat="1">
      <c r="A269" s="47"/>
      <c r="B269" s="25"/>
      <c r="C269" s="25"/>
      <c r="D269" s="25"/>
      <c r="E269" s="25"/>
      <c r="F269" s="25"/>
      <c r="G269" s="25"/>
      <c r="H269" s="25"/>
      <c r="I269" s="25"/>
      <c r="J269" s="25"/>
      <c r="K269" s="25"/>
      <c r="L269" s="25"/>
    </row>
    <row r="270" spans="1:12" s="39" customFormat="1">
      <c r="A270" s="47"/>
      <c r="B270" s="25"/>
      <c r="C270" s="25"/>
      <c r="D270" s="25"/>
      <c r="E270" s="25"/>
      <c r="F270" s="25"/>
      <c r="G270" s="25"/>
      <c r="H270" s="25"/>
      <c r="I270" s="25"/>
      <c r="J270" s="25"/>
      <c r="K270" s="25"/>
      <c r="L270" s="25"/>
    </row>
    <row r="271" spans="1:12" s="39" customFormat="1">
      <c r="A271" s="47"/>
      <c r="B271" s="25"/>
      <c r="C271" s="25"/>
      <c r="D271" s="25"/>
      <c r="E271" s="25"/>
      <c r="F271" s="25"/>
      <c r="G271" s="25"/>
      <c r="H271" s="25"/>
      <c r="I271" s="25"/>
      <c r="J271" s="25"/>
      <c r="K271" s="25"/>
      <c r="L271" s="25"/>
    </row>
    <row r="272" spans="1:12" s="39" customFormat="1">
      <c r="A272" s="47"/>
      <c r="B272" s="25"/>
      <c r="C272" s="25"/>
      <c r="D272" s="25"/>
      <c r="E272" s="25"/>
      <c r="F272" s="25"/>
      <c r="G272" s="25"/>
      <c r="H272" s="25"/>
      <c r="I272" s="25"/>
      <c r="J272" s="25"/>
      <c r="K272" s="25"/>
      <c r="L272" s="25"/>
    </row>
    <row r="273" spans="1:12" s="39" customFormat="1">
      <c r="A273" s="47"/>
      <c r="B273" s="25"/>
      <c r="C273" s="25"/>
      <c r="D273" s="25"/>
      <c r="E273" s="25"/>
      <c r="F273" s="25"/>
      <c r="G273" s="25"/>
      <c r="H273" s="25"/>
      <c r="I273" s="25"/>
      <c r="J273" s="25"/>
      <c r="K273" s="25"/>
      <c r="L273" s="25"/>
    </row>
    <row r="274" spans="1:12" s="39" customFormat="1">
      <c r="A274" s="47"/>
      <c r="B274" s="25"/>
      <c r="C274" s="25"/>
      <c r="D274" s="25"/>
      <c r="E274" s="25"/>
      <c r="F274" s="25"/>
      <c r="G274" s="25"/>
      <c r="H274" s="25"/>
      <c r="I274" s="25"/>
      <c r="J274" s="25"/>
      <c r="K274" s="25"/>
      <c r="L274" s="25"/>
    </row>
    <row r="275" spans="1:12" s="39" customFormat="1">
      <c r="A275" s="47"/>
      <c r="B275" s="25"/>
      <c r="C275" s="25"/>
      <c r="D275" s="25"/>
      <c r="E275" s="25"/>
      <c r="F275" s="25"/>
      <c r="G275" s="25"/>
      <c r="H275" s="25"/>
      <c r="I275" s="25"/>
      <c r="J275" s="25"/>
      <c r="K275" s="25"/>
      <c r="L275" s="25"/>
    </row>
    <row r="276" spans="1:12" s="39" customFormat="1">
      <c r="A276" s="47"/>
      <c r="B276" s="25"/>
      <c r="C276" s="25"/>
      <c r="D276" s="25"/>
      <c r="E276" s="25"/>
      <c r="F276" s="25"/>
      <c r="G276" s="25"/>
      <c r="H276" s="25"/>
      <c r="I276" s="25"/>
      <c r="J276" s="25"/>
      <c r="K276" s="25"/>
      <c r="L276" s="25"/>
    </row>
    <row r="277" spans="1:12" s="39" customFormat="1">
      <c r="A277" s="47"/>
      <c r="B277" s="25"/>
      <c r="C277" s="25"/>
      <c r="D277" s="25"/>
      <c r="E277" s="25"/>
      <c r="F277" s="25"/>
      <c r="G277" s="25"/>
      <c r="H277" s="25"/>
      <c r="I277" s="25"/>
      <c r="J277" s="25"/>
      <c r="K277" s="25"/>
      <c r="L277" s="25"/>
    </row>
    <row r="278" spans="1:12" s="39" customFormat="1">
      <c r="A278" s="47"/>
      <c r="B278" s="25"/>
      <c r="C278" s="25"/>
      <c r="D278" s="25"/>
      <c r="E278" s="25"/>
      <c r="F278" s="25"/>
      <c r="G278" s="25"/>
      <c r="H278" s="25"/>
      <c r="I278" s="25"/>
      <c r="J278" s="25"/>
      <c r="K278" s="25"/>
      <c r="L278" s="25"/>
    </row>
    <row r="279" spans="1:12" s="39" customFormat="1">
      <c r="A279" s="47"/>
      <c r="B279" s="25"/>
      <c r="C279" s="25"/>
      <c r="D279" s="25"/>
      <c r="E279" s="25"/>
      <c r="F279" s="25"/>
      <c r="G279" s="25"/>
      <c r="H279" s="25"/>
      <c r="I279" s="25"/>
      <c r="J279" s="25"/>
      <c r="K279" s="25"/>
      <c r="L279" s="25"/>
    </row>
    <row r="280" spans="1:12" s="39" customFormat="1">
      <c r="A280" s="47"/>
      <c r="B280" s="25"/>
      <c r="C280" s="25"/>
      <c r="D280" s="25"/>
      <c r="E280" s="25"/>
      <c r="F280" s="25"/>
      <c r="G280" s="25"/>
      <c r="H280" s="25"/>
      <c r="I280" s="25"/>
      <c r="J280" s="25"/>
      <c r="K280" s="25"/>
      <c r="L280" s="25"/>
    </row>
    <row r="281" spans="1:12" s="39" customFormat="1">
      <c r="A281" s="47"/>
      <c r="B281" s="25"/>
      <c r="C281" s="25"/>
      <c r="D281" s="25"/>
      <c r="E281" s="25"/>
      <c r="F281" s="25"/>
      <c r="G281" s="25"/>
      <c r="H281" s="25"/>
      <c r="I281" s="25"/>
      <c r="J281" s="25"/>
      <c r="K281" s="25"/>
      <c r="L281" s="25"/>
    </row>
    <row r="282" spans="1:12" s="39" customFormat="1">
      <c r="A282" s="47"/>
      <c r="B282" s="25"/>
      <c r="C282" s="25"/>
      <c r="D282" s="25"/>
      <c r="E282" s="25"/>
      <c r="F282" s="25"/>
      <c r="G282" s="25"/>
      <c r="H282" s="25"/>
      <c r="I282" s="25"/>
      <c r="J282" s="25"/>
      <c r="K282" s="25"/>
      <c r="L282" s="25"/>
    </row>
    <row r="283" spans="1:12" s="39" customFormat="1">
      <c r="A283" s="47"/>
      <c r="B283" s="25"/>
      <c r="C283" s="25"/>
      <c r="D283" s="25"/>
      <c r="E283" s="25"/>
      <c r="F283" s="25"/>
      <c r="G283" s="25"/>
      <c r="H283" s="25"/>
      <c r="I283" s="25"/>
      <c r="J283" s="25"/>
      <c r="K283" s="25"/>
      <c r="L283" s="25"/>
    </row>
    <row r="284" spans="1:12" s="39" customFormat="1">
      <c r="A284" s="47"/>
      <c r="B284" s="25"/>
      <c r="C284" s="25"/>
      <c r="D284" s="25"/>
      <c r="E284" s="25"/>
      <c r="F284" s="25"/>
      <c r="G284" s="25"/>
      <c r="H284" s="25"/>
      <c r="I284" s="25"/>
      <c r="J284" s="25"/>
      <c r="K284" s="25"/>
      <c r="L284" s="25"/>
    </row>
    <row r="285" spans="1:12" s="39" customFormat="1">
      <c r="A285" s="47"/>
      <c r="B285" s="25"/>
      <c r="C285" s="25"/>
      <c r="D285" s="25"/>
      <c r="E285" s="25"/>
      <c r="F285" s="25"/>
      <c r="G285" s="25"/>
      <c r="H285" s="25"/>
      <c r="I285" s="25"/>
      <c r="J285" s="25"/>
      <c r="K285" s="25"/>
      <c r="L285" s="25"/>
    </row>
    <row r="286" spans="1:12" s="39" customFormat="1">
      <c r="A286" s="47"/>
      <c r="B286" s="25"/>
      <c r="C286" s="25"/>
      <c r="D286" s="25"/>
      <c r="E286" s="25"/>
      <c r="F286" s="25"/>
      <c r="G286" s="25"/>
      <c r="H286" s="25"/>
      <c r="I286" s="25"/>
      <c r="J286" s="25"/>
      <c r="K286" s="25"/>
      <c r="L286" s="25"/>
    </row>
    <row r="287" spans="1:12" s="39" customFormat="1">
      <c r="A287" s="47"/>
      <c r="B287" s="25"/>
      <c r="C287" s="25"/>
      <c r="D287" s="25"/>
      <c r="E287" s="25"/>
      <c r="F287" s="25"/>
      <c r="G287" s="25"/>
      <c r="H287" s="25"/>
      <c r="I287" s="25"/>
      <c r="J287" s="25"/>
      <c r="K287" s="25"/>
      <c r="L287" s="25"/>
    </row>
    <row r="288" spans="1:12" s="39" customFormat="1">
      <c r="A288" s="47"/>
      <c r="B288" s="25"/>
      <c r="C288" s="25"/>
      <c r="D288" s="25"/>
      <c r="E288" s="25"/>
      <c r="F288" s="25"/>
      <c r="G288" s="25"/>
      <c r="H288" s="25"/>
      <c r="I288" s="25"/>
      <c r="J288" s="25"/>
      <c r="K288" s="25"/>
      <c r="L288" s="25"/>
    </row>
    <row r="289" spans="1:12" s="39" customFormat="1">
      <c r="A289" s="47"/>
      <c r="B289" s="25"/>
      <c r="C289" s="25"/>
      <c r="D289" s="25"/>
      <c r="E289" s="25"/>
      <c r="F289" s="25"/>
      <c r="G289" s="25"/>
      <c r="H289" s="25"/>
      <c r="I289" s="25"/>
      <c r="J289" s="25"/>
      <c r="K289" s="25"/>
      <c r="L289" s="25"/>
    </row>
    <row r="290" spans="1:12" s="39" customFormat="1">
      <c r="A290" s="47"/>
      <c r="B290" s="25"/>
      <c r="C290" s="25"/>
      <c r="D290" s="25"/>
      <c r="E290" s="25"/>
      <c r="F290" s="25"/>
      <c r="G290" s="25"/>
      <c r="H290" s="25"/>
      <c r="I290" s="25"/>
      <c r="J290" s="25"/>
      <c r="K290" s="25"/>
      <c r="L290" s="25"/>
    </row>
    <row r="291" spans="1:12" s="39" customFormat="1">
      <c r="A291" s="47"/>
      <c r="B291" s="25"/>
      <c r="C291" s="25"/>
      <c r="D291" s="25"/>
      <c r="E291" s="25"/>
      <c r="F291" s="25"/>
      <c r="G291" s="25"/>
      <c r="H291" s="25"/>
      <c r="I291" s="25"/>
      <c r="J291" s="25"/>
      <c r="K291" s="25"/>
      <c r="L291" s="25"/>
    </row>
    <row r="292" spans="1:12" s="39" customFormat="1">
      <c r="A292" s="47"/>
      <c r="B292" s="25"/>
      <c r="C292" s="25"/>
      <c r="D292" s="25"/>
      <c r="E292" s="25"/>
      <c r="F292" s="25"/>
      <c r="G292" s="25"/>
      <c r="H292" s="25"/>
      <c r="I292" s="25"/>
      <c r="J292" s="25"/>
      <c r="K292" s="25"/>
      <c r="L292" s="25"/>
    </row>
    <row r="293" spans="1:12" s="39" customFormat="1">
      <c r="A293" s="47"/>
      <c r="B293" s="25"/>
      <c r="C293" s="25"/>
      <c r="D293" s="25"/>
      <c r="E293" s="25"/>
      <c r="F293" s="25"/>
      <c r="G293" s="25"/>
      <c r="H293" s="25"/>
      <c r="I293" s="25"/>
      <c r="J293" s="25"/>
      <c r="K293" s="25"/>
      <c r="L293" s="25"/>
    </row>
    <row r="294" spans="1:12" s="39" customFormat="1">
      <c r="A294" s="47"/>
      <c r="B294" s="25"/>
      <c r="C294" s="25"/>
      <c r="D294" s="25"/>
      <c r="E294" s="25"/>
      <c r="F294" s="25"/>
      <c r="G294" s="25"/>
      <c r="H294" s="25"/>
      <c r="I294" s="25"/>
      <c r="J294" s="25"/>
      <c r="K294" s="25"/>
      <c r="L294" s="25"/>
    </row>
    <row r="295" spans="1:12" s="39" customFormat="1">
      <c r="A295" s="47"/>
      <c r="B295" s="25"/>
      <c r="C295" s="25"/>
      <c r="D295" s="25"/>
      <c r="E295" s="25"/>
      <c r="F295" s="25"/>
      <c r="G295" s="25"/>
      <c r="H295" s="25"/>
      <c r="I295" s="25"/>
      <c r="J295" s="25"/>
      <c r="K295" s="25"/>
      <c r="L295" s="25"/>
    </row>
    <row r="296" spans="1:12" s="39" customFormat="1">
      <c r="A296" s="47"/>
      <c r="B296" s="25"/>
      <c r="C296" s="25"/>
      <c r="D296" s="25"/>
      <c r="E296" s="25"/>
      <c r="F296" s="25"/>
      <c r="G296" s="25"/>
      <c r="H296" s="25"/>
      <c r="I296" s="25"/>
      <c r="J296" s="25"/>
      <c r="K296" s="25"/>
      <c r="L296" s="25"/>
    </row>
    <row r="297" spans="1:12" s="39" customFormat="1">
      <c r="A297" s="47"/>
      <c r="B297" s="25"/>
      <c r="C297" s="25"/>
      <c r="D297" s="25"/>
      <c r="E297" s="25"/>
      <c r="F297" s="25"/>
      <c r="G297" s="25"/>
      <c r="H297" s="25"/>
      <c r="I297" s="25"/>
      <c r="J297" s="25"/>
      <c r="K297" s="25"/>
      <c r="L297" s="25"/>
    </row>
    <row r="298" spans="1:12" s="39" customFormat="1">
      <c r="A298" s="47"/>
      <c r="B298" s="25"/>
      <c r="C298" s="25"/>
      <c r="D298" s="25"/>
      <c r="E298" s="25"/>
      <c r="F298" s="25"/>
      <c r="G298" s="25"/>
      <c r="H298" s="25"/>
      <c r="I298" s="25"/>
      <c r="J298" s="25"/>
      <c r="K298" s="25"/>
      <c r="L298" s="25"/>
    </row>
    <row r="299" spans="1:12" s="39" customFormat="1">
      <c r="A299" s="47"/>
      <c r="B299" s="25"/>
      <c r="C299" s="25"/>
      <c r="D299" s="25"/>
      <c r="E299" s="25"/>
      <c r="F299" s="25"/>
      <c r="G299" s="25"/>
      <c r="H299" s="25"/>
      <c r="I299" s="25"/>
      <c r="J299" s="25"/>
      <c r="K299" s="25"/>
      <c r="L299" s="25"/>
    </row>
    <row r="300" spans="1:12" s="39" customFormat="1">
      <c r="A300" s="47"/>
      <c r="B300" s="25"/>
      <c r="C300" s="25"/>
      <c r="D300" s="25"/>
      <c r="E300" s="25"/>
      <c r="F300" s="25"/>
      <c r="G300" s="25"/>
      <c r="H300" s="25"/>
      <c r="I300" s="25"/>
      <c r="J300" s="25"/>
      <c r="K300" s="25"/>
      <c r="L300" s="25"/>
    </row>
    <row r="301" spans="1:12" s="39" customFormat="1">
      <c r="A301" s="47"/>
      <c r="B301" s="25"/>
      <c r="C301" s="25"/>
      <c r="D301" s="25"/>
      <c r="E301" s="25"/>
      <c r="F301" s="25"/>
      <c r="G301" s="25"/>
      <c r="H301" s="25"/>
      <c r="I301" s="25"/>
      <c r="J301" s="25"/>
      <c r="K301" s="25"/>
      <c r="L301" s="25"/>
    </row>
    <row r="302" spans="1:12" s="39" customFormat="1">
      <c r="A302" s="47"/>
      <c r="B302" s="25"/>
      <c r="C302" s="25"/>
      <c r="D302" s="25"/>
      <c r="E302" s="25"/>
      <c r="F302" s="25"/>
      <c r="G302" s="25"/>
      <c r="H302" s="25"/>
      <c r="I302" s="25"/>
      <c r="J302" s="25"/>
      <c r="K302" s="25"/>
      <c r="L302" s="25"/>
    </row>
    <row r="303" spans="1:12" s="39" customFormat="1">
      <c r="A303" s="47"/>
      <c r="B303" s="25"/>
      <c r="C303" s="25"/>
      <c r="D303" s="25"/>
      <c r="E303" s="25"/>
      <c r="F303" s="25"/>
      <c r="G303" s="25"/>
      <c r="H303" s="25"/>
      <c r="I303" s="25"/>
      <c r="J303" s="25"/>
      <c r="K303" s="25"/>
      <c r="L303" s="25"/>
    </row>
    <row r="304" spans="1:12" s="39" customFormat="1">
      <c r="A304" s="47"/>
      <c r="B304" s="25"/>
      <c r="C304" s="25"/>
      <c r="D304" s="25"/>
      <c r="E304" s="25"/>
      <c r="F304" s="25"/>
      <c r="G304" s="25"/>
      <c r="H304" s="25"/>
      <c r="I304" s="25"/>
      <c r="J304" s="25"/>
      <c r="K304" s="25"/>
      <c r="L304" s="25"/>
    </row>
    <row r="305" spans="1:12" s="39" customFormat="1">
      <c r="A305" s="47"/>
      <c r="B305" s="25"/>
      <c r="C305" s="25"/>
      <c r="D305" s="25"/>
      <c r="E305" s="25"/>
      <c r="F305" s="25"/>
      <c r="G305" s="25"/>
      <c r="H305" s="25"/>
      <c r="I305" s="25"/>
      <c r="J305" s="25"/>
      <c r="K305" s="25"/>
      <c r="L305" s="25"/>
    </row>
    <row r="306" spans="1:12" s="39" customFormat="1">
      <c r="A306" s="47"/>
      <c r="B306" s="25"/>
      <c r="C306" s="25"/>
      <c r="D306" s="25"/>
      <c r="E306" s="25"/>
      <c r="F306" s="25"/>
      <c r="G306" s="25"/>
      <c r="H306" s="25"/>
      <c r="I306" s="25"/>
      <c r="J306" s="25"/>
      <c r="K306" s="25"/>
      <c r="L306" s="25"/>
    </row>
    <row r="307" spans="1:12" s="39" customFormat="1">
      <c r="A307" s="47"/>
      <c r="B307" s="25"/>
      <c r="C307" s="25"/>
      <c r="D307" s="25"/>
      <c r="E307" s="25"/>
      <c r="F307" s="25"/>
      <c r="G307" s="25"/>
      <c r="H307" s="25"/>
      <c r="I307" s="25"/>
      <c r="J307" s="25"/>
      <c r="K307" s="25"/>
      <c r="L307" s="25"/>
    </row>
    <row r="308" spans="1:12" s="39" customFormat="1">
      <c r="A308" s="47"/>
      <c r="B308" s="25"/>
      <c r="C308" s="25"/>
      <c r="D308" s="25"/>
      <c r="E308" s="25"/>
      <c r="F308" s="25"/>
      <c r="G308" s="25"/>
      <c r="H308" s="25"/>
      <c r="I308" s="25"/>
      <c r="J308" s="25"/>
      <c r="K308" s="25"/>
      <c r="L308" s="25"/>
    </row>
    <row r="309" spans="1:12" s="39" customFormat="1">
      <c r="A309" s="47"/>
      <c r="B309" s="25"/>
      <c r="C309" s="25"/>
      <c r="D309" s="25"/>
      <c r="E309" s="25"/>
      <c r="F309" s="25"/>
      <c r="G309" s="25"/>
      <c r="H309" s="25"/>
      <c r="I309" s="25"/>
      <c r="J309" s="25"/>
      <c r="K309" s="25"/>
      <c r="L309" s="25"/>
    </row>
    <row r="310" spans="1:12" s="39" customFormat="1">
      <c r="A310" s="47"/>
      <c r="B310" s="25"/>
      <c r="C310" s="25"/>
      <c r="D310" s="25"/>
      <c r="E310" s="25"/>
      <c r="F310" s="25"/>
      <c r="G310" s="25"/>
      <c r="H310" s="25"/>
      <c r="I310" s="25"/>
      <c r="J310" s="25"/>
      <c r="K310" s="25"/>
      <c r="L310" s="25"/>
    </row>
    <row r="311" spans="1:12" s="39" customFormat="1">
      <c r="A311" s="47"/>
      <c r="B311" s="25"/>
      <c r="C311" s="25"/>
      <c r="D311" s="25"/>
      <c r="E311" s="25"/>
      <c r="F311" s="25"/>
      <c r="G311" s="25"/>
      <c r="H311" s="25"/>
      <c r="I311" s="25"/>
      <c r="J311" s="25"/>
      <c r="K311" s="25"/>
      <c r="L311" s="25"/>
    </row>
    <row r="312" spans="1:12" s="39" customFormat="1">
      <c r="A312" s="47"/>
      <c r="B312" s="25"/>
      <c r="C312" s="25"/>
      <c r="D312" s="25"/>
      <c r="E312" s="25"/>
      <c r="F312" s="25"/>
      <c r="G312" s="25"/>
      <c r="H312" s="25"/>
      <c r="I312" s="25"/>
      <c r="J312" s="25"/>
      <c r="K312" s="25"/>
      <c r="L312" s="25"/>
    </row>
    <row r="313" spans="1:12" s="39" customFormat="1">
      <c r="A313" s="47"/>
      <c r="B313" s="25"/>
      <c r="C313" s="25"/>
      <c r="D313" s="25"/>
      <c r="E313" s="25"/>
      <c r="F313" s="25"/>
      <c r="G313" s="25"/>
      <c r="H313" s="25"/>
      <c r="I313" s="25"/>
      <c r="J313" s="25"/>
      <c r="K313" s="25"/>
      <c r="L313" s="25"/>
    </row>
    <row r="314" spans="1:12" s="39" customFormat="1">
      <c r="A314" s="47"/>
      <c r="B314" s="25"/>
      <c r="C314" s="25"/>
      <c r="D314" s="25"/>
      <c r="E314" s="25"/>
      <c r="F314" s="25"/>
      <c r="G314" s="25"/>
      <c r="H314" s="25"/>
      <c r="I314" s="25"/>
      <c r="J314" s="25"/>
      <c r="K314" s="25"/>
      <c r="L314" s="25"/>
    </row>
    <row r="315" spans="1:12" s="39" customFormat="1">
      <c r="A315" s="47"/>
      <c r="B315" s="25"/>
      <c r="C315" s="25"/>
      <c r="D315" s="25"/>
      <c r="E315" s="25"/>
      <c r="F315" s="25"/>
      <c r="G315" s="25"/>
      <c r="H315" s="25"/>
      <c r="I315" s="25"/>
      <c r="J315" s="25"/>
      <c r="K315" s="25"/>
      <c r="L315" s="25"/>
    </row>
    <row r="316" spans="1:12" s="39" customFormat="1">
      <c r="A316" s="47"/>
      <c r="B316" s="25"/>
      <c r="C316" s="25"/>
      <c r="D316" s="25"/>
      <c r="E316" s="25"/>
      <c r="F316" s="25"/>
      <c r="G316" s="25"/>
      <c r="H316" s="25"/>
      <c r="I316" s="25"/>
      <c r="J316" s="25"/>
      <c r="K316" s="25"/>
      <c r="L316" s="25"/>
    </row>
    <row r="317" spans="1:12" s="39" customFormat="1">
      <c r="A317" s="47"/>
      <c r="B317" s="25"/>
      <c r="C317" s="25"/>
      <c r="D317" s="25"/>
      <c r="E317" s="25"/>
      <c r="F317" s="25"/>
      <c r="G317" s="25"/>
      <c r="H317" s="25"/>
      <c r="I317" s="25"/>
      <c r="J317" s="25"/>
      <c r="K317" s="25"/>
      <c r="L317" s="25"/>
    </row>
    <row r="318" spans="1:12" s="39" customFormat="1">
      <c r="A318" s="47"/>
      <c r="B318" s="25"/>
      <c r="C318" s="25"/>
      <c r="D318" s="25"/>
      <c r="E318" s="25"/>
      <c r="F318" s="25"/>
      <c r="G318" s="25"/>
      <c r="H318" s="25"/>
      <c r="I318" s="25"/>
      <c r="J318" s="25"/>
      <c r="K318" s="25"/>
      <c r="L318" s="25"/>
    </row>
    <row r="319" spans="1:12" s="39" customFormat="1">
      <c r="A319" s="47"/>
      <c r="B319" s="25"/>
      <c r="C319" s="25"/>
      <c r="D319" s="25"/>
      <c r="E319" s="25"/>
      <c r="F319" s="25"/>
      <c r="G319" s="25"/>
      <c r="H319" s="25"/>
      <c r="I319" s="25"/>
      <c r="J319" s="25"/>
      <c r="K319" s="25"/>
      <c r="L319" s="25"/>
    </row>
    <row r="320" spans="1:12" s="39" customFormat="1">
      <c r="A320" s="47"/>
      <c r="B320" s="25"/>
      <c r="C320" s="25"/>
      <c r="D320" s="25"/>
      <c r="E320" s="25"/>
      <c r="F320" s="25"/>
      <c r="G320" s="25"/>
      <c r="H320" s="25"/>
      <c r="I320" s="25"/>
      <c r="J320" s="25"/>
      <c r="K320" s="25"/>
      <c r="L320" s="25"/>
    </row>
    <row r="321" spans="1:12" s="39" customFormat="1">
      <c r="A321" s="47"/>
      <c r="B321" s="25"/>
      <c r="C321" s="25"/>
      <c r="D321" s="25"/>
      <c r="E321" s="25"/>
      <c r="F321" s="25"/>
      <c r="G321" s="25"/>
      <c r="H321" s="25"/>
      <c r="I321" s="25"/>
      <c r="J321" s="25"/>
      <c r="K321" s="25"/>
      <c r="L321" s="25"/>
    </row>
    <row r="322" spans="1:12" s="39" customFormat="1">
      <c r="A322" s="47"/>
      <c r="B322" s="25"/>
      <c r="C322" s="25"/>
      <c r="D322" s="25"/>
      <c r="E322" s="25"/>
      <c r="F322" s="25"/>
      <c r="G322" s="25"/>
      <c r="H322" s="25"/>
      <c r="I322" s="25"/>
      <c r="J322" s="25"/>
      <c r="K322" s="25"/>
      <c r="L322" s="25"/>
    </row>
    <row r="323" spans="1:12" s="39" customFormat="1">
      <c r="A323" s="47"/>
      <c r="B323" s="25"/>
      <c r="C323" s="25"/>
      <c r="D323" s="25"/>
      <c r="E323" s="25"/>
      <c r="F323" s="25"/>
      <c r="G323" s="25"/>
      <c r="H323" s="25"/>
      <c r="I323" s="25"/>
      <c r="J323" s="25"/>
      <c r="K323" s="25"/>
      <c r="L323" s="25"/>
    </row>
    <row r="324" spans="1:12" s="39" customFormat="1">
      <c r="A324" s="47"/>
      <c r="B324" s="25"/>
      <c r="C324" s="25"/>
      <c r="D324" s="25"/>
      <c r="E324" s="25"/>
      <c r="F324" s="25"/>
      <c r="G324" s="25"/>
      <c r="H324" s="25"/>
      <c r="I324" s="25"/>
      <c r="J324" s="25"/>
      <c r="K324" s="25"/>
      <c r="L324" s="25"/>
    </row>
    <row r="325" spans="1:12" s="39" customFormat="1">
      <c r="A325" s="47"/>
      <c r="B325" s="25"/>
      <c r="C325" s="25"/>
      <c r="D325" s="25"/>
      <c r="E325" s="25"/>
      <c r="F325" s="25"/>
      <c r="G325" s="25"/>
      <c r="H325" s="25"/>
      <c r="I325" s="25"/>
      <c r="J325" s="25"/>
      <c r="K325" s="25"/>
      <c r="L325" s="25"/>
    </row>
    <row r="326" spans="1:12" s="39" customFormat="1">
      <c r="A326" s="47"/>
      <c r="B326" s="25"/>
      <c r="C326" s="25"/>
      <c r="D326" s="25"/>
      <c r="E326" s="25"/>
      <c r="F326" s="25"/>
      <c r="G326" s="25"/>
      <c r="H326" s="25"/>
      <c r="I326" s="25"/>
      <c r="J326" s="25"/>
      <c r="K326" s="25"/>
      <c r="L326" s="25"/>
    </row>
    <row r="327" spans="1:12" s="39" customFormat="1">
      <c r="A327" s="47"/>
      <c r="B327" s="25"/>
      <c r="C327" s="25"/>
      <c r="D327" s="25"/>
      <c r="E327" s="25"/>
      <c r="F327" s="25"/>
      <c r="G327" s="25"/>
      <c r="H327" s="25"/>
      <c r="I327" s="25"/>
      <c r="J327" s="25"/>
      <c r="K327" s="25"/>
      <c r="L327" s="25"/>
    </row>
    <row r="328" spans="1:12" s="39" customFormat="1">
      <c r="A328" s="47"/>
      <c r="B328" s="25"/>
      <c r="C328" s="25"/>
      <c r="D328" s="25"/>
      <c r="E328" s="25"/>
      <c r="F328" s="25"/>
      <c r="G328" s="25"/>
      <c r="H328" s="25"/>
      <c r="I328" s="25"/>
      <c r="J328" s="25"/>
      <c r="K328" s="25"/>
      <c r="L328" s="25"/>
    </row>
    <row r="329" spans="1:12" s="39" customFormat="1">
      <c r="A329" s="47"/>
      <c r="B329" s="25"/>
      <c r="C329" s="25"/>
      <c r="D329" s="25"/>
      <c r="E329" s="25"/>
      <c r="F329" s="25"/>
      <c r="G329" s="25"/>
      <c r="H329" s="25"/>
      <c r="I329" s="25"/>
      <c r="J329" s="25"/>
      <c r="K329" s="25"/>
      <c r="L329" s="25"/>
    </row>
    <row r="330" spans="1:12" s="39" customFormat="1">
      <c r="A330" s="47"/>
      <c r="B330" s="25"/>
      <c r="C330" s="25"/>
      <c r="D330" s="25"/>
      <c r="E330" s="25"/>
      <c r="F330" s="25"/>
      <c r="G330" s="25"/>
      <c r="H330" s="25"/>
      <c r="I330" s="25"/>
      <c r="J330" s="25"/>
      <c r="K330" s="25"/>
      <c r="L330" s="25"/>
    </row>
    <row r="331" spans="1:12" s="39" customFormat="1">
      <c r="A331" s="47"/>
      <c r="B331" s="25"/>
      <c r="C331" s="25"/>
      <c r="D331" s="25"/>
      <c r="E331" s="25"/>
      <c r="F331" s="25"/>
      <c r="G331" s="25"/>
      <c r="H331" s="25"/>
      <c r="I331" s="25"/>
      <c r="J331" s="25"/>
      <c r="K331" s="25"/>
      <c r="L331" s="25"/>
    </row>
    <row r="332" spans="1:12" s="39" customFormat="1">
      <c r="A332" s="47"/>
      <c r="B332" s="25"/>
      <c r="C332" s="25"/>
      <c r="D332" s="25"/>
      <c r="E332" s="25"/>
      <c r="F332" s="25"/>
      <c r="G332" s="25"/>
      <c r="H332" s="25"/>
      <c r="I332" s="25"/>
      <c r="J332" s="25"/>
      <c r="K332" s="25"/>
      <c r="L332" s="25"/>
    </row>
    <row r="333" spans="1:12" s="39" customFormat="1">
      <c r="A333" s="47"/>
      <c r="B333" s="25"/>
      <c r="C333" s="25"/>
      <c r="D333" s="25"/>
      <c r="E333" s="25"/>
      <c r="F333" s="25"/>
      <c r="G333" s="25"/>
      <c r="H333" s="25"/>
      <c r="I333" s="25"/>
      <c r="J333" s="25"/>
      <c r="K333" s="25"/>
      <c r="L333" s="25"/>
    </row>
    <row r="334" spans="1:12" s="39" customFormat="1">
      <c r="A334" s="44"/>
      <c r="B334" s="25"/>
      <c r="C334" s="25"/>
      <c r="D334" s="25"/>
      <c r="E334" s="25"/>
      <c r="F334" s="25"/>
      <c r="G334" s="25"/>
      <c r="H334" s="25"/>
      <c r="I334" s="25"/>
      <c r="J334" s="25"/>
      <c r="K334" s="25"/>
      <c r="L334" s="25"/>
    </row>
  </sheetData>
  <mergeCells count="18">
    <mergeCell ref="H6:H7"/>
    <mergeCell ref="E5:F7"/>
    <mergeCell ref="B24:C24"/>
    <mergeCell ref="I5:J5"/>
    <mergeCell ref="J6:J7"/>
    <mergeCell ref="I6:I7"/>
    <mergeCell ref="A2:M2"/>
    <mergeCell ref="A4:M4"/>
    <mergeCell ref="A5:A7"/>
    <mergeCell ref="B5:B7"/>
    <mergeCell ref="C5:C7"/>
    <mergeCell ref="M5:M7"/>
    <mergeCell ref="A3:M3"/>
    <mergeCell ref="D5:D7"/>
    <mergeCell ref="G5:H5"/>
    <mergeCell ref="K5:K7"/>
    <mergeCell ref="L5:L7"/>
    <mergeCell ref="G6:G7"/>
  </mergeCells>
  <pageMargins left="0.75" right="0.41" top="0.74803149606299202" bottom="0.74803149606299202" header="0.31496062992126" footer="0.31496062992126"/>
  <pageSetup paperSize="9" scale="7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AO358"/>
  <sheetViews>
    <sheetView showZeros="0" view="pageBreakPreview" zoomScale="70" zoomScaleNormal="70" zoomScaleSheetLayoutView="70" workbookViewId="0">
      <selection activeCell="AO8" sqref="AO8"/>
    </sheetView>
  </sheetViews>
  <sheetFormatPr defaultRowHeight="15.6"/>
  <cols>
    <col min="1" max="1" width="6.19921875" style="44" customWidth="1"/>
    <col min="2" max="2" width="43.59765625" style="36" customWidth="1"/>
    <col min="3" max="3" width="16.19921875" style="37" customWidth="1"/>
    <col min="4" max="4" width="11.3984375" style="37" customWidth="1"/>
    <col min="5" max="5" width="11.3984375" style="496" customWidth="1"/>
    <col min="6" max="7" width="11.3984375" style="37" hidden="1" customWidth="1"/>
    <col min="8" max="8" width="11.09765625" style="38" hidden="1" customWidth="1"/>
    <col min="9" max="12" width="12.19921875" style="38" customWidth="1"/>
    <col min="13" max="13" width="13.3984375" style="38" customWidth="1"/>
    <col min="14" max="14" width="13.3984375" style="38" hidden="1" customWidth="1"/>
    <col min="15" max="15" width="13.19921875" style="39" customWidth="1"/>
    <col min="16" max="21" width="0" style="25" hidden="1" customWidth="1"/>
    <col min="22" max="22" width="14.8984375" style="25" hidden="1" customWidth="1"/>
    <col min="23" max="23" width="14" style="25" hidden="1" customWidth="1"/>
    <col min="24" max="24" width="13.59765625" style="25" hidden="1" customWidth="1"/>
    <col min="25" max="25" width="13.09765625" style="25" hidden="1" customWidth="1"/>
    <col min="26" max="26" width="14.8984375" style="25" hidden="1" customWidth="1"/>
    <col min="27" max="27" width="11" style="25" hidden="1" customWidth="1"/>
    <col min="28" max="30" width="0" style="25" hidden="1" customWidth="1"/>
    <col min="31" max="38" width="13.8984375" style="25" hidden="1" customWidth="1"/>
    <col min="39" max="246" width="9" style="25"/>
    <col min="247" max="247" width="6.19921875" style="25" customWidth="1"/>
    <col min="248" max="248" width="40.3984375" style="25" customWidth="1"/>
    <col min="249" max="249" width="12.5" style="25" customWidth="1"/>
    <col min="250" max="262" width="0" style="25" hidden="1" customWidth="1"/>
    <col min="263" max="264" width="16" style="25" customWidth="1"/>
    <col min="265" max="266" width="13.8984375" style="25" customWidth="1"/>
    <col min="267" max="267" width="11.09765625" style="25" customWidth="1"/>
    <col min="268" max="268" width="11.19921875" style="25" customWidth="1"/>
    <col min="269" max="269" width="11.69921875" style="25" bestFit="1" customWidth="1"/>
    <col min="270" max="502" width="9" style="25"/>
    <col min="503" max="503" width="6.19921875" style="25" customWidth="1"/>
    <col min="504" max="504" width="40.3984375" style="25" customWidth="1"/>
    <col min="505" max="505" width="12.5" style="25" customWidth="1"/>
    <col min="506" max="518" width="0" style="25" hidden="1" customWidth="1"/>
    <col min="519" max="520" width="16" style="25" customWidth="1"/>
    <col min="521" max="522" width="13.8984375" style="25" customWidth="1"/>
    <col min="523" max="523" width="11.09765625" style="25" customWidth="1"/>
    <col min="524" max="524" width="11.19921875" style="25" customWidth="1"/>
    <col min="525" max="525" width="11.69921875" style="25" bestFit="1" customWidth="1"/>
    <col min="526" max="758" width="9" style="25"/>
    <col min="759" max="759" width="6.19921875" style="25" customWidth="1"/>
    <col min="760" max="760" width="40.3984375" style="25" customWidth="1"/>
    <col min="761" max="761" width="12.5" style="25" customWidth="1"/>
    <col min="762" max="774" width="0" style="25" hidden="1" customWidth="1"/>
    <col min="775" max="776" width="16" style="25" customWidth="1"/>
    <col min="777" max="778" width="13.8984375" style="25" customWidth="1"/>
    <col min="779" max="779" width="11.09765625" style="25" customWidth="1"/>
    <col min="780" max="780" width="11.19921875" style="25" customWidth="1"/>
    <col min="781" max="781" width="11.69921875" style="25" bestFit="1" customWidth="1"/>
    <col min="782" max="1014" width="9" style="25"/>
    <col min="1015" max="1015" width="6.19921875" style="25" customWidth="1"/>
    <col min="1016" max="1016" width="40.3984375" style="25" customWidth="1"/>
    <col min="1017" max="1017" width="12.5" style="25" customWidth="1"/>
    <col min="1018" max="1030" width="0" style="25" hidden="1" customWidth="1"/>
    <col min="1031" max="1032" width="16" style="25" customWidth="1"/>
    <col min="1033" max="1034" width="13.8984375" style="25" customWidth="1"/>
    <col min="1035" max="1035" width="11.09765625" style="25" customWidth="1"/>
    <col min="1036" max="1036" width="11.19921875" style="25" customWidth="1"/>
    <col min="1037" max="1037" width="11.69921875" style="25" bestFit="1" customWidth="1"/>
    <col min="1038" max="1270" width="9" style="25"/>
    <col min="1271" max="1271" width="6.19921875" style="25" customWidth="1"/>
    <col min="1272" max="1272" width="40.3984375" style="25" customWidth="1"/>
    <col min="1273" max="1273" width="12.5" style="25" customWidth="1"/>
    <col min="1274" max="1286" width="0" style="25" hidden="1" customWidth="1"/>
    <col min="1287" max="1288" width="16" style="25" customWidth="1"/>
    <col min="1289" max="1290" width="13.8984375" style="25" customWidth="1"/>
    <col min="1291" max="1291" width="11.09765625" style="25" customWidth="1"/>
    <col min="1292" max="1292" width="11.19921875" style="25" customWidth="1"/>
    <col min="1293" max="1293" width="11.69921875" style="25" bestFit="1" customWidth="1"/>
    <col min="1294" max="1526" width="9" style="25"/>
    <col min="1527" max="1527" width="6.19921875" style="25" customWidth="1"/>
    <col min="1528" max="1528" width="40.3984375" style="25" customWidth="1"/>
    <col min="1529" max="1529" width="12.5" style="25" customWidth="1"/>
    <col min="1530" max="1542" width="0" style="25" hidden="1" customWidth="1"/>
    <col min="1543" max="1544" width="16" style="25" customWidth="1"/>
    <col min="1545" max="1546" width="13.8984375" style="25" customWidth="1"/>
    <col min="1547" max="1547" width="11.09765625" style="25" customWidth="1"/>
    <col min="1548" max="1548" width="11.19921875" style="25" customWidth="1"/>
    <col min="1549" max="1549" width="11.69921875" style="25" bestFit="1" customWidth="1"/>
    <col min="1550" max="1782" width="9" style="25"/>
    <col min="1783" max="1783" width="6.19921875" style="25" customWidth="1"/>
    <col min="1784" max="1784" width="40.3984375" style="25" customWidth="1"/>
    <col min="1785" max="1785" width="12.5" style="25" customWidth="1"/>
    <col min="1786" max="1798" width="0" style="25" hidden="1" customWidth="1"/>
    <col min="1799" max="1800" width="16" style="25" customWidth="1"/>
    <col min="1801" max="1802" width="13.8984375" style="25" customWidth="1"/>
    <col min="1803" max="1803" width="11.09765625" style="25" customWidth="1"/>
    <col min="1804" max="1804" width="11.19921875" style="25" customWidth="1"/>
    <col min="1805" max="1805" width="11.69921875" style="25" bestFit="1" customWidth="1"/>
    <col min="1806" max="2038" width="9" style="25"/>
    <col min="2039" max="2039" width="6.19921875" style="25" customWidth="1"/>
    <col min="2040" max="2040" width="40.3984375" style="25" customWidth="1"/>
    <col min="2041" max="2041" width="12.5" style="25" customWidth="1"/>
    <col min="2042" max="2054" width="0" style="25" hidden="1" customWidth="1"/>
    <col min="2055" max="2056" width="16" style="25" customWidth="1"/>
    <col min="2057" max="2058" width="13.8984375" style="25" customWidth="1"/>
    <col min="2059" max="2059" width="11.09765625" style="25" customWidth="1"/>
    <col min="2060" max="2060" width="11.19921875" style="25" customWidth="1"/>
    <col min="2061" max="2061" width="11.69921875" style="25" bestFit="1" customWidth="1"/>
    <col min="2062" max="2294" width="9" style="25"/>
    <col min="2295" max="2295" width="6.19921875" style="25" customWidth="1"/>
    <col min="2296" max="2296" width="40.3984375" style="25" customWidth="1"/>
    <col min="2297" max="2297" width="12.5" style="25" customWidth="1"/>
    <col min="2298" max="2310" width="0" style="25" hidden="1" customWidth="1"/>
    <col min="2311" max="2312" width="16" style="25" customWidth="1"/>
    <col min="2313" max="2314" width="13.8984375" style="25" customWidth="1"/>
    <col min="2315" max="2315" width="11.09765625" style="25" customWidth="1"/>
    <col min="2316" max="2316" width="11.19921875" style="25" customWidth="1"/>
    <col min="2317" max="2317" width="11.69921875" style="25" bestFit="1" customWidth="1"/>
    <col min="2318" max="2550" width="9" style="25"/>
    <col min="2551" max="2551" width="6.19921875" style="25" customWidth="1"/>
    <col min="2552" max="2552" width="40.3984375" style="25" customWidth="1"/>
    <col min="2553" max="2553" width="12.5" style="25" customWidth="1"/>
    <col min="2554" max="2566" width="0" style="25" hidden="1" customWidth="1"/>
    <col min="2567" max="2568" width="16" style="25" customWidth="1"/>
    <col min="2569" max="2570" width="13.8984375" style="25" customWidth="1"/>
    <col min="2571" max="2571" width="11.09765625" style="25" customWidth="1"/>
    <col min="2572" max="2572" width="11.19921875" style="25" customWidth="1"/>
    <col min="2573" max="2573" width="11.69921875" style="25" bestFit="1" customWidth="1"/>
    <col min="2574" max="2806" width="9" style="25"/>
    <col min="2807" max="2807" width="6.19921875" style="25" customWidth="1"/>
    <col min="2808" max="2808" width="40.3984375" style="25" customWidth="1"/>
    <col min="2809" max="2809" width="12.5" style="25" customWidth="1"/>
    <col min="2810" max="2822" width="0" style="25" hidden="1" customWidth="1"/>
    <col min="2823" max="2824" width="16" style="25" customWidth="1"/>
    <col min="2825" max="2826" width="13.8984375" style="25" customWidth="1"/>
    <col min="2827" max="2827" width="11.09765625" style="25" customWidth="1"/>
    <col min="2828" max="2828" width="11.19921875" style="25" customWidth="1"/>
    <col min="2829" max="2829" width="11.69921875" style="25" bestFit="1" customWidth="1"/>
    <col min="2830" max="3062" width="9" style="25"/>
    <col min="3063" max="3063" width="6.19921875" style="25" customWidth="1"/>
    <col min="3064" max="3064" width="40.3984375" style="25" customWidth="1"/>
    <col min="3065" max="3065" width="12.5" style="25" customWidth="1"/>
    <col min="3066" max="3078" width="0" style="25" hidden="1" customWidth="1"/>
    <col min="3079" max="3080" width="16" style="25" customWidth="1"/>
    <col min="3081" max="3082" width="13.8984375" style="25" customWidth="1"/>
    <col min="3083" max="3083" width="11.09765625" style="25" customWidth="1"/>
    <col min="3084" max="3084" width="11.19921875" style="25" customWidth="1"/>
    <col min="3085" max="3085" width="11.69921875" style="25" bestFit="1" customWidth="1"/>
    <col min="3086" max="3318" width="9" style="25"/>
    <col min="3319" max="3319" width="6.19921875" style="25" customWidth="1"/>
    <col min="3320" max="3320" width="40.3984375" style="25" customWidth="1"/>
    <col min="3321" max="3321" width="12.5" style="25" customWidth="1"/>
    <col min="3322" max="3334" width="0" style="25" hidden="1" customWidth="1"/>
    <col min="3335" max="3336" width="16" style="25" customWidth="1"/>
    <col min="3337" max="3338" width="13.8984375" style="25" customWidth="1"/>
    <col min="3339" max="3339" width="11.09765625" style="25" customWidth="1"/>
    <col min="3340" max="3340" width="11.19921875" style="25" customWidth="1"/>
    <col min="3341" max="3341" width="11.69921875" style="25" bestFit="1" customWidth="1"/>
    <col min="3342" max="3574" width="9" style="25"/>
    <col min="3575" max="3575" width="6.19921875" style="25" customWidth="1"/>
    <col min="3576" max="3576" width="40.3984375" style="25" customWidth="1"/>
    <col min="3577" max="3577" width="12.5" style="25" customWidth="1"/>
    <col min="3578" max="3590" width="0" style="25" hidden="1" customWidth="1"/>
    <col min="3591" max="3592" width="16" style="25" customWidth="1"/>
    <col min="3593" max="3594" width="13.8984375" style="25" customWidth="1"/>
    <col min="3595" max="3595" width="11.09765625" style="25" customWidth="1"/>
    <col min="3596" max="3596" width="11.19921875" style="25" customWidth="1"/>
    <col min="3597" max="3597" width="11.69921875" style="25" bestFit="1" customWidth="1"/>
    <col min="3598" max="3830" width="9" style="25"/>
    <col min="3831" max="3831" width="6.19921875" style="25" customWidth="1"/>
    <col min="3832" max="3832" width="40.3984375" style="25" customWidth="1"/>
    <col min="3833" max="3833" width="12.5" style="25" customWidth="1"/>
    <col min="3834" max="3846" width="0" style="25" hidden="1" customWidth="1"/>
    <col min="3847" max="3848" width="16" style="25" customWidth="1"/>
    <col min="3849" max="3850" width="13.8984375" style="25" customWidth="1"/>
    <col min="3851" max="3851" width="11.09765625" style="25" customWidth="1"/>
    <col min="3852" max="3852" width="11.19921875" style="25" customWidth="1"/>
    <col min="3853" max="3853" width="11.69921875" style="25" bestFit="1" customWidth="1"/>
    <col min="3854" max="4086" width="9" style="25"/>
    <col min="4087" max="4087" width="6.19921875" style="25" customWidth="1"/>
    <col min="4088" max="4088" width="40.3984375" style="25" customWidth="1"/>
    <col min="4089" max="4089" width="12.5" style="25" customWidth="1"/>
    <col min="4090" max="4102" width="0" style="25" hidden="1" customWidth="1"/>
    <col min="4103" max="4104" width="16" style="25" customWidth="1"/>
    <col min="4105" max="4106" width="13.8984375" style="25" customWidth="1"/>
    <col min="4107" max="4107" width="11.09765625" style="25" customWidth="1"/>
    <col min="4108" max="4108" width="11.19921875" style="25" customWidth="1"/>
    <col min="4109" max="4109" width="11.69921875" style="25" bestFit="1" customWidth="1"/>
    <col min="4110" max="4342" width="9" style="25"/>
    <col min="4343" max="4343" width="6.19921875" style="25" customWidth="1"/>
    <col min="4344" max="4344" width="40.3984375" style="25" customWidth="1"/>
    <col min="4345" max="4345" width="12.5" style="25" customWidth="1"/>
    <col min="4346" max="4358" width="0" style="25" hidden="1" customWidth="1"/>
    <col min="4359" max="4360" width="16" style="25" customWidth="1"/>
    <col min="4361" max="4362" width="13.8984375" style="25" customWidth="1"/>
    <col min="4363" max="4363" width="11.09765625" style="25" customWidth="1"/>
    <col min="4364" max="4364" width="11.19921875" style="25" customWidth="1"/>
    <col min="4365" max="4365" width="11.69921875" style="25" bestFit="1" customWidth="1"/>
    <col min="4366" max="4598" width="9" style="25"/>
    <col min="4599" max="4599" width="6.19921875" style="25" customWidth="1"/>
    <col min="4600" max="4600" width="40.3984375" style="25" customWidth="1"/>
    <col min="4601" max="4601" width="12.5" style="25" customWidth="1"/>
    <col min="4602" max="4614" width="0" style="25" hidden="1" customWidth="1"/>
    <col min="4615" max="4616" width="16" style="25" customWidth="1"/>
    <col min="4617" max="4618" width="13.8984375" style="25" customWidth="1"/>
    <col min="4619" max="4619" width="11.09765625" style="25" customWidth="1"/>
    <col min="4620" max="4620" width="11.19921875" style="25" customWidth="1"/>
    <col min="4621" max="4621" width="11.69921875" style="25" bestFit="1" customWidth="1"/>
    <col min="4622" max="4854" width="9" style="25"/>
    <col min="4855" max="4855" width="6.19921875" style="25" customWidth="1"/>
    <col min="4856" max="4856" width="40.3984375" style="25" customWidth="1"/>
    <col min="4857" max="4857" width="12.5" style="25" customWidth="1"/>
    <col min="4858" max="4870" width="0" style="25" hidden="1" customWidth="1"/>
    <col min="4871" max="4872" width="16" style="25" customWidth="1"/>
    <col min="4873" max="4874" width="13.8984375" style="25" customWidth="1"/>
    <col min="4875" max="4875" width="11.09765625" style="25" customWidth="1"/>
    <col min="4876" max="4876" width="11.19921875" style="25" customWidth="1"/>
    <col min="4877" max="4877" width="11.69921875" style="25" bestFit="1" customWidth="1"/>
    <col min="4878" max="5110" width="9" style="25"/>
    <col min="5111" max="5111" width="6.19921875" style="25" customWidth="1"/>
    <col min="5112" max="5112" width="40.3984375" style="25" customWidth="1"/>
    <col min="5113" max="5113" width="12.5" style="25" customWidth="1"/>
    <col min="5114" max="5126" width="0" style="25" hidden="1" customWidth="1"/>
    <col min="5127" max="5128" width="16" style="25" customWidth="1"/>
    <col min="5129" max="5130" width="13.8984375" style="25" customWidth="1"/>
    <col min="5131" max="5131" width="11.09765625" style="25" customWidth="1"/>
    <col min="5132" max="5132" width="11.19921875" style="25" customWidth="1"/>
    <col min="5133" max="5133" width="11.69921875" style="25" bestFit="1" customWidth="1"/>
    <col min="5134" max="5366" width="9" style="25"/>
    <col min="5367" max="5367" width="6.19921875" style="25" customWidth="1"/>
    <col min="5368" max="5368" width="40.3984375" style="25" customWidth="1"/>
    <col min="5369" max="5369" width="12.5" style="25" customWidth="1"/>
    <col min="5370" max="5382" width="0" style="25" hidden="1" customWidth="1"/>
    <col min="5383" max="5384" width="16" style="25" customWidth="1"/>
    <col min="5385" max="5386" width="13.8984375" style="25" customWidth="1"/>
    <col min="5387" max="5387" width="11.09765625" style="25" customWidth="1"/>
    <col min="5388" max="5388" width="11.19921875" style="25" customWidth="1"/>
    <col min="5389" max="5389" width="11.69921875" style="25" bestFit="1" customWidth="1"/>
    <col min="5390" max="5622" width="9" style="25"/>
    <col min="5623" max="5623" width="6.19921875" style="25" customWidth="1"/>
    <col min="5624" max="5624" width="40.3984375" style="25" customWidth="1"/>
    <col min="5625" max="5625" width="12.5" style="25" customWidth="1"/>
    <col min="5626" max="5638" width="0" style="25" hidden="1" customWidth="1"/>
    <col min="5639" max="5640" width="16" style="25" customWidth="1"/>
    <col min="5641" max="5642" width="13.8984375" style="25" customWidth="1"/>
    <col min="5643" max="5643" width="11.09765625" style="25" customWidth="1"/>
    <col min="5644" max="5644" width="11.19921875" style="25" customWidth="1"/>
    <col min="5645" max="5645" width="11.69921875" style="25" bestFit="1" customWidth="1"/>
    <col min="5646" max="5878" width="9" style="25"/>
    <col min="5879" max="5879" width="6.19921875" style="25" customWidth="1"/>
    <col min="5880" max="5880" width="40.3984375" style="25" customWidth="1"/>
    <col min="5881" max="5881" width="12.5" style="25" customWidth="1"/>
    <col min="5882" max="5894" width="0" style="25" hidden="1" customWidth="1"/>
    <col min="5895" max="5896" width="16" style="25" customWidth="1"/>
    <col min="5897" max="5898" width="13.8984375" style="25" customWidth="1"/>
    <col min="5899" max="5899" width="11.09765625" style="25" customWidth="1"/>
    <col min="5900" max="5900" width="11.19921875" style="25" customWidth="1"/>
    <col min="5901" max="5901" width="11.69921875" style="25" bestFit="1" customWidth="1"/>
    <col min="5902" max="6134" width="9" style="25"/>
    <col min="6135" max="6135" width="6.19921875" style="25" customWidth="1"/>
    <col min="6136" max="6136" width="40.3984375" style="25" customWidth="1"/>
    <col min="6137" max="6137" width="12.5" style="25" customWidth="1"/>
    <col min="6138" max="6150" width="0" style="25" hidden="1" customWidth="1"/>
    <col min="6151" max="6152" width="16" style="25" customWidth="1"/>
    <col min="6153" max="6154" width="13.8984375" style="25" customWidth="1"/>
    <col min="6155" max="6155" width="11.09765625" style="25" customWidth="1"/>
    <col min="6156" max="6156" width="11.19921875" style="25" customWidth="1"/>
    <col min="6157" max="6157" width="11.69921875" style="25" bestFit="1" customWidth="1"/>
    <col min="6158" max="6390" width="9" style="25"/>
    <col min="6391" max="6391" width="6.19921875" style="25" customWidth="1"/>
    <col min="6392" max="6392" width="40.3984375" style="25" customWidth="1"/>
    <col min="6393" max="6393" width="12.5" style="25" customWidth="1"/>
    <col min="6394" max="6406" width="0" style="25" hidden="1" customWidth="1"/>
    <col min="6407" max="6408" width="16" style="25" customWidth="1"/>
    <col min="6409" max="6410" width="13.8984375" style="25" customWidth="1"/>
    <col min="6411" max="6411" width="11.09765625" style="25" customWidth="1"/>
    <col min="6412" max="6412" width="11.19921875" style="25" customWidth="1"/>
    <col min="6413" max="6413" width="11.69921875" style="25" bestFit="1" customWidth="1"/>
    <col min="6414" max="6646" width="9" style="25"/>
    <col min="6647" max="6647" width="6.19921875" style="25" customWidth="1"/>
    <col min="6648" max="6648" width="40.3984375" style="25" customWidth="1"/>
    <col min="6649" max="6649" width="12.5" style="25" customWidth="1"/>
    <col min="6650" max="6662" width="0" style="25" hidden="1" customWidth="1"/>
    <col min="6663" max="6664" width="16" style="25" customWidth="1"/>
    <col min="6665" max="6666" width="13.8984375" style="25" customWidth="1"/>
    <col min="6667" max="6667" width="11.09765625" style="25" customWidth="1"/>
    <col min="6668" max="6668" width="11.19921875" style="25" customWidth="1"/>
    <col min="6669" max="6669" width="11.69921875" style="25" bestFit="1" customWidth="1"/>
    <col min="6670" max="6902" width="9" style="25"/>
    <col min="6903" max="6903" width="6.19921875" style="25" customWidth="1"/>
    <col min="6904" max="6904" width="40.3984375" style="25" customWidth="1"/>
    <col min="6905" max="6905" width="12.5" style="25" customWidth="1"/>
    <col min="6906" max="6918" width="0" style="25" hidden="1" customWidth="1"/>
    <col min="6919" max="6920" width="16" style="25" customWidth="1"/>
    <col min="6921" max="6922" width="13.8984375" style="25" customWidth="1"/>
    <col min="6923" max="6923" width="11.09765625" style="25" customWidth="1"/>
    <col min="6924" max="6924" width="11.19921875" style="25" customWidth="1"/>
    <col min="6925" max="6925" width="11.69921875" style="25" bestFit="1" customWidth="1"/>
    <col min="6926" max="7158" width="9" style="25"/>
    <col min="7159" max="7159" width="6.19921875" style="25" customWidth="1"/>
    <col min="7160" max="7160" width="40.3984375" style="25" customWidth="1"/>
    <col min="7161" max="7161" width="12.5" style="25" customWidth="1"/>
    <col min="7162" max="7174" width="0" style="25" hidden="1" customWidth="1"/>
    <col min="7175" max="7176" width="16" style="25" customWidth="1"/>
    <col min="7177" max="7178" width="13.8984375" style="25" customWidth="1"/>
    <col min="7179" max="7179" width="11.09765625" style="25" customWidth="1"/>
    <col min="7180" max="7180" width="11.19921875" style="25" customWidth="1"/>
    <col min="7181" max="7181" width="11.69921875" style="25" bestFit="1" customWidth="1"/>
    <col min="7182" max="7414" width="9" style="25"/>
    <col min="7415" max="7415" width="6.19921875" style="25" customWidth="1"/>
    <col min="7416" max="7416" width="40.3984375" style="25" customWidth="1"/>
    <col min="7417" max="7417" width="12.5" style="25" customWidth="1"/>
    <col min="7418" max="7430" width="0" style="25" hidden="1" customWidth="1"/>
    <col min="7431" max="7432" width="16" style="25" customWidth="1"/>
    <col min="7433" max="7434" width="13.8984375" style="25" customWidth="1"/>
    <col min="7435" max="7435" width="11.09765625" style="25" customWidth="1"/>
    <col min="7436" max="7436" width="11.19921875" style="25" customWidth="1"/>
    <col min="7437" max="7437" width="11.69921875" style="25" bestFit="1" customWidth="1"/>
    <col min="7438" max="7670" width="9" style="25"/>
    <col min="7671" max="7671" width="6.19921875" style="25" customWidth="1"/>
    <col min="7672" max="7672" width="40.3984375" style="25" customWidth="1"/>
    <col min="7673" max="7673" width="12.5" style="25" customWidth="1"/>
    <col min="7674" max="7686" width="0" style="25" hidden="1" customWidth="1"/>
    <col min="7687" max="7688" width="16" style="25" customWidth="1"/>
    <col min="7689" max="7690" width="13.8984375" style="25" customWidth="1"/>
    <col min="7691" max="7691" width="11.09765625" style="25" customWidth="1"/>
    <col min="7692" max="7692" width="11.19921875" style="25" customWidth="1"/>
    <col min="7693" max="7693" width="11.69921875" style="25" bestFit="1" customWidth="1"/>
    <col min="7694" max="7926" width="9" style="25"/>
    <col min="7927" max="7927" width="6.19921875" style="25" customWidth="1"/>
    <col min="7928" max="7928" width="40.3984375" style="25" customWidth="1"/>
    <col min="7929" max="7929" width="12.5" style="25" customWidth="1"/>
    <col min="7930" max="7942" width="0" style="25" hidden="1" customWidth="1"/>
    <col min="7943" max="7944" width="16" style="25" customWidth="1"/>
    <col min="7945" max="7946" width="13.8984375" style="25" customWidth="1"/>
    <col min="7947" max="7947" width="11.09765625" style="25" customWidth="1"/>
    <col min="7948" max="7948" width="11.19921875" style="25" customWidth="1"/>
    <col min="7949" max="7949" width="11.69921875" style="25" bestFit="1" customWidth="1"/>
    <col min="7950" max="8182" width="9" style="25"/>
    <col min="8183" max="8183" width="6.19921875" style="25" customWidth="1"/>
    <col min="8184" max="8184" width="40.3984375" style="25" customWidth="1"/>
    <col min="8185" max="8185" width="12.5" style="25" customWidth="1"/>
    <col min="8186" max="8198" width="0" style="25" hidden="1" customWidth="1"/>
    <col min="8199" max="8200" width="16" style="25" customWidth="1"/>
    <col min="8201" max="8202" width="13.8984375" style="25" customWidth="1"/>
    <col min="8203" max="8203" width="11.09765625" style="25" customWidth="1"/>
    <col min="8204" max="8204" width="11.19921875" style="25" customWidth="1"/>
    <col min="8205" max="8205" width="11.69921875" style="25" bestFit="1" customWidth="1"/>
    <col min="8206" max="8438" width="9" style="25"/>
    <col min="8439" max="8439" width="6.19921875" style="25" customWidth="1"/>
    <col min="8440" max="8440" width="40.3984375" style="25" customWidth="1"/>
    <col min="8441" max="8441" width="12.5" style="25" customWidth="1"/>
    <col min="8442" max="8454" width="0" style="25" hidden="1" customWidth="1"/>
    <col min="8455" max="8456" width="16" style="25" customWidth="1"/>
    <col min="8457" max="8458" width="13.8984375" style="25" customWidth="1"/>
    <col min="8459" max="8459" width="11.09765625" style="25" customWidth="1"/>
    <col min="8460" max="8460" width="11.19921875" style="25" customWidth="1"/>
    <col min="8461" max="8461" width="11.69921875" style="25" bestFit="1" customWidth="1"/>
    <col min="8462" max="8694" width="9" style="25"/>
    <col min="8695" max="8695" width="6.19921875" style="25" customWidth="1"/>
    <col min="8696" max="8696" width="40.3984375" style="25" customWidth="1"/>
    <col min="8697" max="8697" width="12.5" style="25" customWidth="1"/>
    <col min="8698" max="8710" width="0" style="25" hidden="1" customWidth="1"/>
    <col min="8711" max="8712" width="16" style="25" customWidth="1"/>
    <col min="8713" max="8714" width="13.8984375" style="25" customWidth="1"/>
    <col min="8715" max="8715" width="11.09765625" style="25" customWidth="1"/>
    <col min="8716" max="8716" width="11.19921875" style="25" customWidth="1"/>
    <col min="8717" max="8717" width="11.69921875" style="25" bestFit="1" customWidth="1"/>
    <col min="8718" max="8950" width="9" style="25"/>
    <col min="8951" max="8951" width="6.19921875" style="25" customWidth="1"/>
    <col min="8952" max="8952" width="40.3984375" style="25" customWidth="1"/>
    <col min="8953" max="8953" width="12.5" style="25" customWidth="1"/>
    <col min="8954" max="8966" width="0" style="25" hidden="1" customWidth="1"/>
    <col min="8967" max="8968" width="16" style="25" customWidth="1"/>
    <col min="8969" max="8970" width="13.8984375" style="25" customWidth="1"/>
    <col min="8971" max="8971" width="11.09765625" style="25" customWidth="1"/>
    <col min="8972" max="8972" width="11.19921875" style="25" customWidth="1"/>
    <col min="8973" max="8973" width="11.69921875" style="25" bestFit="1" customWidth="1"/>
    <col min="8974" max="9206" width="9" style="25"/>
    <col min="9207" max="9207" width="6.19921875" style="25" customWidth="1"/>
    <col min="9208" max="9208" width="40.3984375" style="25" customWidth="1"/>
    <col min="9209" max="9209" width="12.5" style="25" customWidth="1"/>
    <col min="9210" max="9222" width="0" style="25" hidden="1" customWidth="1"/>
    <col min="9223" max="9224" width="16" style="25" customWidth="1"/>
    <col min="9225" max="9226" width="13.8984375" style="25" customWidth="1"/>
    <col min="9227" max="9227" width="11.09765625" style="25" customWidth="1"/>
    <col min="9228" max="9228" width="11.19921875" style="25" customWidth="1"/>
    <col min="9229" max="9229" width="11.69921875" style="25" bestFit="1" customWidth="1"/>
    <col min="9230" max="9462" width="9" style="25"/>
    <col min="9463" max="9463" width="6.19921875" style="25" customWidth="1"/>
    <col min="9464" max="9464" width="40.3984375" style="25" customWidth="1"/>
    <col min="9465" max="9465" width="12.5" style="25" customWidth="1"/>
    <col min="9466" max="9478" width="0" style="25" hidden="1" customWidth="1"/>
    <col min="9479" max="9480" width="16" style="25" customWidth="1"/>
    <col min="9481" max="9482" width="13.8984375" style="25" customWidth="1"/>
    <col min="9483" max="9483" width="11.09765625" style="25" customWidth="1"/>
    <col min="9484" max="9484" width="11.19921875" style="25" customWidth="1"/>
    <col min="9485" max="9485" width="11.69921875" style="25" bestFit="1" customWidth="1"/>
    <col min="9486" max="9718" width="9" style="25"/>
    <col min="9719" max="9719" width="6.19921875" style="25" customWidth="1"/>
    <col min="9720" max="9720" width="40.3984375" style="25" customWidth="1"/>
    <col min="9721" max="9721" width="12.5" style="25" customWidth="1"/>
    <col min="9722" max="9734" width="0" style="25" hidden="1" customWidth="1"/>
    <col min="9735" max="9736" width="16" style="25" customWidth="1"/>
    <col min="9737" max="9738" width="13.8984375" style="25" customWidth="1"/>
    <col min="9739" max="9739" width="11.09765625" style="25" customWidth="1"/>
    <col min="9740" max="9740" width="11.19921875" style="25" customWidth="1"/>
    <col min="9741" max="9741" width="11.69921875" style="25" bestFit="1" customWidth="1"/>
    <col min="9742" max="9974" width="9" style="25"/>
    <col min="9975" max="9975" width="6.19921875" style="25" customWidth="1"/>
    <col min="9976" max="9976" width="40.3984375" style="25" customWidth="1"/>
    <col min="9977" max="9977" width="12.5" style="25" customWidth="1"/>
    <col min="9978" max="9990" width="0" style="25" hidden="1" customWidth="1"/>
    <col min="9991" max="9992" width="16" style="25" customWidth="1"/>
    <col min="9993" max="9994" width="13.8984375" style="25" customWidth="1"/>
    <col min="9995" max="9995" width="11.09765625" style="25" customWidth="1"/>
    <col min="9996" max="9996" width="11.19921875" style="25" customWidth="1"/>
    <col min="9997" max="9997" width="11.69921875" style="25" bestFit="1" customWidth="1"/>
    <col min="9998" max="10230" width="9" style="25"/>
    <col min="10231" max="10231" width="6.19921875" style="25" customWidth="1"/>
    <col min="10232" max="10232" width="40.3984375" style="25" customWidth="1"/>
    <col min="10233" max="10233" width="12.5" style="25" customWidth="1"/>
    <col min="10234" max="10246" width="0" style="25" hidden="1" customWidth="1"/>
    <col min="10247" max="10248" width="16" style="25" customWidth="1"/>
    <col min="10249" max="10250" width="13.8984375" style="25" customWidth="1"/>
    <col min="10251" max="10251" width="11.09765625" style="25" customWidth="1"/>
    <col min="10252" max="10252" width="11.19921875" style="25" customWidth="1"/>
    <col min="10253" max="10253" width="11.69921875" style="25" bestFit="1" customWidth="1"/>
    <col min="10254" max="10486" width="9" style="25"/>
    <col min="10487" max="10487" width="6.19921875" style="25" customWidth="1"/>
    <col min="10488" max="10488" width="40.3984375" style="25" customWidth="1"/>
    <col min="10489" max="10489" width="12.5" style="25" customWidth="1"/>
    <col min="10490" max="10502" width="0" style="25" hidden="1" customWidth="1"/>
    <col min="10503" max="10504" width="16" style="25" customWidth="1"/>
    <col min="10505" max="10506" width="13.8984375" style="25" customWidth="1"/>
    <col min="10507" max="10507" width="11.09765625" style="25" customWidth="1"/>
    <col min="10508" max="10508" width="11.19921875" style="25" customWidth="1"/>
    <col min="10509" max="10509" width="11.69921875" style="25" bestFit="1" customWidth="1"/>
    <col min="10510" max="10742" width="9" style="25"/>
    <col min="10743" max="10743" width="6.19921875" style="25" customWidth="1"/>
    <col min="10744" max="10744" width="40.3984375" style="25" customWidth="1"/>
    <col min="10745" max="10745" width="12.5" style="25" customWidth="1"/>
    <col min="10746" max="10758" width="0" style="25" hidden="1" customWidth="1"/>
    <col min="10759" max="10760" width="16" style="25" customWidth="1"/>
    <col min="10761" max="10762" width="13.8984375" style="25" customWidth="1"/>
    <col min="10763" max="10763" width="11.09765625" style="25" customWidth="1"/>
    <col min="10764" max="10764" width="11.19921875" style="25" customWidth="1"/>
    <col min="10765" max="10765" width="11.69921875" style="25" bestFit="1" customWidth="1"/>
    <col min="10766" max="10998" width="9" style="25"/>
    <col min="10999" max="10999" width="6.19921875" style="25" customWidth="1"/>
    <col min="11000" max="11000" width="40.3984375" style="25" customWidth="1"/>
    <col min="11001" max="11001" width="12.5" style="25" customWidth="1"/>
    <col min="11002" max="11014" width="0" style="25" hidden="1" customWidth="1"/>
    <col min="11015" max="11016" width="16" style="25" customWidth="1"/>
    <col min="11017" max="11018" width="13.8984375" style="25" customWidth="1"/>
    <col min="11019" max="11019" width="11.09765625" style="25" customWidth="1"/>
    <col min="11020" max="11020" width="11.19921875" style="25" customWidth="1"/>
    <col min="11021" max="11021" width="11.69921875" style="25" bestFit="1" customWidth="1"/>
    <col min="11022" max="11254" width="9" style="25"/>
    <col min="11255" max="11255" width="6.19921875" style="25" customWidth="1"/>
    <col min="11256" max="11256" width="40.3984375" style="25" customWidth="1"/>
    <col min="11257" max="11257" width="12.5" style="25" customWidth="1"/>
    <col min="11258" max="11270" width="0" style="25" hidden="1" customWidth="1"/>
    <col min="11271" max="11272" width="16" style="25" customWidth="1"/>
    <col min="11273" max="11274" width="13.8984375" style="25" customWidth="1"/>
    <col min="11275" max="11275" width="11.09765625" style="25" customWidth="1"/>
    <col min="11276" max="11276" width="11.19921875" style="25" customWidth="1"/>
    <col min="11277" max="11277" width="11.69921875" style="25" bestFit="1" customWidth="1"/>
    <col min="11278" max="11510" width="9" style="25"/>
    <col min="11511" max="11511" width="6.19921875" style="25" customWidth="1"/>
    <col min="11512" max="11512" width="40.3984375" style="25" customWidth="1"/>
    <col min="11513" max="11513" width="12.5" style="25" customWidth="1"/>
    <col min="11514" max="11526" width="0" style="25" hidden="1" customWidth="1"/>
    <col min="11527" max="11528" width="16" style="25" customWidth="1"/>
    <col min="11529" max="11530" width="13.8984375" style="25" customWidth="1"/>
    <col min="11531" max="11531" width="11.09765625" style="25" customWidth="1"/>
    <col min="11532" max="11532" width="11.19921875" style="25" customWidth="1"/>
    <col min="11533" max="11533" width="11.69921875" style="25" bestFit="1" customWidth="1"/>
    <col min="11534" max="11766" width="9" style="25"/>
    <col min="11767" max="11767" width="6.19921875" style="25" customWidth="1"/>
    <col min="11768" max="11768" width="40.3984375" style="25" customWidth="1"/>
    <col min="11769" max="11769" width="12.5" style="25" customWidth="1"/>
    <col min="11770" max="11782" width="0" style="25" hidden="1" customWidth="1"/>
    <col min="11783" max="11784" width="16" style="25" customWidth="1"/>
    <col min="11785" max="11786" width="13.8984375" style="25" customWidth="1"/>
    <col min="11787" max="11787" width="11.09765625" style="25" customWidth="1"/>
    <col min="11788" max="11788" width="11.19921875" style="25" customWidth="1"/>
    <col min="11789" max="11789" width="11.69921875" style="25" bestFit="1" customWidth="1"/>
    <col min="11790" max="12022" width="9" style="25"/>
    <col min="12023" max="12023" width="6.19921875" style="25" customWidth="1"/>
    <col min="12024" max="12024" width="40.3984375" style="25" customWidth="1"/>
    <col min="12025" max="12025" width="12.5" style="25" customWidth="1"/>
    <col min="12026" max="12038" width="0" style="25" hidden="1" customWidth="1"/>
    <col min="12039" max="12040" width="16" style="25" customWidth="1"/>
    <col min="12041" max="12042" width="13.8984375" style="25" customWidth="1"/>
    <col min="12043" max="12043" width="11.09765625" style="25" customWidth="1"/>
    <col min="12044" max="12044" width="11.19921875" style="25" customWidth="1"/>
    <col min="12045" max="12045" width="11.69921875" style="25" bestFit="1" customWidth="1"/>
    <col min="12046" max="12278" width="9" style="25"/>
    <col min="12279" max="12279" width="6.19921875" style="25" customWidth="1"/>
    <col min="12280" max="12280" width="40.3984375" style="25" customWidth="1"/>
    <col min="12281" max="12281" width="12.5" style="25" customWidth="1"/>
    <col min="12282" max="12294" width="0" style="25" hidden="1" customWidth="1"/>
    <col min="12295" max="12296" width="16" style="25" customWidth="1"/>
    <col min="12297" max="12298" width="13.8984375" style="25" customWidth="1"/>
    <col min="12299" max="12299" width="11.09765625" style="25" customWidth="1"/>
    <col min="12300" max="12300" width="11.19921875" style="25" customWidth="1"/>
    <col min="12301" max="12301" width="11.69921875" style="25" bestFit="1" customWidth="1"/>
    <col min="12302" max="12534" width="9" style="25"/>
    <col min="12535" max="12535" width="6.19921875" style="25" customWidth="1"/>
    <col min="12536" max="12536" width="40.3984375" style="25" customWidth="1"/>
    <col min="12537" max="12537" width="12.5" style="25" customWidth="1"/>
    <col min="12538" max="12550" width="0" style="25" hidden="1" customWidth="1"/>
    <col min="12551" max="12552" width="16" style="25" customWidth="1"/>
    <col min="12553" max="12554" width="13.8984375" style="25" customWidth="1"/>
    <col min="12555" max="12555" width="11.09765625" style="25" customWidth="1"/>
    <col min="12556" max="12556" width="11.19921875" style="25" customWidth="1"/>
    <col min="12557" max="12557" width="11.69921875" style="25" bestFit="1" customWidth="1"/>
    <col min="12558" max="12790" width="9" style="25"/>
    <col min="12791" max="12791" width="6.19921875" style="25" customWidth="1"/>
    <col min="12792" max="12792" width="40.3984375" style="25" customWidth="1"/>
    <col min="12793" max="12793" width="12.5" style="25" customWidth="1"/>
    <col min="12794" max="12806" width="0" style="25" hidden="1" customWidth="1"/>
    <col min="12807" max="12808" width="16" style="25" customWidth="1"/>
    <col min="12809" max="12810" width="13.8984375" style="25" customWidth="1"/>
    <col min="12811" max="12811" width="11.09765625" style="25" customWidth="1"/>
    <col min="12812" max="12812" width="11.19921875" style="25" customWidth="1"/>
    <col min="12813" max="12813" width="11.69921875" style="25" bestFit="1" customWidth="1"/>
    <col min="12814" max="13046" width="9" style="25"/>
    <col min="13047" max="13047" width="6.19921875" style="25" customWidth="1"/>
    <col min="13048" max="13048" width="40.3984375" style="25" customWidth="1"/>
    <col min="13049" max="13049" width="12.5" style="25" customWidth="1"/>
    <col min="13050" max="13062" width="0" style="25" hidden="1" customWidth="1"/>
    <col min="13063" max="13064" width="16" style="25" customWidth="1"/>
    <col min="13065" max="13066" width="13.8984375" style="25" customWidth="1"/>
    <col min="13067" max="13067" width="11.09765625" style="25" customWidth="1"/>
    <col min="13068" max="13068" width="11.19921875" style="25" customWidth="1"/>
    <col min="13069" max="13069" width="11.69921875" style="25" bestFit="1" customWidth="1"/>
    <col min="13070" max="13302" width="9" style="25"/>
    <col min="13303" max="13303" width="6.19921875" style="25" customWidth="1"/>
    <col min="13304" max="13304" width="40.3984375" style="25" customWidth="1"/>
    <col min="13305" max="13305" width="12.5" style="25" customWidth="1"/>
    <col min="13306" max="13318" width="0" style="25" hidden="1" customWidth="1"/>
    <col min="13319" max="13320" width="16" style="25" customWidth="1"/>
    <col min="13321" max="13322" width="13.8984375" style="25" customWidth="1"/>
    <col min="13323" max="13323" width="11.09765625" style="25" customWidth="1"/>
    <col min="13324" max="13324" width="11.19921875" style="25" customWidth="1"/>
    <col min="13325" max="13325" width="11.69921875" style="25" bestFit="1" customWidth="1"/>
    <col min="13326" max="13558" width="9" style="25"/>
    <col min="13559" max="13559" width="6.19921875" style="25" customWidth="1"/>
    <col min="13560" max="13560" width="40.3984375" style="25" customWidth="1"/>
    <col min="13561" max="13561" width="12.5" style="25" customWidth="1"/>
    <col min="13562" max="13574" width="0" style="25" hidden="1" customWidth="1"/>
    <col min="13575" max="13576" width="16" style="25" customWidth="1"/>
    <col min="13577" max="13578" width="13.8984375" style="25" customWidth="1"/>
    <col min="13579" max="13579" width="11.09765625" style="25" customWidth="1"/>
    <col min="13580" max="13580" width="11.19921875" style="25" customWidth="1"/>
    <col min="13581" max="13581" width="11.69921875" style="25" bestFit="1" customWidth="1"/>
    <col min="13582" max="13814" width="9" style="25"/>
    <col min="13815" max="13815" width="6.19921875" style="25" customWidth="1"/>
    <col min="13816" max="13816" width="40.3984375" style="25" customWidth="1"/>
    <col min="13817" max="13817" width="12.5" style="25" customWidth="1"/>
    <col min="13818" max="13830" width="0" style="25" hidden="1" customWidth="1"/>
    <col min="13831" max="13832" width="16" style="25" customWidth="1"/>
    <col min="13833" max="13834" width="13.8984375" style="25" customWidth="1"/>
    <col min="13835" max="13835" width="11.09765625" style="25" customWidth="1"/>
    <col min="13836" max="13836" width="11.19921875" style="25" customWidth="1"/>
    <col min="13837" max="13837" width="11.69921875" style="25" bestFit="1" customWidth="1"/>
    <col min="13838" max="14070" width="9" style="25"/>
    <col min="14071" max="14071" width="6.19921875" style="25" customWidth="1"/>
    <col min="14072" max="14072" width="40.3984375" style="25" customWidth="1"/>
    <col min="14073" max="14073" width="12.5" style="25" customWidth="1"/>
    <col min="14074" max="14086" width="0" style="25" hidden="1" customWidth="1"/>
    <col min="14087" max="14088" width="16" style="25" customWidth="1"/>
    <col min="14089" max="14090" width="13.8984375" style="25" customWidth="1"/>
    <col min="14091" max="14091" width="11.09765625" style="25" customWidth="1"/>
    <col min="14092" max="14092" width="11.19921875" style="25" customWidth="1"/>
    <col min="14093" max="14093" width="11.69921875" style="25" bestFit="1" customWidth="1"/>
    <col min="14094" max="14326" width="9" style="25"/>
    <col min="14327" max="14327" width="6.19921875" style="25" customWidth="1"/>
    <col min="14328" max="14328" width="40.3984375" style="25" customWidth="1"/>
    <col min="14329" max="14329" width="12.5" style="25" customWidth="1"/>
    <col min="14330" max="14342" width="0" style="25" hidden="1" customWidth="1"/>
    <col min="14343" max="14344" width="16" style="25" customWidth="1"/>
    <col min="14345" max="14346" width="13.8984375" style="25" customWidth="1"/>
    <col min="14347" max="14347" width="11.09765625" style="25" customWidth="1"/>
    <col min="14348" max="14348" width="11.19921875" style="25" customWidth="1"/>
    <col min="14349" max="14349" width="11.69921875" style="25" bestFit="1" customWidth="1"/>
    <col min="14350" max="14582" width="9" style="25"/>
    <col min="14583" max="14583" width="6.19921875" style="25" customWidth="1"/>
    <col min="14584" max="14584" width="40.3984375" style="25" customWidth="1"/>
    <col min="14585" max="14585" width="12.5" style="25" customWidth="1"/>
    <col min="14586" max="14598" width="0" style="25" hidden="1" customWidth="1"/>
    <col min="14599" max="14600" width="16" style="25" customWidth="1"/>
    <col min="14601" max="14602" width="13.8984375" style="25" customWidth="1"/>
    <col min="14603" max="14603" width="11.09765625" style="25" customWidth="1"/>
    <col min="14604" max="14604" width="11.19921875" style="25" customWidth="1"/>
    <col min="14605" max="14605" width="11.69921875" style="25" bestFit="1" customWidth="1"/>
    <col min="14606" max="14838" width="9" style="25"/>
    <col min="14839" max="14839" width="6.19921875" style="25" customWidth="1"/>
    <col min="14840" max="14840" width="40.3984375" style="25" customWidth="1"/>
    <col min="14841" max="14841" width="12.5" style="25" customWidth="1"/>
    <col min="14842" max="14854" width="0" style="25" hidden="1" customWidth="1"/>
    <col min="14855" max="14856" width="16" style="25" customWidth="1"/>
    <col min="14857" max="14858" width="13.8984375" style="25" customWidth="1"/>
    <col min="14859" max="14859" width="11.09765625" style="25" customWidth="1"/>
    <col min="14860" max="14860" width="11.19921875" style="25" customWidth="1"/>
    <col min="14861" max="14861" width="11.69921875" style="25" bestFit="1" customWidth="1"/>
    <col min="14862" max="15094" width="9" style="25"/>
    <col min="15095" max="15095" width="6.19921875" style="25" customWidth="1"/>
    <col min="15096" max="15096" width="40.3984375" style="25" customWidth="1"/>
    <col min="15097" max="15097" width="12.5" style="25" customWidth="1"/>
    <col min="15098" max="15110" width="0" style="25" hidden="1" customWidth="1"/>
    <col min="15111" max="15112" width="16" style="25" customWidth="1"/>
    <col min="15113" max="15114" width="13.8984375" style="25" customWidth="1"/>
    <col min="15115" max="15115" width="11.09765625" style="25" customWidth="1"/>
    <col min="15116" max="15116" width="11.19921875" style="25" customWidth="1"/>
    <col min="15117" max="15117" width="11.69921875" style="25" bestFit="1" customWidth="1"/>
    <col min="15118" max="15350" width="9" style="25"/>
    <col min="15351" max="15351" width="6.19921875" style="25" customWidth="1"/>
    <col min="15352" max="15352" width="40.3984375" style="25" customWidth="1"/>
    <col min="15353" max="15353" width="12.5" style="25" customWidth="1"/>
    <col min="15354" max="15366" width="0" style="25" hidden="1" customWidth="1"/>
    <col min="15367" max="15368" width="16" style="25" customWidth="1"/>
    <col min="15369" max="15370" width="13.8984375" style="25" customWidth="1"/>
    <col min="15371" max="15371" width="11.09765625" style="25" customWidth="1"/>
    <col min="15372" max="15372" width="11.19921875" style="25" customWidth="1"/>
    <col min="15373" max="15373" width="11.69921875" style="25" bestFit="1" customWidth="1"/>
    <col min="15374" max="15606" width="9" style="25"/>
    <col min="15607" max="15607" width="6.19921875" style="25" customWidth="1"/>
    <col min="15608" max="15608" width="40.3984375" style="25" customWidth="1"/>
    <col min="15609" max="15609" width="12.5" style="25" customWidth="1"/>
    <col min="15610" max="15622" width="0" style="25" hidden="1" customWidth="1"/>
    <col min="15623" max="15624" width="16" style="25" customWidth="1"/>
    <col min="15625" max="15626" width="13.8984375" style="25" customWidth="1"/>
    <col min="15627" max="15627" width="11.09765625" style="25" customWidth="1"/>
    <col min="15628" max="15628" width="11.19921875" style="25" customWidth="1"/>
    <col min="15629" max="15629" width="11.69921875" style="25" bestFit="1" customWidth="1"/>
    <col min="15630" max="15862" width="9" style="25"/>
    <col min="15863" max="15863" width="6.19921875" style="25" customWidth="1"/>
    <col min="15864" max="15864" width="40.3984375" style="25" customWidth="1"/>
    <col min="15865" max="15865" width="12.5" style="25" customWidth="1"/>
    <col min="15866" max="15878" width="0" style="25" hidden="1" customWidth="1"/>
    <col min="15879" max="15880" width="16" style="25" customWidth="1"/>
    <col min="15881" max="15882" width="13.8984375" style="25" customWidth="1"/>
    <col min="15883" max="15883" width="11.09765625" style="25" customWidth="1"/>
    <col min="15884" max="15884" width="11.19921875" style="25" customWidth="1"/>
    <col min="15885" max="15885" width="11.69921875" style="25" bestFit="1" customWidth="1"/>
    <col min="15886" max="16118" width="9" style="25"/>
    <col min="16119" max="16119" width="6.19921875" style="25" customWidth="1"/>
    <col min="16120" max="16120" width="40.3984375" style="25" customWidth="1"/>
    <col min="16121" max="16121" width="12.5" style="25" customWidth="1"/>
    <col min="16122" max="16134" width="0" style="25" hidden="1" customWidth="1"/>
    <col min="16135" max="16136" width="16" style="25" customWidth="1"/>
    <col min="16137" max="16138" width="13.8984375" style="25" customWidth="1"/>
    <col min="16139" max="16139" width="11.09765625" style="25" customWidth="1"/>
    <col min="16140" max="16140" width="11.19921875" style="25" customWidth="1"/>
    <col min="16141" max="16141" width="11.69921875" style="25" bestFit="1" customWidth="1"/>
    <col min="16142" max="16384" width="9" style="25"/>
  </cols>
  <sheetData>
    <row r="1" spans="1:41" ht="18.75" customHeight="1">
      <c r="A1" s="12" t="s">
        <v>481</v>
      </c>
      <c r="B1" s="24"/>
      <c r="C1" s="24"/>
      <c r="D1" s="24"/>
      <c r="E1" s="24"/>
      <c r="F1" s="24"/>
      <c r="G1" s="24"/>
      <c r="H1" s="24"/>
      <c r="I1" s="24"/>
      <c r="J1" s="24"/>
      <c r="K1" s="24"/>
      <c r="L1" s="24"/>
      <c r="M1" s="24"/>
      <c r="N1" s="24"/>
      <c r="O1" s="24"/>
    </row>
    <row r="2" spans="1:41" ht="22.5" customHeight="1">
      <c r="A2" s="661" t="s">
        <v>363</v>
      </c>
      <c r="B2" s="661"/>
      <c r="C2" s="661"/>
      <c r="D2" s="661"/>
      <c r="E2" s="661"/>
      <c r="F2" s="661"/>
      <c r="G2" s="661"/>
      <c r="H2" s="661"/>
      <c r="I2" s="661"/>
      <c r="J2" s="661"/>
      <c r="K2" s="661"/>
      <c r="L2" s="661"/>
      <c r="M2" s="661"/>
      <c r="N2" s="661"/>
      <c r="O2" s="661"/>
    </row>
    <row r="3" spans="1:41">
      <c r="A3" s="662" t="str">
        <f>'BIỂU TH'!A3:J3</f>
        <v>(Kèm theo Báo cáo số 899/BC-UBND, ngày 28 háng 11 năm 2022 của UBND huyện Tuần Giáo)</v>
      </c>
      <c r="B3" s="662"/>
      <c r="C3" s="662"/>
      <c r="D3" s="662"/>
      <c r="E3" s="662"/>
      <c r="F3" s="662"/>
      <c r="G3" s="662"/>
      <c r="H3" s="662"/>
      <c r="I3" s="662"/>
      <c r="J3" s="662"/>
      <c r="K3" s="662"/>
      <c r="L3" s="662"/>
      <c r="M3" s="662"/>
      <c r="N3" s="662"/>
      <c r="O3" s="662"/>
    </row>
    <row r="4" spans="1:41" ht="20.25" customHeight="1">
      <c r="A4" s="663" t="s">
        <v>44</v>
      </c>
      <c r="B4" s="663"/>
      <c r="C4" s="663"/>
      <c r="D4" s="663"/>
      <c r="E4" s="663"/>
      <c r="F4" s="663"/>
      <c r="G4" s="663"/>
      <c r="H4" s="663"/>
      <c r="I4" s="663"/>
      <c r="J4" s="663"/>
      <c r="K4" s="663"/>
      <c r="L4" s="663"/>
      <c r="M4" s="663"/>
      <c r="N4" s="663"/>
      <c r="O4" s="663"/>
    </row>
    <row r="5" spans="1:41" s="26" customFormat="1" ht="36.75" customHeight="1">
      <c r="A5" s="664" t="s">
        <v>49</v>
      </c>
      <c r="B5" s="665" t="s">
        <v>1</v>
      </c>
      <c r="C5" s="665" t="s">
        <v>27</v>
      </c>
      <c r="D5" s="665" t="s">
        <v>87</v>
      </c>
      <c r="E5" s="674" t="s">
        <v>45</v>
      </c>
      <c r="F5" s="680"/>
      <c r="G5" s="680"/>
      <c r="H5" s="675"/>
      <c r="I5" s="667" t="s">
        <v>81</v>
      </c>
      <c r="J5" s="668"/>
      <c r="K5" s="665" t="s">
        <v>359</v>
      </c>
      <c r="L5" s="665"/>
      <c r="M5" s="658" t="s">
        <v>286</v>
      </c>
      <c r="N5" s="658" t="s">
        <v>246</v>
      </c>
      <c r="O5" s="658" t="s">
        <v>8</v>
      </c>
    </row>
    <row r="6" spans="1:41" s="26" customFormat="1" ht="46.5" customHeight="1">
      <c r="A6" s="664"/>
      <c r="B6" s="665"/>
      <c r="C6" s="665"/>
      <c r="D6" s="665"/>
      <c r="E6" s="678"/>
      <c r="F6" s="681"/>
      <c r="G6" s="681"/>
      <c r="H6" s="679"/>
      <c r="I6" s="462" t="s">
        <v>366</v>
      </c>
      <c r="J6" s="462" t="s">
        <v>85</v>
      </c>
      <c r="K6" s="462" t="s">
        <v>366</v>
      </c>
      <c r="L6" s="462" t="s">
        <v>362</v>
      </c>
      <c r="M6" s="659"/>
      <c r="N6" s="659"/>
      <c r="O6" s="659"/>
    </row>
    <row r="7" spans="1:41" s="369" customFormat="1" ht="22.5" customHeight="1">
      <c r="A7" s="371">
        <v>1</v>
      </c>
      <c r="B7" s="372">
        <v>2</v>
      </c>
      <c r="C7" s="371">
        <v>3</v>
      </c>
      <c r="D7" s="372">
        <v>4</v>
      </c>
      <c r="E7" s="372">
        <v>5</v>
      </c>
      <c r="F7" s="452" t="s">
        <v>491</v>
      </c>
      <c r="G7" s="452" t="s">
        <v>492</v>
      </c>
      <c r="H7" s="452" t="s">
        <v>495</v>
      </c>
      <c r="I7" s="372">
        <v>6</v>
      </c>
      <c r="J7" s="371">
        <v>7</v>
      </c>
      <c r="K7" s="372">
        <v>8</v>
      </c>
      <c r="L7" s="371">
        <v>9</v>
      </c>
      <c r="M7" s="372">
        <v>10</v>
      </c>
      <c r="N7" s="372">
        <v>11</v>
      </c>
      <c r="O7" s="371">
        <v>12</v>
      </c>
    </row>
    <row r="8" spans="1:41" ht="28.5" customHeight="1">
      <c r="A8" s="467"/>
      <c r="B8" s="229" t="s">
        <v>54</v>
      </c>
      <c r="C8" s="28"/>
      <c r="D8" s="94">
        <f t="shared" ref="D8:N8" si="0">D9+D25+D35</f>
        <v>238325.758</v>
      </c>
      <c r="E8" s="94">
        <f t="shared" si="0"/>
        <v>87246.146999999997</v>
      </c>
      <c r="F8" s="453">
        <f t="shared" si="0"/>
        <v>7403</v>
      </c>
      <c r="G8" s="453">
        <f t="shared" si="0"/>
        <v>79879</v>
      </c>
      <c r="H8" s="453">
        <f t="shared" si="0"/>
        <v>-35.853000000000002</v>
      </c>
      <c r="I8" s="94">
        <f t="shared" si="0"/>
        <v>25322.5</v>
      </c>
      <c r="J8" s="94">
        <f t="shared" si="0"/>
        <v>88105.766373999999</v>
      </c>
      <c r="K8" s="94">
        <f t="shared" si="0"/>
        <v>56143.415999999997</v>
      </c>
      <c r="L8" s="94">
        <f t="shared" si="0"/>
        <v>115567.807374</v>
      </c>
      <c r="M8" s="94">
        <f t="shared" si="0"/>
        <v>56883.801000000007</v>
      </c>
      <c r="N8" s="94">
        <f t="shared" si="0"/>
        <v>46400</v>
      </c>
      <c r="O8" s="484"/>
      <c r="P8" s="25">
        <f>+D8-L8</f>
        <v>122757.95062600001</v>
      </c>
      <c r="Q8" s="25">
        <f>+E8-K8</f>
        <v>31102.731</v>
      </c>
      <c r="R8" s="25">
        <f>+J8-L8</f>
        <v>-27462.040999999997</v>
      </c>
      <c r="S8" s="25">
        <f>+E8-M8</f>
        <v>30362.34599999999</v>
      </c>
      <c r="T8" s="25">
        <f>+M8-K8</f>
        <v>740.38500000000931</v>
      </c>
      <c r="U8" s="25">
        <f>+P8-T8</f>
        <v>122017.565626</v>
      </c>
      <c r="V8" s="25">
        <f>+M8-K8</f>
        <v>740.38500000000931</v>
      </c>
      <c r="W8" s="25">
        <f>+D8-M8-V8</f>
        <v>180701.57199999999</v>
      </c>
      <c r="X8" s="25">
        <f>+E8-K8</f>
        <v>31102.731</v>
      </c>
      <c r="Y8" s="25">
        <f>+E8-M8</f>
        <v>30362.34599999999</v>
      </c>
      <c r="Z8" s="25">
        <f>+J8-L8</f>
        <v>-27462.040999999997</v>
      </c>
      <c r="AA8" s="25">
        <f t="shared" ref="AA8:AA39" si="1">+E8-K8</f>
        <v>31102.731</v>
      </c>
      <c r="AB8" s="25">
        <f t="shared" ref="AB8:AB39" si="2">+D8-L8</f>
        <v>122757.95062600001</v>
      </c>
      <c r="AC8" s="25">
        <f t="shared" ref="AC8:AC39" si="3">+M8-K8</f>
        <v>740.38500000000931</v>
      </c>
      <c r="AD8" s="25">
        <f t="shared" ref="AD8:AD39" si="4">+D8-(L8+AC8)</f>
        <v>122017.565626</v>
      </c>
      <c r="AE8" s="631">
        <f>+M8/E8*100</f>
        <v>65.19921275148117</v>
      </c>
      <c r="AF8" s="25">
        <f>+M8-K8</f>
        <v>740.38500000000931</v>
      </c>
      <c r="AG8" s="25">
        <f>+L8+AF8</f>
        <v>116308.19237400001</v>
      </c>
      <c r="AH8" s="25">
        <f>+D8-AG8</f>
        <v>122017.565626</v>
      </c>
      <c r="AI8" s="25">
        <f>+E8-M8</f>
        <v>30362.34599999999</v>
      </c>
      <c r="AJ8" s="25">
        <f>+J8-L8</f>
        <v>-27462.040999999997</v>
      </c>
      <c r="AO8" s="635">
        <f>K8/E8</f>
        <v>0.64350596479635946</v>
      </c>
    </row>
    <row r="9" spans="1:41" ht="22.5" customHeight="1">
      <c r="A9" s="467" t="s">
        <v>23</v>
      </c>
      <c r="B9" s="31" t="s">
        <v>358</v>
      </c>
      <c r="C9" s="28"/>
      <c r="D9" s="94">
        <f t="shared" ref="D9:N9" si="5">D10+D21</f>
        <v>83662.758000000002</v>
      </c>
      <c r="E9" s="94">
        <f>E10+E21</f>
        <v>28336</v>
      </c>
      <c r="F9" s="453">
        <f>F10+F21</f>
        <v>6146</v>
      </c>
      <c r="G9" s="453">
        <f t="shared" ref="G9:H9" si="6">G10+G21</f>
        <v>22190</v>
      </c>
      <c r="H9" s="453">
        <f t="shared" si="6"/>
        <v>0</v>
      </c>
      <c r="I9" s="94">
        <f t="shared" si="5"/>
        <v>20941.5</v>
      </c>
      <c r="J9" s="94">
        <f t="shared" si="5"/>
        <v>52506.399874000002</v>
      </c>
      <c r="K9" s="94">
        <f t="shared" si="5"/>
        <v>22616.47</v>
      </c>
      <c r="L9" s="94">
        <f t="shared" si="5"/>
        <v>52043.597873999999</v>
      </c>
      <c r="M9" s="94">
        <f t="shared" si="5"/>
        <v>22760.47</v>
      </c>
      <c r="N9" s="94">
        <f t="shared" si="5"/>
        <v>1900</v>
      </c>
      <c r="O9" s="484"/>
      <c r="AA9" s="25">
        <f t="shared" si="1"/>
        <v>5719.5299999999988</v>
      </c>
      <c r="AB9" s="25">
        <f t="shared" si="2"/>
        <v>31619.160126000002</v>
      </c>
      <c r="AC9" s="25">
        <f t="shared" si="3"/>
        <v>144</v>
      </c>
      <c r="AD9" s="25">
        <f t="shared" si="4"/>
        <v>31475.160126000002</v>
      </c>
      <c r="AE9" s="485"/>
      <c r="AF9" s="25">
        <f t="shared" ref="AF9:AF39" si="7">+M9-K9</f>
        <v>144</v>
      </c>
      <c r="AG9" s="25">
        <f t="shared" ref="AG9:AG39" si="8">+L9+AF9</f>
        <v>52187.597873999999</v>
      </c>
      <c r="AH9" s="25">
        <f t="shared" ref="AH9:AH39" si="9">+D9-AG9</f>
        <v>31475.160126000002</v>
      </c>
      <c r="AI9" s="25">
        <f t="shared" ref="AI9:AI39" si="10">+E9-M9</f>
        <v>5575.5299999999988</v>
      </c>
      <c r="AJ9" s="25">
        <f t="shared" ref="AJ9:AJ39" si="11">+J9-L9</f>
        <v>462.80200000000332</v>
      </c>
    </row>
    <row r="10" spans="1:41" s="491" customFormat="1" ht="22.5" customHeight="1">
      <c r="A10" s="486" t="s">
        <v>28</v>
      </c>
      <c r="B10" s="487" t="s">
        <v>283</v>
      </c>
      <c r="C10" s="372"/>
      <c r="D10" s="488">
        <f t="shared" ref="D10:N10" si="12">SUM(D11:D20)</f>
        <v>60912.758000000002</v>
      </c>
      <c r="E10" s="488">
        <f>SUM(E11:E20)</f>
        <v>6146</v>
      </c>
      <c r="F10" s="489">
        <f>SUM(F11:F20)</f>
        <v>6146</v>
      </c>
      <c r="G10" s="489">
        <f t="shared" ref="G10:H10" si="13">SUM(G11:G20)</f>
        <v>0</v>
      </c>
      <c r="H10" s="489">
        <f t="shared" si="13"/>
        <v>0</v>
      </c>
      <c r="I10" s="488">
        <f t="shared" si="12"/>
        <v>4000</v>
      </c>
      <c r="J10" s="488">
        <f t="shared" si="12"/>
        <v>35564.899874000002</v>
      </c>
      <c r="K10" s="488">
        <f t="shared" si="12"/>
        <v>5993.7699999999995</v>
      </c>
      <c r="L10" s="488">
        <f t="shared" si="12"/>
        <v>35420.897874000002</v>
      </c>
      <c r="M10" s="488">
        <f t="shared" si="12"/>
        <v>6137.7699999999995</v>
      </c>
      <c r="N10" s="488">
        <f t="shared" si="12"/>
        <v>1900</v>
      </c>
      <c r="O10" s="490"/>
      <c r="AA10" s="25">
        <f t="shared" si="1"/>
        <v>152.23000000000047</v>
      </c>
      <c r="AB10" s="25">
        <f t="shared" si="2"/>
        <v>25491.860126</v>
      </c>
      <c r="AC10" s="25">
        <f t="shared" si="3"/>
        <v>144</v>
      </c>
      <c r="AD10" s="25">
        <f t="shared" si="4"/>
        <v>25347.860126</v>
      </c>
      <c r="AF10" s="25">
        <f t="shared" si="7"/>
        <v>144</v>
      </c>
      <c r="AG10" s="25">
        <f t="shared" si="8"/>
        <v>35564.897874000002</v>
      </c>
      <c r="AH10" s="25">
        <f t="shared" si="9"/>
        <v>25347.860126</v>
      </c>
      <c r="AI10" s="25">
        <f t="shared" si="10"/>
        <v>8.2300000000004729</v>
      </c>
      <c r="AJ10" s="25">
        <f t="shared" si="11"/>
        <v>144.00200000000041</v>
      </c>
    </row>
    <row r="11" spans="1:41" ht="21" customHeight="1">
      <c r="A11" s="14">
        <v>1</v>
      </c>
      <c r="B11" s="492" t="s">
        <v>261</v>
      </c>
      <c r="C11" s="28" t="s">
        <v>39</v>
      </c>
      <c r="D11" s="97">
        <v>3612.7579999999998</v>
      </c>
      <c r="E11" s="97">
        <v>34</v>
      </c>
      <c r="F11" s="455">
        <v>34</v>
      </c>
      <c r="G11" s="455"/>
      <c r="H11" s="455"/>
      <c r="I11" s="97"/>
      <c r="J11" s="97">
        <v>2728.7150000000001</v>
      </c>
      <c r="K11" s="97">
        <v>25.806999999999999</v>
      </c>
      <c r="L11" s="97">
        <f>2702.908+K11</f>
        <v>2728.7149999999997</v>
      </c>
      <c r="M11" s="97">
        <f>K11</f>
        <v>25.806999999999999</v>
      </c>
      <c r="N11" s="97"/>
      <c r="O11" s="493"/>
      <c r="AA11" s="25">
        <f t="shared" si="1"/>
        <v>8.1930000000000014</v>
      </c>
      <c r="AB11" s="25">
        <f t="shared" si="2"/>
        <v>884.04300000000012</v>
      </c>
      <c r="AC11" s="25">
        <f t="shared" si="3"/>
        <v>0</v>
      </c>
      <c r="AD11" s="25">
        <f t="shared" si="4"/>
        <v>884.04300000000012</v>
      </c>
      <c r="AF11" s="25">
        <f t="shared" si="7"/>
        <v>0</v>
      </c>
      <c r="AG11" s="25">
        <f t="shared" si="8"/>
        <v>2728.7149999999997</v>
      </c>
      <c r="AH11" s="25">
        <f t="shared" si="9"/>
        <v>884.04300000000012</v>
      </c>
      <c r="AI11" s="25">
        <f t="shared" si="10"/>
        <v>8.1930000000000014</v>
      </c>
      <c r="AJ11" s="25">
        <f t="shared" si="11"/>
        <v>0</v>
      </c>
    </row>
    <row r="12" spans="1:41" ht="18" customHeight="1">
      <c r="A12" s="14">
        <v>2</v>
      </c>
      <c r="B12" s="492" t="s">
        <v>262</v>
      </c>
      <c r="C12" s="28" t="s">
        <v>161</v>
      </c>
      <c r="D12" s="97">
        <v>14950</v>
      </c>
      <c r="E12" s="97">
        <v>1949</v>
      </c>
      <c r="F12" s="455">
        <v>1949</v>
      </c>
      <c r="G12" s="455"/>
      <c r="H12" s="455"/>
      <c r="I12" s="97"/>
      <c r="J12" s="97">
        <v>13929.565000000001</v>
      </c>
      <c r="K12" s="97">
        <v>1949</v>
      </c>
      <c r="L12" s="97">
        <f>11980.563+K12</f>
        <v>13929.563</v>
      </c>
      <c r="M12" s="97">
        <f>E12</f>
        <v>1949</v>
      </c>
      <c r="N12" s="97"/>
      <c r="O12" s="493"/>
      <c r="AA12" s="25">
        <f t="shared" si="1"/>
        <v>0</v>
      </c>
      <c r="AB12" s="25">
        <f t="shared" si="2"/>
        <v>1020.4369999999999</v>
      </c>
      <c r="AC12" s="25">
        <f t="shared" si="3"/>
        <v>0</v>
      </c>
      <c r="AD12" s="25">
        <f t="shared" si="4"/>
        <v>1020.4369999999999</v>
      </c>
      <c r="AF12" s="25">
        <f t="shared" si="7"/>
        <v>0</v>
      </c>
      <c r="AG12" s="25">
        <f t="shared" si="8"/>
        <v>13929.563</v>
      </c>
      <c r="AH12" s="25">
        <f t="shared" si="9"/>
        <v>1020.4369999999999</v>
      </c>
      <c r="AI12" s="25">
        <f t="shared" si="10"/>
        <v>0</v>
      </c>
      <c r="AJ12" s="25">
        <f t="shared" si="11"/>
        <v>2.0000000004074536E-3</v>
      </c>
    </row>
    <row r="13" spans="1:41" ht="31.2">
      <c r="A13" s="14">
        <v>3</v>
      </c>
      <c r="B13" s="492" t="s">
        <v>263</v>
      </c>
      <c r="C13" s="28" t="s">
        <v>355</v>
      </c>
      <c r="D13" s="97">
        <v>14000</v>
      </c>
      <c r="E13" s="97">
        <v>2000</v>
      </c>
      <c r="F13" s="455">
        <v>2000</v>
      </c>
      <c r="G13" s="455"/>
      <c r="H13" s="455"/>
      <c r="I13" s="97">
        <f>E13</f>
        <v>2000</v>
      </c>
      <c r="J13" s="97">
        <f>I13</f>
        <v>2000</v>
      </c>
      <c r="K13" s="97">
        <f>J13</f>
        <v>2000</v>
      </c>
      <c r="L13" s="97">
        <f>K13</f>
        <v>2000</v>
      </c>
      <c r="M13" s="97">
        <f>E13</f>
        <v>2000</v>
      </c>
      <c r="N13" s="97">
        <v>1900</v>
      </c>
      <c r="O13" s="493"/>
      <c r="AA13" s="25">
        <f t="shared" si="1"/>
        <v>0</v>
      </c>
      <c r="AB13" s="25">
        <f t="shared" si="2"/>
        <v>12000</v>
      </c>
      <c r="AC13" s="25">
        <f t="shared" si="3"/>
        <v>0</v>
      </c>
      <c r="AD13" s="25">
        <f t="shared" si="4"/>
        <v>12000</v>
      </c>
      <c r="AF13" s="25">
        <f t="shared" si="7"/>
        <v>0</v>
      </c>
      <c r="AG13" s="25">
        <f t="shared" si="8"/>
        <v>2000</v>
      </c>
      <c r="AH13" s="25">
        <f t="shared" si="9"/>
        <v>12000</v>
      </c>
      <c r="AI13" s="25">
        <f t="shared" si="10"/>
        <v>0</v>
      </c>
      <c r="AJ13" s="25">
        <f t="shared" si="11"/>
        <v>0</v>
      </c>
    </row>
    <row r="14" spans="1:41" ht="31.2">
      <c r="A14" s="14">
        <v>4</v>
      </c>
      <c r="B14" s="492" t="s">
        <v>357</v>
      </c>
      <c r="C14" s="28" t="s">
        <v>38</v>
      </c>
      <c r="D14" s="97">
        <v>12000</v>
      </c>
      <c r="E14" s="97">
        <v>2000</v>
      </c>
      <c r="F14" s="455">
        <v>2000</v>
      </c>
      <c r="G14" s="455"/>
      <c r="H14" s="455"/>
      <c r="I14" s="97">
        <f>E14</f>
        <v>2000</v>
      </c>
      <c r="J14" s="97">
        <f>I14</f>
        <v>2000</v>
      </c>
      <c r="K14" s="97">
        <f>I14</f>
        <v>2000</v>
      </c>
      <c r="L14" s="97">
        <f>K14</f>
        <v>2000</v>
      </c>
      <c r="M14" s="97">
        <f>L14</f>
        <v>2000</v>
      </c>
      <c r="N14" s="97"/>
      <c r="O14" s="493"/>
      <c r="AA14" s="25">
        <f t="shared" si="1"/>
        <v>0</v>
      </c>
      <c r="AB14" s="25">
        <f t="shared" si="2"/>
        <v>10000</v>
      </c>
      <c r="AC14" s="25">
        <f t="shared" si="3"/>
        <v>0</v>
      </c>
      <c r="AD14" s="25">
        <f t="shared" si="4"/>
        <v>10000</v>
      </c>
      <c r="AF14" s="25">
        <f t="shared" si="7"/>
        <v>0</v>
      </c>
      <c r="AG14" s="25">
        <f t="shared" si="8"/>
        <v>2000</v>
      </c>
      <c r="AH14" s="25">
        <f t="shared" si="9"/>
        <v>10000</v>
      </c>
      <c r="AI14" s="25">
        <f t="shared" si="10"/>
        <v>0</v>
      </c>
      <c r="AJ14" s="25">
        <f t="shared" si="11"/>
        <v>0</v>
      </c>
    </row>
    <row r="15" spans="1:41" ht="18.75" customHeight="1">
      <c r="A15" s="14">
        <v>5</v>
      </c>
      <c r="B15" s="492" t="s">
        <v>356</v>
      </c>
      <c r="C15" s="28" t="s">
        <v>132</v>
      </c>
      <c r="D15" s="97">
        <v>5700</v>
      </c>
      <c r="E15" s="97">
        <v>19</v>
      </c>
      <c r="F15" s="455">
        <v>19</v>
      </c>
      <c r="G15" s="455"/>
      <c r="H15" s="455"/>
      <c r="I15" s="97"/>
      <c r="J15" s="97">
        <v>5336.53</v>
      </c>
      <c r="K15" s="97">
        <v>18.963000000000001</v>
      </c>
      <c r="L15" s="97">
        <f>J15</f>
        <v>5336.53</v>
      </c>
      <c r="M15" s="494">
        <f>'[1]Bểu 06 ĐCKHV 2022, CTMTQG'!K24</f>
        <v>18.963000000000001</v>
      </c>
      <c r="N15" s="97"/>
      <c r="O15" s="493"/>
      <c r="AA15" s="25">
        <f t="shared" si="1"/>
        <v>3.6999999999999034E-2</v>
      </c>
      <c r="AB15" s="25">
        <f t="shared" si="2"/>
        <v>363.47000000000025</v>
      </c>
      <c r="AC15" s="25">
        <f t="shared" si="3"/>
        <v>0</v>
      </c>
      <c r="AD15" s="25">
        <f t="shared" si="4"/>
        <v>363.47000000000025</v>
      </c>
      <c r="AF15" s="25">
        <f t="shared" si="7"/>
        <v>0</v>
      </c>
      <c r="AG15" s="25">
        <f t="shared" si="8"/>
        <v>5336.53</v>
      </c>
      <c r="AH15" s="25">
        <f t="shared" si="9"/>
        <v>363.47000000000025</v>
      </c>
      <c r="AI15" s="25">
        <f t="shared" si="10"/>
        <v>3.6999999999999034E-2</v>
      </c>
      <c r="AJ15" s="25">
        <f t="shared" si="11"/>
        <v>0</v>
      </c>
      <c r="AM15" s="25">
        <f>+J15-L15</f>
        <v>0</v>
      </c>
    </row>
    <row r="16" spans="1:41" ht="18.75" customHeight="1">
      <c r="A16" s="14">
        <v>6</v>
      </c>
      <c r="B16" s="492" t="s">
        <v>264</v>
      </c>
      <c r="C16" s="28" t="s">
        <v>352</v>
      </c>
      <c r="D16" s="495">
        <v>1400</v>
      </c>
      <c r="E16" s="97">
        <v>6</v>
      </c>
      <c r="F16" s="455">
        <v>6</v>
      </c>
      <c r="G16" s="455"/>
      <c r="H16" s="455"/>
      <c r="I16" s="97"/>
      <c r="J16" s="97">
        <f>L16+M16</f>
        <v>1059.43</v>
      </c>
      <c r="K16" s="97"/>
      <c r="L16" s="97">
        <v>1053.43</v>
      </c>
      <c r="M16" s="97">
        <v>6</v>
      </c>
      <c r="N16" s="97"/>
      <c r="O16" s="633"/>
      <c r="AA16" s="25">
        <f t="shared" si="1"/>
        <v>6</v>
      </c>
      <c r="AB16" s="25">
        <f t="shared" si="2"/>
        <v>346.56999999999994</v>
      </c>
      <c r="AC16" s="25">
        <f t="shared" si="3"/>
        <v>6</v>
      </c>
      <c r="AD16" s="25">
        <f t="shared" si="4"/>
        <v>340.56999999999994</v>
      </c>
      <c r="AE16" s="682"/>
      <c r="AF16" s="25">
        <f t="shared" si="7"/>
        <v>6</v>
      </c>
      <c r="AG16" s="25">
        <f t="shared" si="8"/>
        <v>1059.43</v>
      </c>
      <c r="AH16" s="25">
        <f t="shared" si="9"/>
        <v>340.56999999999994</v>
      </c>
      <c r="AI16" s="25">
        <f t="shared" si="10"/>
        <v>0</v>
      </c>
      <c r="AJ16" s="25">
        <f t="shared" si="11"/>
        <v>6</v>
      </c>
    </row>
    <row r="17" spans="1:36" ht="31.2">
      <c r="A17" s="14">
        <v>7</v>
      </c>
      <c r="B17" s="492" t="s">
        <v>265</v>
      </c>
      <c r="C17" s="28" t="s">
        <v>41</v>
      </c>
      <c r="D17" s="97">
        <v>3050</v>
      </c>
      <c r="E17" s="97">
        <v>16</v>
      </c>
      <c r="F17" s="455">
        <v>16</v>
      </c>
      <c r="G17" s="455"/>
      <c r="H17" s="455"/>
      <c r="I17" s="97"/>
      <c r="J17" s="97">
        <f>L17+M17</f>
        <v>2713.858874</v>
      </c>
      <c r="K17" s="97"/>
      <c r="L17" s="97">
        <v>2697.858874</v>
      </c>
      <c r="M17" s="97">
        <v>16</v>
      </c>
      <c r="N17" s="97"/>
      <c r="O17" s="633"/>
      <c r="AA17" s="25">
        <f t="shared" si="1"/>
        <v>16</v>
      </c>
      <c r="AB17" s="25">
        <f t="shared" si="2"/>
        <v>352.14112599999999</v>
      </c>
      <c r="AC17" s="25">
        <f t="shared" si="3"/>
        <v>16</v>
      </c>
      <c r="AD17" s="25">
        <f t="shared" si="4"/>
        <v>336.14112599999999</v>
      </c>
      <c r="AE17" s="682"/>
      <c r="AF17" s="25">
        <f t="shared" si="7"/>
        <v>16</v>
      </c>
      <c r="AG17" s="25">
        <f t="shared" si="8"/>
        <v>2713.858874</v>
      </c>
      <c r="AH17" s="25">
        <f t="shared" si="9"/>
        <v>336.14112599999999</v>
      </c>
      <c r="AI17" s="25">
        <f t="shared" si="10"/>
        <v>0</v>
      </c>
      <c r="AJ17" s="25">
        <f t="shared" si="11"/>
        <v>16</v>
      </c>
    </row>
    <row r="18" spans="1:36" ht="20.25" customHeight="1">
      <c r="A18" s="14">
        <v>8</v>
      </c>
      <c r="B18" s="492" t="s">
        <v>266</v>
      </c>
      <c r="C18" s="28" t="s">
        <v>41</v>
      </c>
      <c r="D18" s="97">
        <v>1900</v>
      </c>
      <c r="E18" s="97">
        <v>11</v>
      </c>
      <c r="F18" s="455">
        <v>11</v>
      </c>
      <c r="G18" s="455"/>
      <c r="H18" s="455"/>
      <c r="I18" s="97"/>
      <c r="J18" s="97">
        <f>L18+M18</f>
        <v>1828.135</v>
      </c>
      <c r="K18" s="97"/>
      <c r="L18" s="97">
        <v>1817.135</v>
      </c>
      <c r="M18" s="97">
        <v>11</v>
      </c>
      <c r="N18" s="97"/>
      <c r="O18" s="633"/>
      <c r="AA18" s="25">
        <f t="shared" si="1"/>
        <v>11</v>
      </c>
      <c r="AB18" s="25">
        <f t="shared" si="2"/>
        <v>82.865000000000009</v>
      </c>
      <c r="AC18" s="25">
        <f t="shared" si="3"/>
        <v>11</v>
      </c>
      <c r="AD18" s="25">
        <f t="shared" si="4"/>
        <v>71.865000000000009</v>
      </c>
      <c r="AE18" s="682"/>
      <c r="AF18" s="25">
        <f t="shared" si="7"/>
        <v>11</v>
      </c>
      <c r="AG18" s="25">
        <f t="shared" si="8"/>
        <v>1828.135</v>
      </c>
      <c r="AH18" s="25">
        <f t="shared" si="9"/>
        <v>71.865000000000009</v>
      </c>
      <c r="AI18" s="25">
        <f t="shared" si="10"/>
        <v>0</v>
      </c>
      <c r="AJ18" s="25">
        <f t="shared" si="11"/>
        <v>11</v>
      </c>
    </row>
    <row r="19" spans="1:36" ht="20.25" customHeight="1">
      <c r="A19" s="14">
        <v>9</v>
      </c>
      <c r="B19" s="492" t="s">
        <v>267</v>
      </c>
      <c r="C19" s="28" t="s">
        <v>38</v>
      </c>
      <c r="D19" s="97">
        <v>2300</v>
      </c>
      <c r="E19" s="97">
        <v>93</v>
      </c>
      <c r="F19" s="455">
        <v>93</v>
      </c>
      <c r="G19" s="455"/>
      <c r="H19" s="455"/>
      <c r="I19" s="97"/>
      <c r="J19" s="97">
        <f>L19+M19</f>
        <v>2053.366</v>
      </c>
      <c r="K19" s="97"/>
      <c r="L19" s="97">
        <v>1960.366</v>
      </c>
      <c r="M19" s="97">
        <v>93</v>
      </c>
      <c r="N19" s="97"/>
      <c r="O19" s="633"/>
      <c r="AA19" s="25">
        <f t="shared" si="1"/>
        <v>93</v>
      </c>
      <c r="AB19" s="25">
        <f t="shared" si="2"/>
        <v>339.63400000000001</v>
      </c>
      <c r="AC19" s="25">
        <f t="shared" si="3"/>
        <v>93</v>
      </c>
      <c r="AD19" s="25">
        <f t="shared" si="4"/>
        <v>246.63400000000001</v>
      </c>
      <c r="AE19" s="682"/>
      <c r="AF19" s="25">
        <f t="shared" si="7"/>
        <v>93</v>
      </c>
      <c r="AG19" s="25">
        <f t="shared" si="8"/>
        <v>2053.366</v>
      </c>
      <c r="AH19" s="25">
        <f t="shared" si="9"/>
        <v>246.63400000000001</v>
      </c>
      <c r="AI19" s="25">
        <f t="shared" si="10"/>
        <v>0</v>
      </c>
      <c r="AJ19" s="25">
        <f t="shared" si="11"/>
        <v>93</v>
      </c>
    </row>
    <row r="20" spans="1:36" ht="20.25" customHeight="1">
      <c r="A20" s="14">
        <v>10</v>
      </c>
      <c r="B20" s="492" t="s">
        <v>268</v>
      </c>
      <c r="C20" s="28" t="s">
        <v>355</v>
      </c>
      <c r="D20" s="97">
        <v>2000</v>
      </c>
      <c r="E20" s="97">
        <v>18</v>
      </c>
      <c r="F20" s="455">
        <v>18</v>
      </c>
      <c r="G20" s="455"/>
      <c r="H20" s="455"/>
      <c r="I20" s="97"/>
      <c r="J20" s="97">
        <v>1915.3</v>
      </c>
      <c r="K20" s="97"/>
      <c r="L20" s="97">
        <f>J20-M20</f>
        <v>1897.3</v>
      </c>
      <c r="M20" s="97">
        <v>18</v>
      </c>
      <c r="N20" s="97"/>
      <c r="O20" s="633"/>
      <c r="AA20" s="25">
        <f t="shared" si="1"/>
        <v>18</v>
      </c>
      <c r="AB20" s="25">
        <f t="shared" si="2"/>
        <v>102.70000000000005</v>
      </c>
      <c r="AC20" s="25">
        <f t="shared" si="3"/>
        <v>18</v>
      </c>
      <c r="AD20" s="25">
        <f t="shared" si="4"/>
        <v>84.700000000000045</v>
      </c>
      <c r="AE20" s="682"/>
      <c r="AF20" s="25">
        <f t="shared" si="7"/>
        <v>18</v>
      </c>
      <c r="AG20" s="25">
        <f t="shared" si="8"/>
        <v>1915.3</v>
      </c>
      <c r="AH20" s="25">
        <f t="shared" si="9"/>
        <v>84.700000000000045</v>
      </c>
      <c r="AI20" s="25">
        <f t="shared" si="10"/>
        <v>0</v>
      </c>
      <c r="AJ20" s="25">
        <f t="shared" si="11"/>
        <v>18</v>
      </c>
    </row>
    <row r="21" spans="1:36" s="498" customFormat="1" ht="20.25" customHeight="1">
      <c r="A21" s="486" t="s">
        <v>28</v>
      </c>
      <c r="B21" s="487" t="s">
        <v>351</v>
      </c>
      <c r="C21" s="497"/>
      <c r="D21" s="488">
        <f t="shared" ref="D21:M21" si="14">SUM(D22:D24)</f>
        <v>22750</v>
      </c>
      <c r="E21" s="488">
        <f t="shared" si="14"/>
        <v>22190</v>
      </c>
      <c r="F21" s="489">
        <f t="shared" si="14"/>
        <v>0</v>
      </c>
      <c r="G21" s="489">
        <f t="shared" si="14"/>
        <v>22190</v>
      </c>
      <c r="H21" s="489">
        <f t="shared" si="14"/>
        <v>0</v>
      </c>
      <c r="I21" s="488">
        <f t="shared" si="14"/>
        <v>16941.5</v>
      </c>
      <c r="J21" s="488">
        <f t="shared" si="14"/>
        <v>16941.5</v>
      </c>
      <c r="K21" s="488">
        <f t="shared" si="14"/>
        <v>16622.7</v>
      </c>
      <c r="L21" s="488">
        <f t="shared" si="14"/>
        <v>16622.7</v>
      </c>
      <c r="M21" s="488">
        <f t="shared" si="14"/>
        <v>16622.7</v>
      </c>
      <c r="N21" s="488"/>
      <c r="O21" s="490"/>
      <c r="AA21" s="25">
        <f t="shared" si="1"/>
        <v>5567.2999999999993</v>
      </c>
      <c r="AB21" s="25">
        <f t="shared" si="2"/>
        <v>6127.2999999999993</v>
      </c>
      <c r="AC21" s="25">
        <f t="shared" si="3"/>
        <v>0</v>
      </c>
      <c r="AD21" s="25">
        <f t="shared" si="4"/>
        <v>6127.2999999999993</v>
      </c>
      <c r="AF21" s="25">
        <f t="shared" si="7"/>
        <v>0</v>
      </c>
      <c r="AG21" s="25">
        <f t="shared" si="8"/>
        <v>16622.7</v>
      </c>
      <c r="AH21" s="25">
        <f t="shared" si="9"/>
        <v>6127.2999999999993</v>
      </c>
      <c r="AI21" s="25">
        <f t="shared" si="10"/>
        <v>5567.2999999999993</v>
      </c>
      <c r="AJ21" s="25">
        <f t="shared" si="11"/>
        <v>318.79999999999927</v>
      </c>
    </row>
    <row r="22" spans="1:36" ht="46.8">
      <c r="A22" s="14">
        <v>11</v>
      </c>
      <c r="B22" s="492" t="s">
        <v>269</v>
      </c>
      <c r="C22" s="28" t="s">
        <v>38</v>
      </c>
      <c r="D22" s="97">
        <v>14900</v>
      </c>
      <c r="E22" s="97">
        <v>14155</v>
      </c>
      <c r="F22" s="455"/>
      <c r="G22" s="455">
        <v>14155</v>
      </c>
      <c r="H22" s="455"/>
      <c r="I22" s="97">
        <v>9818.7999999999993</v>
      </c>
      <c r="J22" s="97">
        <f>+I22</f>
        <v>9818.7999999999993</v>
      </c>
      <c r="K22" s="97">
        <v>9500</v>
      </c>
      <c r="L22" s="97">
        <f t="shared" ref="L22:M24" si="15">K22</f>
        <v>9500</v>
      </c>
      <c r="M22" s="97">
        <f t="shared" si="15"/>
        <v>9500</v>
      </c>
      <c r="N22" s="97"/>
      <c r="O22" s="499" t="s">
        <v>454</v>
      </c>
      <c r="AA22" s="25">
        <f t="shared" si="1"/>
        <v>4655</v>
      </c>
      <c r="AB22" s="25">
        <f t="shared" si="2"/>
        <v>5400</v>
      </c>
      <c r="AC22" s="25">
        <f t="shared" si="3"/>
        <v>0</v>
      </c>
      <c r="AD22" s="25">
        <f t="shared" si="4"/>
        <v>5400</v>
      </c>
      <c r="AF22" s="25">
        <f t="shared" si="7"/>
        <v>0</v>
      </c>
      <c r="AG22" s="25">
        <f t="shared" si="8"/>
        <v>9500</v>
      </c>
      <c r="AH22" s="25">
        <f t="shared" si="9"/>
        <v>5400</v>
      </c>
      <c r="AI22" s="25">
        <f t="shared" si="10"/>
        <v>4655</v>
      </c>
      <c r="AJ22" s="25">
        <f t="shared" si="11"/>
        <v>318.79999999999927</v>
      </c>
    </row>
    <row r="23" spans="1:36" ht="31.2">
      <c r="A23" s="14">
        <v>12</v>
      </c>
      <c r="B23" s="492" t="s">
        <v>354</v>
      </c>
      <c r="C23" s="28" t="s">
        <v>352</v>
      </c>
      <c r="D23" s="97">
        <v>5900</v>
      </c>
      <c r="E23" s="97">
        <v>6185</v>
      </c>
      <c r="F23" s="455"/>
      <c r="G23" s="455">
        <v>6185</v>
      </c>
      <c r="H23" s="455"/>
      <c r="I23" s="97">
        <v>5312.1</v>
      </c>
      <c r="J23" s="97">
        <f>+I23</f>
        <v>5312.1</v>
      </c>
      <c r="K23" s="97">
        <v>5312.1</v>
      </c>
      <c r="L23" s="97">
        <f t="shared" si="15"/>
        <v>5312.1</v>
      </c>
      <c r="M23" s="97">
        <f t="shared" si="15"/>
        <v>5312.1</v>
      </c>
      <c r="N23" s="97"/>
      <c r="O23" s="499" t="s">
        <v>455</v>
      </c>
      <c r="AA23" s="25">
        <f t="shared" si="1"/>
        <v>872.89999999999964</v>
      </c>
      <c r="AB23" s="25">
        <f t="shared" si="2"/>
        <v>587.89999999999964</v>
      </c>
      <c r="AC23" s="25">
        <f t="shared" si="3"/>
        <v>0</v>
      </c>
      <c r="AD23" s="25">
        <f t="shared" si="4"/>
        <v>587.89999999999964</v>
      </c>
      <c r="AF23" s="25">
        <f t="shared" si="7"/>
        <v>0</v>
      </c>
      <c r="AG23" s="25">
        <f t="shared" si="8"/>
        <v>5312.1</v>
      </c>
      <c r="AH23" s="25">
        <f t="shared" si="9"/>
        <v>587.89999999999964</v>
      </c>
      <c r="AI23" s="25">
        <f t="shared" si="10"/>
        <v>872.89999999999964</v>
      </c>
      <c r="AJ23" s="25">
        <f t="shared" si="11"/>
        <v>0</v>
      </c>
    </row>
    <row r="24" spans="1:36" ht="31.2">
      <c r="A24" s="14">
        <v>13</v>
      </c>
      <c r="B24" s="492" t="s">
        <v>270</v>
      </c>
      <c r="C24" s="28" t="s">
        <v>40</v>
      </c>
      <c r="D24" s="97">
        <v>1950</v>
      </c>
      <c r="E24" s="97">
        <v>1850</v>
      </c>
      <c r="F24" s="455"/>
      <c r="G24" s="455">
        <v>1850</v>
      </c>
      <c r="H24" s="455"/>
      <c r="I24" s="97">
        <v>1810.6</v>
      </c>
      <c r="J24" s="97">
        <f>+I24</f>
        <v>1810.6</v>
      </c>
      <c r="K24" s="97">
        <v>1810.6</v>
      </c>
      <c r="L24" s="97">
        <f t="shared" si="15"/>
        <v>1810.6</v>
      </c>
      <c r="M24" s="97">
        <f t="shared" si="15"/>
        <v>1810.6</v>
      </c>
      <c r="N24" s="97"/>
      <c r="O24" s="499" t="s">
        <v>455</v>
      </c>
      <c r="AA24" s="25">
        <f t="shared" si="1"/>
        <v>39.400000000000091</v>
      </c>
      <c r="AB24" s="25">
        <f t="shared" si="2"/>
        <v>139.40000000000009</v>
      </c>
      <c r="AC24" s="25">
        <f t="shared" si="3"/>
        <v>0</v>
      </c>
      <c r="AD24" s="25">
        <f t="shared" si="4"/>
        <v>139.40000000000009</v>
      </c>
      <c r="AF24" s="25">
        <f t="shared" si="7"/>
        <v>0</v>
      </c>
      <c r="AG24" s="25">
        <f t="shared" si="8"/>
        <v>1810.6</v>
      </c>
      <c r="AH24" s="25">
        <f t="shared" si="9"/>
        <v>139.40000000000009</v>
      </c>
      <c r="AI24" s="25">
        <f t="shared" si="10"/>
        <v>39.400000000000091</v>
      </c>
      <c r="AJ24" s="25">
        <f t="shared" si="11"/>
        <v>0</v>
      </c>
    </row>
    <row r="25" spans="1:36" s="33" customFormat="1" ht="48.75" customHeight="1">
      <c r="A25" s="467" t="s">
        <v>46</v>
      </c>
      <c r="B25" s="31" t="s">
        <v>353</v>
      </c>
      <c r="C25" s="133"/>
      <c r="D25" s="94">
        <f t="shared" ref="D25:M25" si="16">D26</f>
        <v>33663</v>
      </c>
      <c r="E25" s="94">
        <f t="shared" si="16"/>
        <v>1221.1469999999999</v>
      </c>
      <c r="F25" s="453">
        <f t="shared" si="16"/>
        <v>1257</v>
      </c>
      <c r="G25" s="453"/>
      <c r="H25" s="453">
        <f t="shared" si="16"/>
        <v>-35.853000000000002</v>
      </c>
      <c r="I25" s="350">
        <f t="shared" si="16"/>
        <v>0</v>
      </c>
      <c r="J25" s="94">
        <f t="shared" si="16"/>
        <v>31218.3665</v>
      </c>
      <c r="K25" s="94">
        <f t="shared" si="16"/>
        <v>624.76199999999994</v>
      </c>
      <c r="L25" s="94">
        <f t="shared" si="16"/>
        <v>30622.0255</v>
      </c>
      <c r="M25" s="94">
        <f t="shared" si="16"/>
        <v>1221.1469999999999</v>
      </c>
      <c r="N25" s="94"/>
      <c r="O25" s="484"/>
      <c r="AA25" s="25">
        <f t="shared" si="1"/>
        <v>596.38499999999999</v>
      </c>
      <c r="AB25" s="25">
        <f t="shared" si="2"/>
        <v>3040.9745000000003</v>
      </c>
      <c r="AC25" s="25">
        <f t="shared" si="3"/>
        <v>596.38499999999999</v>
      </c>
      <c r="AD25" s="25">
        <f t="shared" si="4"/>
        <v>2444.5895000000019</v>
      </c>
      <c r="AF25" s="25">
        <f t="shared" si="7"/>
        <v>596.38499999999999</v>
      </c>
      <c r="AG25" s="25">
        <f t="shared" si="8"/>
        <v>31218.410499999998</v>
      </c>
      <c r="AH25" s="25">
        <f t="shared" si="9"/>
        <v>2444.5895000000019</v>
      </c>
      <c r="AI25" s="25">
        <f t="shared" si="10"/>
        <v>0</v>
      </c>
      <c r="AJ25" s="25">
        <f t="shared" si="11"/>
        <v>596.34100000000035</v>
      </c>
    </row>
    <row r="26" spans="1:36" s="491" customFormat="1" ht="21" customHeight="1">
      <c r="A26" s="486" t="s">
        <v>28</v>
      </c>
      <c r="B26" s="487" t="s">
        <v>283</v>
      </c>
      <c r="C26" s="372"/>
      <c r="D26" s="488">
        <f t="shared" ref="D26:M26" si="17">SUM(D27:D34)</f>
        <v>33663</v>
      </c>
      <c r="E26" s="488">
        <f t="shared" si="17"/>
        <v>1221.1469999999999</v>
      </c>
      <c r="F26" s="489">
        <f t="shared" si="17"/>
        <v>1257</v>
      </c>
      <c r="G26" s="489"/>
      <c r="H26" s="489">
        <f t="shared" si="17"/>
        <v>-35.853000000000002</v>
      </c>
      <c r="I26" s="500">
        <f t="shared" si="17"/>
        <v>0</v>
      </c>
      <c r="J26" s="488">
        <f t="shared" si="17"/>
        <v>31218.3665</v>
      </c>
      <c r="K26" s="488">
        <f t="shared" si="17"/>
        <v>624.76199999999994</v>
      </c>
      <c r="L26" s="488">
        <f t="shared" si="17"/>
        <v>30622.0255</v>
      </c>
      <c r="M26" s="488">
        <f t="shared" si="17"/>
        <v>1221.1469999999999</v>
      </c>
      <c r="N26" s="488"/>
      <c r="O26" s="490"/>
      <c r="AA26" s="25">
        <f t="shared" si="1"/>
        <v>596.38499999999999</v>
      </c>
      <c r="AB26" s="25">
        <f t="shared" si="2"/>
        <v>3040.9745000000003</v>
      </c>
      <c r="AC26" s="25">
        <f t="shared" si="3"/>
        <v>596.38499999999999</v>
      </c>
      <c r="AD26" s="25">
        <f t="shared" si="4"/>
        <v>2444.5895000000019</v>
      </c>
      <c r="AF26" s="25">
        <f t="shared" si="7"/>
        <v>596.38499999999999</v>
      </c>
      <c r="AG26" s="25">
        <f t="shared" si="8"/>
        <v>31218.410499999998</v>
      </c>
      <c r="AH26" s="25">
        <f t="shared" si="9"/>
        <v>2444.5895000000019</v>
      </c>
      <c r="AI26" s="25">
        <f t="shared" si="10"/>
        <v>0</v>
      </c>
      <c r="AJ26" s="25">
        <f t="shared" si="11"/>
        <v>596.34100000000035</v>
      </c>
    </row>
    <row r="27" spans="1:36" ht="38.25" customHeight="1">
      <c r="A27" s="14">
        <v>1</v>
      </c>
      <c r="B27" s="492" t="s">
        <v>271</v>
      </c>
      <c r="C27" s="28" t="s">
        <v>352</v>
      </c>
      <c r="D27" s="97">
        <v>4673</v>
      </c>
      <c r="E27" s="97">
        <v>85.286000000000001</v>
      </c>
      <c r="F27" s="455">
        <v>85.286000000000001</v>
      </c>
      <c r="G27" s="455"/>
      <c r="H27" s="455"/>
      <c r="I27" s="97"/>
      <c r="J27" s="97">
        <v>4535.2860000000001</v>
      </c>
      <c r="K27" s="97">
        <v>85.3</v>
      </c>
      <c r="L27" s="97">
        <f>J27</f>
        <v>4535.2860000000001</v>
      </c>
      <c r="M27" s="97">
        <f>E27</f>
        <v>85.286000000000001</v>
      </c>
      <c r="N27" s="97"/>
      <c r="O27" s="493"/>
      <c r="AA27" s="25">
        <f t="shared" si="1"/>
        <v>-1.3999999999995794E-2</v>
      </c>
      <c r="AB27" s="25">
        <f t="shared" si="2"/>
        <v>137.71399999999994</v>
      </c>
      <c r="AC27" s="25">
        <f t="shared" si="3"/>
        <v>-1.3999999999995794E-2</v>
      </c>
      <c r="AD27" s="25">
        <f t="shared" si="4"/>
        <v>137.72800000000007</v>
      </c>
      <c r="AF27" s="25">
        <f t="shared" si="7"/>
        <v>-1.3999999999995794E-2</v>
      </c>
      <c r="AG27" s="25">
        <f t="shared" si="8"/>
        <v>4535.2719999999999</v>
      </c>
      <c r="AH27" s="25">
        <f t="shared" si="9"/>
        <v>137.72800000000007</v>
      </c>
      <c r="AI27" s="25">
        <f t="shared" si="10"/>
        <v>0</v>
      </c>
      <c r="AJ27" s="25">
        <f t="shared" si="11"/>
        <v>0</v>
      </c>
    </row>
    <row r="28" spans="1:36" ht="38.25" customHeight="1">
      <c r="A28" s="14">
        <v>2</v>
      </c>
      <c r="B28" s="492" t="s">
        <v>272</v>
      </c>
      <c r="C28" s="28" t="s">
        <v>36</v>
      </c>
      <c r="D28" s="97">
        <v>4000</v>
      </c>
      <c r="E28" s="595">
        <f>F28+H28</f>
        <v>0</v>
      </c>
      <c r="F28" s="455">
        <v>14.853</v>
      </c>
      <c r="G28" s="455"/>
      <c r="H28" s="455">
        <v>-14.853</v>
      </c>
      <c r="I28" s="97"/>
      <c r="J28" s="97">
        <f>E28+L28</f>
        <v>3823</v>
      </c>
      <c r="K28" s="97"/>
      <c r="L28" s="97">
        <v>3823</v>
      </c>
      <c r="M28" s="501">
        <f>E28</f>
        <v>0</v>
      </c>
      <c r="N28" s="97"/>
      <c r="O28" s="683"/>
      <c r="AA28" s="25">
        <f t="shared" si="1"/>
        <v>0</v>
      </c>
      <c r="AB28" s="25">
        <f t="shared" si="2"/>
        <v>177</v>
      </c>
      <c r="AC28" s="25">
        <f t="shared" si="3"/>
        <v>0</v>
      </c>
      <c r="AD28" s="25">
        <f t="shared" si="4"/>
        <v>177</v>
      </c>
      <c r="AF28" s="25">
        <f t="shared" si="7"/>
        <v>0</v>
      </c>
      <c r="AG28" s="25">
        <f t="shared" si="8"/>
        <v>3823</v>
      </c>
      <c r="AH28" s="25">
        <f t="shared" si="9"/>
        <v>177</v>
      </c>
      <c r="AI28" s="25">
        <f t="shared" si="10"/>
        <v>0</v>
      </c>
      <c r="AJ28" s="25">
        <f t="shared" si="11"/>
        <v>0</v>
      </c>
    </row>
    <row r="29" spans="1:36" ht="38.25" customHeight="1">
      <c r="A29" s="14">
        <v>3</v>
      </c>
      <c r="B29" s="492" t="s">
        <v>273</v>
      </c>
      <c r="C29" s="28" t="s">
        <v>132</v>
      </c>
      <c r="D29" s="97">
        <v>4950</v>
      </c>
      <c r="E29" s="595">
        <f>F29+H29</f>
        <v>0</v>
      </c>
      <c r="F29" s="455">
        <v>20</v>
      </c>
      <c r="G29" s="455"/>
      <c r="H29" s="455">
        <v>-20</v>
      </c>
      <c r="I29" s="97"/>
      <c r="J29" s="97">
        <f>E29+L29</f>
        <v>4609</v>
      </c>
      <c r="K29" s="97"/>
      <c r="L29" s="97">
        <v>4609</v>
      </c>
      <c r="M29" s="501">
        <f>E29</f>
        <v>0</v>
      </c>
      <c r="N29" s="97"/>
      <c r="O29" s="684"/>
      <c r="AA29" s="25">
        <f t="shared" si="1"/>
        <v>0</v>
      </c>
      <c r="AB29" s="25">
        <f t="shared" si="2"/>
        <v>341</v>
      </c>
      <c r="AC29" s="25">
        <f t="shared" si="3"/>
        <v>0</v>
      </c>
      <c r="AD29" s="25">
        <f t="shared" si="4"/>
        <v>341</v>
      </c>
      <c r="AF29" s="25">
        <f t="shared" si="7"/>
        <v>0</v>
      </c>
      <c r="AG29" s="25">
        <f t="shared" si="8"/>
        <v>4609</v>
      </c>
      <c r="AH29" s="25">
        <f t="shared" si="9"/>
        <v>341</v>
      </c>
      <c r="AI29" s="25">
        <f t="shared" si="10"/>
        <v>0</v>
      </c>
      <c r="AJ29" s="25">
        <f t="shared" si="11"/>
        <v>0</v>
      </c>
    </row>
    <row r="30" spans="1:36" ht="21" customHeight="1">
      <c r="A30" s="14">
        <v>4</v>
      </c>
      <c r="B30" s="492" t="s">
        <v>274</v>
      </c>
      <c r="C30" s="28" t="s">
        <v>132</v>
      </c>
      <c r="D30" s="97">
        <v>14500</v>
      </c>
      <c r="E30" s="97">
        <v>523.53200000000004</v>
      </c>
      <c r="F30" s="455">
        <v>523.53200000000004</v>
      </c>
      <c r="G30" s="455"/>
      <c r="H30" s="455"/>
      <c r="I30" s="97"/>
      <c r="J30" s="97">
        <v>13035.9</v>
      </c>
      <c r="K30" s="97">
        <f>E30</f>
        <v>523.53200000000004</v>
      </c>
      <c r="L30" s="97">
        <f>12512.426+K30</f>
        <v>13035.957999999999</v>
      </c>
      <c r="M30" s="97">
        <f>E30</f>
        <v>523.53200000000004</v>
      </c>
      <c r="N30" s="97"/>
      <c r="O30" s="493"/>
      <c r="AA30" s="25">
        <f t="shared" si="1"/>
        <v>0</v>
      </c>
      <c r="AB30" s="25">
        <f t="shared" si="2"/>
        <v>1464.0420000000013</v>
      </c>
      <c r="AC30" s="25">
        <f t="shared" si="3"/>
        <v>0</v>
      </c>
      <c r="AD30" s="25">
        <f t="shared" si="4"/>
        <v>1464.0420000000013</v>
      </c>
      <c r="AF30" s="25">
        <f t="shared" si="7"/>
        <v>0</v>
      </c>
      <c r="AG30" s="25">
        <f t="shared" si="8"/>
        <v>13035.957999999999</v>
      </c>
      <c r="AH30" s="25">
        <f t="shared" si="9"/>
        <v>1464.0420000000013</v>
      </c>
      <c r="AI30" s="25">
        <f t="shared" si="10"/>
        <v>0</v>
      </c>
      <c r="AJ30" s="25">
        <f t="shared" si="11"/>
        <v>-5.7999999999083229E-2</v>
      </c>
    </row>
    <row r="31" spans="1:36" ht="31.2">
      <c r="A31" s="14">
        <v>5</v>
      </c>
      <c r="B31" s="492" t="s">
        <v>275</v>
      </c>
      <c r="C31" s="28" t="s">
        <v>118</v>
      </c>
      <c r="D31" s="97">
        <v>1100</v>
      </c>
      <c r="E31" s="97">
        <v>120.63500000000001</v>
      </c>
      <c r="F31" s="455">
        <v>120.63500000000001</v>
      </c>
      <c r="G31" s="455"/>
      <c r="H31" s="455"/>
      <c r="I31" s="97"/>
      <c r="J31" s="97">
        <f>L31+M31</f>
        <v>1100</v>
      </c>
      <c r="K31" s="97"/>
      <c r="L31" s="97">
        <v>979.36500000000001</v>
      </c>
      <c r="M31" s="97">
        <v>120.63500000000001</v>
      </c>
      <c r="N31" s="97"/>
      <c r="O31" s="502"/>
      <c r="AA31" s="25">
        <f t="shared" si="1"/>
        <v>120.63500000000001</v>
      </c>
      <c r="AB31" s="25">
        <f t="shared" si="2"/>
        <v>120.63499999999999</v>
      </c>
      <c r="AC31" s="25">
        <f t="shared" si="3"/>
        <v>120.63500000000001</v>
      </c>
      <c r="AD31" s="25">
        <f t="shared" si="4"/>
        <v>0</v>
      </c>
      <c r="AF31" s="25">
        <f t="shared" si="7"/>
        <v>120.63500000000001</v>
      </c>
      <c r="AG31" s="25">
        <f t="shared" si="8"/>
        <v>1100</v>
      </c>
      <c r="AH31" s="25">
        <f t="shared" si="9"/>
        <v>0</v>
      </c>
      <c r="AI31" s="25">
        <f t="shared" si="10"/>
        <v>0</v>
      </c>
      <c r="AJ31" s="25">
        <f t="shared" si="11"/>
        <v>120.63499999999999</v>
      </c>
    </row>
    <row r="32" spans="1:36" ht="20.25" customHeight="1">
      <c r="A32" s="14">
        <v>6</v>
      </c>
      <c r="B32" s="492" t="s">
        <v>276</v>
      </c>
      <c r="C32" s="28" t="s">
        <v>174</v>
      </c>
      <c r="D32" s="97">
        <v>1890</v>
      </c>
      <c r="E32" s="97">
        <f>F32+H32</f>
        <v>15.93</v>
      </c>
      <c r="F32" s="455">
        <v>16.93</v>
      </c>
      <c r="G32" s="455"/>
      <c r="H32" s="455">
        <v>-1</v>
      </c>
      <c r="I32" s="97"/>
      <c r="J32" s="97">
        <v>1659.444</v>
      </c>
      <c r="K32" s="97">
        <v>15.93</v>
      </c>
      <c r="L32" s="97">
        <f>1643.514+K32</f>
        <v>1659.444</v>
      </c>
      <c r="M32" s="97">
        <f>K32</f>
        <v>15.93</v>
      </c>
      <c r="N32" s="97"/>
      <c r="O32" s="502" t="s">
        <v>474</v>
      </c>
      <c r="AA32" s="25">
        <f t="shared" si="1"/>
        <v>0</v>
      </c>
      <c r="AB32" s="25">
        <f t="shared" si="2"/>
        <v>230.55600000000004</v>
      </c>
      <c r="AC32" s="25">
        <f t="shared" si="3"/>
        <v>0</v>
      </c>
      <c r="AD32" s="25">
        <f t="shared" si="4"/>
        <v>230.55600000000004</v>
      </c>
      <c r="AF32" s="25">
        <f t="shared" si="7"/>
        <v>0</v>
      </c>
      <c r="AG32" s="25">
        <f t="shared" si="8"/>
        <v>1659.444</v>
      </c>
      <c r="AH32" s="25">
        <f t="shared" si="9"/>
        <v>230.55600000000004</v>
      </c>
      <c r="AI32" s="25">
        <f t="shared" si="10"/>
        <v>0</v>
      </c>
      <c r="AJ32" s="25">
        <f t="shared" si="11"/>
        <v>0</v>
      </c>
    </row>
    <row r="33" spans="1:36" ht="20.25" customHeight="1">
      <c r="A33" s="14">
        <v>7</v>
      </c>
      <c r="B33" s="492" t="s">
        <v>277</v>
      </c>
      <c r="C33" s="28" t="s">
        <v>41</v>
      </c>
      <c r="D33" s="97">
        <v>1050</v>
      </c>
      <c r="E33" s="97">
        <v>63.713999999999999</v>
      </c>
      <c r="F33" s="455">
        <v>63.713999999999999</v>
      </c>
      <c r="G33" s="455"/>
      <c r="H33" s="455"/>
      <c r="I33" s="97"/>
      <c r="J33" s="97">
        <v>993.88649999999996</v>
      </c>
      <c r="K33" s="97"/>
      <c r="L33" s="97">
        <f>J33-E33</f>
        <v>930.1724999999999</v>
      </c>
      <c r="M33" s="97">
        <f>J33-L33</f>
        <v>63.714000000000055</v>
      </c>
      <c r="N33" s="97"/>
      <c r="O33" s="633"/>
      <c r="AA33" s="25">
        <f t="shared" si="1"/>
        <v>63.713999999999999</v>
      </c>
      <c r="AB33" s="25">
        <f t="shared" si="2"/>
        <v>119.8275000000001</v>
      </c>
      <c r="AC33" s="25">
        <f t="shared" si="3"/>
        <v>63.714000000000055</v>
      </c>
      <c r="AD33" s="25">
        <f t="shared" si="4"/>
        <v>56.113500000000045</v>
      </c>
      <c r="AF33" s="25">
        <f t="shared" si="7"/>
        <v>63.714000000000055</v>
      </c>
      <c r="AG33" s="25">
        <f t="shared" si="8"/>
        <v>993.88649999999996</v>
      </c>
      <c r="AH33" s="25">
        <f t="shared" si="9"/>
        <v>56.113500000000045</v>
      </c>
      <c r="AI33" s="25">
        <f t="shared" si="10"/>
        <v>-5.6843418860808015E-14</v>
      </c>
      <c r="AJ33" s="25">
        <f t="shared" si="11"/>
        <v>63.714000000000055</v>
      </c>
    </row>
    <row r="34" spans="1:36" ht="20.25" customHeight="1">
      <c r="A34" s="14">
        <v>8</v>
      </c>
      <c r="B34" s="503" t="s">
        <v>278</v>
      </c>
      <c r="C34" s="28" t="s">
        <v>38</v>
      </c>
      <c r="D34" s="483">
        <v>1500</v>
      </c>
      <c r="E34" s="483">
        <v>412.05</v>
      </c>
      <c r="F34" s="459">
        <v>412.05</v>
      </c>
      <c r="G34" s="459"/>
      <c r="H34" s="455"/>
      <c r="I34" s="97"/>
      <c r="J34" s="97">
        <v>1461.85</v>
      </c>
      <c r="K34" s="97"/>
      <c r="L34" s="97">
        <v>1049.8</v>
      </c>
      <c r="M34" s="97">
        <f>E34</f>
        <v>412.05</v>
      </c>
      <c r="N34" s="97"/>
      <c r="O34" s="633"/>
      <c r="AA34" s="25">
        <f t="shared" si="1"/>
        <v>412.05</v>
      </c>
      <c r="AB34" s="25">
        <f t="shared" si="2"/>
        <v>450.20000000000005</v>
      </c>
      <c r="AC34" s="25">
        <f t="shared" si="3"/>
        <v>412.05</v>
      </c>
      <c r="AD34" s="25">
        <f t="shared" si="4"/>
        <v>38.150000000000091</v>
      </c>
      <c r="AF34" s="25">
        <f t="shared" si="7"/>
        <v>412.05</v>
      </c>
      <c r="AG34" s="25">
        <f t="shared" si="8"/>
        <v>1461.85</v>
      </c>
      <c r="AH34" s="25">
        <f t="shared" si="9"/>
        <v>38.150000000000091</v>
      </c>
      <c r="AI34" s="25">
        <f t="shared" si="10"/>
        <v>0</v>
      </c>
      <c r="AJ34" s="25">
        <f t="shared" si="11"/>
        <v>412.04999999999995</v>
      </c>
    </row>
    <row r="35" spans="1:36" s="33" customFormat="1">
      <c r="A35" s="468" t="s">
        <v>94</v>
      </c>
      <c r="B35" s="504" t="s">
        <v>279</v>
      </c>
      <c r="C35" s="467"/>
      <c r="D35" s="505">
        <f t="shared" ref="D35:M35" si="18">D36</f>
        <v>121000</v>
      </c>
      <c r="E35" s="505">
        <f t="shared" si="18"/>
        <v>57689</v>
      </c>
      <c r="F35" s="506">
        <f t="shared" si="18"/>
        <v>0</v>
      </c>
      <c r="G35" s="506">
        <f t="shared" si="18"/>
        <v>57689</v>
      </c>
      <c r="H35" s="506">
        <f t="shared" si="18"/>
        <v>0</v>
      </c>
      <c r="I35" s="505">
        <f t="shared" si="18"/>
        <v>4381</v>
      </c>
      <c r="J35" s="505">
        <f t="shared" si="18"/>
        <v>4381</v>
      </c>
      <c r="K35" s="505">
        <f t="shared" si="18"/>
        <v>32902.184000000001</v>
      </c>
      <c r="L35" s="505">
        <f t="shared" si="18"/>
        <v>32902.184000000001</v>
      </c>
      <c r="M35" s="505">
        <f t="shared" si="18"/>
        <v>32902.184000000001</v>
      </c>
      <c r="N35" s="505">
        <f>SUM(N37:N39)</f>
        <v>44500</v>
      </c>
      <c r="O35" s="507"/>
      <c r="AA35" s="25">
        <f t="shared" si="1"/>
        <v>24786.815999999999</v>
      </c>
      <c r="AB35" s="25">
        <f t="shared" si="2"/>
        <v>88097.815999999992</v>
      </c>
      <c r="AC35" s="25">
        <f t="shared" si="3"/>
        <v>0</v>
      </c>
      <c r="AD35" s="25">
        <f t="shared" si="4"/>
        <v>88097.815999999992</v>
      </c>
      <c r="AF35" s="25">
        <f t="shared" si="7"/>
        <v>0</v>
      </c>
      <c r="AG35" s="25">
        <f t="shared" si="8"/>
        <v>32902.184000000001</v>
      </c>
      <c r="AH35" s="25">
        <f t="shared" si="9"/>
        <v>88097.815999999992</v>
      </c>
      <c r="AI35" s="25">
        <f t="shared" si="10"/>
        <v>24786.815999999999</v>
      </c>
      <c r="AJ35" s="25">
        <f>+J35-L35</f>
        <v>-28521.184000000001</v>
      </c>
    </row>
    <row r="36" spans="1:36" s="498" customFormat="1" ht="28.5" customHeight="1">
      <c r="A36" s="486" t="s">
        <v>28</v>
      </c>
      <c r="B36" s="487" t="s">
        <v>351</v>
      </c>
      <c r="C36" s="497"/>
      <c r="D36" s="488">
        <f t="shared" ref="D36:N36" si="19">SUM(D37:D39)</f>
        <v>121000</v>
      </c>
      <c r="E36" s="488">
        <f t="shared" si="19"/>
        <v>57689</v>
      </c>
      <c r="F36" s="489">
        <f t="shared" si="19"/>
        <v>0</v>
      </c>
      <c r="G36" s="489">
        <f t="shared" si="19"/>
        <v>57689</v>
      </c>
      <c r="H36" s="489">
        <f t="shared" si="19"/>
        <v>0</v>
      </c>
      <c r="I36" s="488">
        <f t="shared" si="19"/>
        <v>4381</v>
      </c>
      <c r="J36" s="488">
        <f t="shared" si="19"/>
        <v>4381</v>
      </c>
      <c r="K36" s="488">
        <f t="shared" si="19"/>
        <v>32902.184000000001</v>
      </c>
      <c r="L36" s="488">
        <f t="shared" si="19"/>
        <v>32902.184000000001</v>
      </c>
      <c r="M36" s="488">
        <f t="shared" si="19"/>
        <v>32902.184000000001</v>
      </c>
      <c r="N36" s="488">
        <f t="shared" si="19"/>
        <v>44500</v>
      </c>
      <c r="O36" s="490"/>
      <c r="AA36" s="25">
        <f t="shared" si="1"/>
        <v>24786.815999999999</v>
      </c>
      <c r="AB36" s="25">
        <f t="shared" si="2"/>
        <v>88097.815999999992</v>
      </c>
      <c r="AC36" s="25">
        <f t="shared" si="3"/>
        <v>0</v>
      </c>
      <c r="AD36" s="25">
        <f t="shared" si="4"/>
        <v>88097.815999999992</v>
      </c>
      <c r="AF36" s="25">
        <f t="shared" si="7"/>
        <v>0</v>
      </c>
      <c r="AG36" s="25">
        <f t="shared" si="8"/>
        <v>32902.184000000001</v>
      </c>
      <c r="AH36" s="25">
        <f t="shared" si="9"/>
        <v>88097.815999999992</v>
      </c>
      <c r="AI36" s="25">
        <f t="shared" si="10"/>
        <v>24786.815999999999</v>
      </c>
      <c r="AJ36" s="25">
        <f t="shared" si="11"/>
        <v>-28521.184000000001</v>
      </c>
    </row>
    <row r="37" spans="1:36" ht="36.75" customHeight="1">
      <c r="A37" s="13">
        <v>1</v>
      </c>
      <c r="B37" s="503" t="s">
        <v>280</v>
      </c>
      <c r="C37" s="14" t="s">
        <v>30</v>
      </c>
      <c r="D37" s="483">
        <v>65000</v>
      </c>
      <c r="E37" s="483">
        <v>38689</v>
      </c>
      <c r="F37" s="459"/>
      <c r="G37" s="459">
        <v>38689</v>
      </c>
      <c r="H37" s="455"/>
      <c r="I37" s="97">
        <v>2268</v>
      </c>
      <c r="J37" s="97">
        <f>I37</f>
        <v>2268</v>
      </c>
      <c r="K37" s="97">
        <v>18689</v>
      </c>
      <c r="L37" s="97">
        <f t="shared" ref="L37:M39" si="20">K37</f>
        <v>18689</v>
      </c>
      <c r="M37" s="97">
        <f t="shared" si="20"/>
        <v>18689</v>
      </c>
      <c r="N37" s="97">
        <v>20000</v>
      </c>
      <c r="O37" s="685" t="s">
        <v>510</v>
      </c>
      <c r="AA37" s="25">
        <f t="shared" si="1"/>
        <v>20000</v>
      </c>
      <c r="AB37" s="25">
        <f t="shared" si="2"/>
        <v>46311</v>
      </c>
      <c r="AC37" s="25">
        <f t="shared" si="3"/>
        <v>0</v>
      </c>
      <c r="AD37" s="25">
        <f t="shared" si="4"/>
        <v>46311</v>
      </c>
      <c r="AE37" s="682" t="s">
        <v>490</v>
      </c>
      <c r="AF37" s="25">
        <f t="shared" si="7"/>
        <v>0</v>
      </c>
      <c r="AG37" s="25">
        <f t="shared" si="8"/>
        <v>18689</v>
      </c>
      <c r="AH37" s="25">
        <f t="shared" si="9"/>
        <v>46311</v>
      </c>
      <c r="AI37" s="25">
        <f t="shared" si="10"/>
        <v>20000</v>
      </c>
      <c r="AJ37" s="25">
        <f t="shared" si="11"/>
        <v>-16421</v>
      </c>
    </row>
    <row r="38" spans="1:36" ht="40.5" customHeight="1">
      <c r="A38" s="13">
        <v>2</v>
      </c>
      <c r="B38" s="482" t="s">
        <v>281</v>
      </c>
      <c r="C38" s="14" t="s">
        <v>350</v>
      </c>
      <c r="D38" s="483">
        <v>26000</v>
      </c>
      <c r="E38" s="483">
        <v>9000</v>
      </c>
      <c r="F38" s="459"/>
      <c r="G38" s="459">
        <v>9000</v>
      </c>
      <c r="H38" s="458"/>
      <c r="I38" s="508">
        <v>858</v>
      </c>
      <c r="J38" s="97">
        <f>I38</f>
        <v>858</v>
      </c>
      <c r="K38" s="508">
        <v>6258</v>
      </c>
      <c r="L38" s="508">
        <f t="shared" si="20"/>
        <v>6258</v>
      </c>
      <c r="M38" s="508">
        <f t="shared" si="20"/>
        <v>6258</v>
      </c>
      <c r="N38" s="508">
        <v>10000</v>
      </c>
      <c r="O38" s="686"/>
      <c r="AA38" s="25">
        <f t="shared" si="1"/>
        <v>2742</v>
      </c>
      <c r="AB38" s="25">
        <f t="shared" si="2"/>
        <v>19742</v>
      </c>
      <c r="AC38" s="25">
        <f t="shared" si="3"/>
        <v>0</v>
      </c>
      <c r="AD38" s="25">
        <f t="shared" si="4"/>
        <v>19742</v>
      </c>
      <c r="AE38" s="682"/>
      <c r="AF38" s="25">
        <f t="shared" si="7"/>
        <v>0</v>
      </c>
      <c r="AG38" s="25">
        <f t="shared" si="8"/>
        <v>6258</v>
      </c>
      <c r="AH38" s="25">
        <f t="shared" si="9"/>
        <v>19742</v>
      </c>
      <c r="AI38" s="25">
        <f t="shared" si="10"/>
        <v>2742</v>
      </c>
      <c r="AJ38" s="25">
        <f t="shared" si="11"/>
        <v>-5400</v>
      </c>
    </row>
    <row r="39" spans="1:36" ht="42" customHeight="1" thickBot="1">
      <c r="A39" s="600">
        <v>3</v>
      </c>
      <c r="B39" s="601" t="s">
        <v>282</v>
      </c>
      <c r="C39" s="618" t="s">
        <v>38</v>
      </c>
      <c r="D39" s="603">
        <v>30000</v>
      </c>
      <c r="E39" s="603">
        <v>10000</v>
      </c>
      <c r="F39" s="619"/>
      <c r="G39" s="619">
        <v>10000</v>
      </c>
      <c r="H39" s="620"/>
      <c r="I39" s="604">
        <v>1255</v>
      </c>
      <c r="J39" s="604">
        <f>I39</f>
        <v>1255</v>
      </c>
      <c r="K39" s="605">
        <v>7955.1840000000002</v>
      </c>
      <c r="L39" s="605">
        <f t="shared" si="20"/>
        <v>7955.1840000000002</v>
      </c>
      <c r="M39" s="605">
        <f t="shared" si="20"/>
        <v>7955.1840000000002</v>
      </c>
      <c r="N39" s="605">
        <v>14500</v>
      </c>
      <c r="O39" s="687"/>
      <c r="AA39" s="25">
        <f t="shared" si="1"/>
        <v>2044.8159999999998</v>
      </c>
      <c r="AB39" s="25">
        <f t="shared" si="2"/>
        <v>22044.815999999999</v>
      </c>
      <c r="AC39" s="25">
        <f t="shared" si="3"/>
        <v>0</v>
      </c>
      <c r="AD39" s="25">
        <f t="shared" si="4"/>
        <v>22044.815999999999</v>
      </c>
      <c r="AE39" s="682"/>
      <c r="AF39" s="25">
        <f t="shared" si="7"/>
        <v>0</v>
      </c>
      <c r="AG39" s="25">
        <f t="shared" si="8"/>
        <v>7955.1840000000002</v>
      </c>
      <c r="AH39" s="25">
        <f t="shared" si="9"/>
        <v>22044.815999999999</v>
      </c>
      <c r="AI39" s="25">
        <f t="shared" si="10"/>
        <v>2044.8159999999998</v>
      </c>
      <c r="AJ39" s="25">
        <f t="shared" si="11"/>
        <v>-6700.1840000000002</v>
      </c>
    </row>
    <row r="40" spans="1:36" ht="16.5" customHeight="1" thickTop="1">
      <c r="A40" s="35"/>
      <c r="B40" s="40"/>
      <c r="C40" s="41"/>
      <c r="D40" s="41"/>
      <c r="E40" s="41"/>
      <c r="F40" s="41"/>
      <c r="G40" s="41"/>
      <c r="H40" s="42"/>
      <c r="I40" s="42"/>
      <c r="J40" s="42"/>
      <c r="K40" s="42"/>
      <c r="L40" s="42"/>
      <c r="M40" s="42"/>
      <c r="N40" s="42"/>
      <c r="O40" s="43"/>
    </row>
    <row r="41" spans="1:36" ht="16.5" customHeight="1">
      <c r="A41" s="35"/>
      <c r="B41" s="40"/>
      <c r="C41" s="41"/>
      <c r="D41" s="41"/>
      <c r="E41" s="41"/>
      <c r="F41" s="41"/>
      <c r="G41" s="41"/>
      <c r="H41" s="42"/>
      <c r="I41" s="42"/>
      <c r="J41" s="42"/>
      <c r="K41" s="42"/>
      <c r="L41" s="42"/>
      <c r="M41" s="42"/>
      <c r="N41" s="42"/>
      <c r="O41" s="43"/>
    </row>
    <row r="42" spans="1:36" ht="16.5" customHeight="1">
      <c r="A42" s="35"/>
      <c r="B42" s="40"/>
      <c r="C42" s="41"/>
      <c r="D42" s="41"/>
      <c r="E42" s="41"/>
      <c r="F42" s="41"/>
      <c r="G42" s="41"/>
      <c r="H42" s="42"/>
      <c r="I42" s="42"/>
      <c r="J42" s="42"/>
      <c r="K42" s="42"/>
      <c r="L42" s="42"/>
      <c r="M42" s="42"/>
      <c r="N42" s="42"/>
      <c r="O42" s="43"/>
    </row>
    <row r="43" spans="1:36" ht="16.5" customHeight="1">
      <c r="A43" s="35"/>
      <c r="B43" s="40"/>
      <c r="C43" s="41"/>
      <c r="D43" s="41"/>
      <c r="E43" s="41"/>
      <c r="F43" s="41"/>
      <c r="G43" s="41"/>
      <c r="H43" s="42"/>
      <c r="I43" s="42"/>
      <c r="J43" s="42"/>
      <c r="K43" s="42"/>
      <c r="L43" s="42"/>
      <c r="M43" s="42"/>
      <c r="N43" s="42"/>
      <c r="O43" s="43"/>
    </row>
    <row r="44" spans="1:36" ht="16.5" customHeight="1">
      <c r="A44" s="35"/>
      <c r="B44" s="40"/>
      <c r="C44" s="41"/>
      <c r="D44" s="41"/>
      <c r="E44" s="41"/>
      <c r="F44" s="41"/>
      <c r="G44" s="41"/>
      <c r="H44" s="42"/>
      <c r="I44" s="42"/>
      <c r="J44" s="42"/>
      <c r="K44" s="42"/>
      <c r="L44" s="42"/>
      <c r="M44" s="42"/>
      <c r="N44" s="42"/>
      <c r="O44" s="43"/>
    </row>
    <row r="45" spans="1:36" ht="16.5" customHeight="1">
      <c r="A45" s="35"/>
      <c r="B45" s="40"/>
      <c r="C45" s="41"/>
      <c r="D45" s="41"/>
      <c r="E45" s="41"/>
      <c r="F45" s="41"/>
      <c r="G45" s="41"/>
      <c r="H45" s="42"/>
      <c r="I45" s="42"/>
      <c r="J45" s="42"/>
      <c r="K45" s="42"/>
      <c r="L45" s="42"/>
      <c r="M45" s="42"/>
      <c r="N45" s="42"/>
      <c r="O45" s="43"/>
    </row>
    <row r="46" spans="1:36" ht="16.5" customHeight="1">
      <c r="A46" s="35"/>
      <c r="B46" s="40"/>
      <c r="C46" s="41"/>
      <c r="D46" s="41"/>
      <c r="E46" s="41"/>
      <c r="F46" s="41"/>
      <c r="G46" s="41"/>
      <c r="H46" s="42"/>
      <c r="I46" s="42"/>
      <c r="J46" s="42"/>
      <c r="K46" s="42"/>
      <c r="L46" s="42"/>
      <c r="M46" s="42"/>
      <c r="N46" s="42"/>
      <c r="O46" s="43"/>
    </row>
    <row r="47" spans="1:36" ht="16.5" customHeight="1">
      <c r="B47" s="45"/>
      <c r="C47" s="41"/>
      <c r="D47" s="41"/>
      <c r="E47" s="41"/>
      <c r="F47" s="41"/>
      <c r="G47" s="41"/>
      <c r="H47" s="42"/>
      <c r="I47" s="42"/>
      <c r="J47" s="42"/>
      <c r="K47" s="42"/>
      <c r="L47" s="42"/>
      <c r="M47" s="42"/>
      <c r="N47" s="42"/>
      <c r="O47" s="43"/>
    </row>
    <row r="48" spans="1:36" ht="31.5" customHeight="1">
      <c r="B48" s="673"/>
      <c r="C48" s="673"/>
      <c r="D48" s="464"/>
      <c r="E48" s="470"/>
      <c r="F48" s="464"/>
      <c r="G48" s="464"/>
      <c r="H48" s="464"/>
      <c r="I48" s="464"/>
      <c r="J48" s="464"/>
      <c r="K48" s="464"/>
      <c r="L48" s="464"/>
      <c r="M48" s="464"/>
      <c r="N48" s="464"/>
    </row>
    <row r="49" spans="1:14" ht="20.100000000000001" customHeight="1">
      <c r="A49" s="47"/>
    </row>
    <row r="50" spans="1:14">
      <c r="A50" s="47"/>
      <c r="B50" s="25"/>
      <c r="C50" s="25"/>
      <c r="D50" s="25"/>
      <c r="E50" s="25"/>
      <c r="F50" s="25"/>
      <c r="G50" s="25"/>
      <c r="H50" s="25"/>
      <c r="I50" s="25"/>
      <c r="J50" s="25"/>
      <c r="K50" s="25"/>
      <c r="L50" s="25"/>
      <c r="M50" s="25"/>
      <c r="N50" s="25"/>
    </row>
    <row r="51" spans="1:14">
      <c r="A51" s="47"/>
      <c r="B51" s="25"/>
      <c r="C51" s="25"/>
      <c r="D51" s="25"/>
      <c r="E51" s="25"/>
      <c r="F51" s="25"/>
      <c r="G51" s="25"/>
      <c r="H51" s="25"/>
      <c r="I51" s="25"/>
      <c r="J51" s="25"/>
      <c r="K51" s="25"/>
      <c r="L51" s="25"/>
      <c r="M51" s="25"/>
      <c r="N51" s="25"/>
    </row>
    <row r="52" spans="1:14">
      <c r="A52" s="47"/>
      <c r="B52" s="25"/>
      <c r="C52" s="25"/>
      <c r="D52" s="25"/>
      <c r="E52" s="25"/>
      <c r="F52" s="25"/>
      <c r="G52" s="25"/>
      <c r="H52" s="25"/>
      <c r="I52" s="25"/>
      <c r="J52" s="25"/>
      <c r="K52" s="25"/>
      <c r="L52" s="25"/>
      <c r="M52" s="25"/>
      <c r="N52" s="25"/>
    </row>
    <row r="53" spans="1:14" s="39" customFormat="1">
      <c r="A53" s="47"/>
      <c r="B53" s="25"/>
      <c r="C53" s="25"/>
      <c r="D53" s="25"/>
      <c r="E53" s="25"/>
      <c r="F53" s="25"/>
      <c r="G53" s="25"/>
      <c r="H53" s="25"/>
      <c r="I53" s="25"/>
      <c r="J53" s="25"/>
      <c r="K53" s="25"/>
      <c r="L53" s="25"/>
      <c r="M53" s="25"/>
      <c r="N53" s="25"/>
    </row>
    <row r="54" spans="1:14" s="39" customFormat="1">
      <c r="A54" s="47"/>
      <c r="B54" s="25"/>
      <c r="C54" s="25"/>
      <c r="D54" s="25"/>
      <c r="E54" s="25"/>
      <c r="F54" s="25"/>
      <c r="G54" s="25"/>
      <c r="H54" s="25"/>
      <c r="I54" s="25"/>
      <c r="J54" s="25"/>
      <c r="K54" s="25"/>
      <c r="L54" s="25"/>
      <c r="M54" s="25"/>
      <c r="N54" s="25"/>
    </row>
    <row r="55" spans="1:14" s="39" customFormat="1">
      <c r="A55" s="47"/>
      <c r="B55" s="25"/>
      <c r="C55" s="25"/>
      <c r="D55" s="25"/>
      <c r="E55" s="25"/>
      <c r="F55" s="25"/>
      <c r="G55" s="25"/>
      <c r="H55" s="25"/>
      <c r="I55" s="25"/>
      <c r="J55" s="25"/>
      <c r="K55" s="25"/>
      <c r="L55" s="25"/>
      <c r="M55" s="25"/>
      <c r="N55" s="25"/>
    </row>
    <row r="56" spans="1:14" s="39" customFormat="1">
      <c r="A56" s="47"/>
      <c r="B56" s="25"/>
      <c r="C56" s="25"/>
      <c r="D56" s="25"/>
      <c r="E56" s="25"/>
      <c r="F56" s="25"/>
      <c r="G56" s="25"/>
      <c r="H56" s="25"/>
      <c r="I56" s="25"/>
      <c r="J56" s="25"/>
      <c r="K56" s="25"/>
      <c r="L56" s="25"/>
      <c r="M56" s="25"/>
      <c r="N56" s="25"/>
    </row>
    <row r="57" spans="1:14" s="39" customFormat="1">
      <c r="A57" s="47"/>
      <c r="B57" s="25"/>
      <c r="C57" s="25"/>
      <c r="D57" s="25"/>
      <c r="E57" s="25"/>
      <c r="F57" s="25"/>
      <c r="G57" s="25"/>
      <c r="H57" s="25"/>
      <c r="I57" s="25"/>
      <c r="J57" s="25"/>
      <c r="K57" s="25"/>
      <c r="L57" s="25"/>
      <c r="M57" s="25"/>
      <c r="N57" s="25"/>
    </row>
    <row r="58" spans="1:14" s="39" customFormat="1">
      <c r="A58" s="47"/>
      <c r="B58" s="25"/>
      <c r="C58" s="25"/>
      <c r="D58" s="25"/>
      <c r="E58" s="25"/>
      <c r="F58" s="25"/>
      <c r="G58" s="25"/>
      <c r="H58" s="25"/>
      <c r="I58" s="25"/>
      <c r="J58" s="25"/>
      <c r="K58" s="25"/>
      <c r="L58" s="25"/>
      <c r="M58" s="25"/>
      <c r="N58" s="25"/>
    </row>
    <row r="59" spans="1:14" s="39" customFormat="1">
      <c r="A59" s="47"/>
      <c r="B59" s="25"/>
      <c r="C59" s="25"/>
      <c r="D59" s="25"/>
      <c r="E59" s="25"/>
      <c r="F59" s="25"/>
      <c r="G59" s="25"/>
      <c r="H59" s="25"/>
      <c r="I59" s="25"/>
      <c r="J59" s="25"/>
      <c r="K59" s="25"/>
      <c r="L59" s="25"/>
      <c r="M59" s="25"/>
      <c r="N59" s="25"/>
    </row>
    <row r="60" spans="1:14" s="39" customFormat="1">
      <c r="A60" s="47"/>
      <c r="B60" s="25"/>
      <c r="C60" s="25"/>
      <c r="D60" s="25"/>
      <c r="E60" s="25"/>
      <c r="F60" s="25"/>
      <c r="G60" s="25"/>
      <c r="H60" s="25"/>
      <c r="I60" s="25"/>
      <c r="J60" s="25"/>
      <c r="K60" s="25"/>
      <c r="L60" s="25"/>
      <c r="M60" s="25"/>
      <c r="N60" s="25"/>
    </row>
    <row r="61" spans="1:14" s="39" customFormat="1">
      <c r="A61" s="47"/>
      <c r="B61" s="25"/>
      <c r="C61" s="25"/>
      <c r="D61" s="25"/>
      <c r="E61" s="25"/>
      <c r="F61" s="25"/>
      <c r="G61" s="25"/>
      <c r="H61" s="25"/>
      <c r="I61" s="25"/>
      <c r="J61" s="25"/>
      <c r="K61" s="25"/>
      <c r="L61" s="25"/>
      <c r="M61" s="25"/>
      <c r="N61" s="25"/>
    </row>
    <row r="62" spans="1:14" s="39" customFormat="1">
      <c r="A62" s="47"/>
      <c r="B62" s="25"/>
      <c r="C62" s="25"/>
      <c r="D62" s="25"/>
      <c r="E62" s="25"/>
      <c r="F62" s="25"/>
      <c r="G62" s="25"/>
      <c r="H62" s="25"/>
      <c r="I62" s="25"/>
      <c r="J62" s="25"/>
      <c r="K62" s="25"/>
      <c r="L62" s="25"/>
      <c r="M62" s="25"/>
      <c r="N62" s="25"/>
    </row>
    <row r="63" spans="1:14" s="39" customFormat="1">
      <c r="A63" s="47"/>
      <c r="B63" s="25"/>
      <c r="C63" s="25"/>
      <c r="D63" s="25"/>
      <c r="E63" s="25"/>
      <c r="F63" s="25"/>
      <c r="G63" s="25"/>
      <c r="H63" s="25"/>
      <c r="I63" s="25"/>
      <c r="J63" s="25"/>
      <c r="K63" s="25"/>
      <c r="L63" s="25"/>
      <c r="M63" s="25"/>
      <c r="N63" s="25"/>
    </row>
    <row r="64" spans="1:14" s="39" customFormat="1">
      <c r="A64" s="47"/>
      <c r="B64" s="25"/>
      <c r="C64" s="25"/>
      <c r="D64" s="25"/>
      <c r="E64" s="25"/>
      <c r="F64" s="25"/>
      <c r="G64" s="25"/>
      <c r="H64" s="25"/>
      <c r="I64" s="25"/>
      <c r="J64" s="25"/>
      <c r="K64" s="25"/>
      <c r="L64" s="25"/>
      <c r="M64" s="25"/>
      <c r="N64" s="25"/>
    </row>
    <row r="65" spans="1:14" s="39" customFormat="1">
      <c r="A65" s="47"/>
      <c r="B65" s="25"/>
      <c r="C65" s="25"/>
      <c r="D65" s="25"/>
      <c r="E65" s="25"/>
      <c r="F65" s="25"/>
      <c r="G65" s="25"/>
      <c r="H65" s="25"/>
      <c r="I65" s="25"/>
      <c r="J65" s="25"/>
      <c r="K65" s="25"/>
      <c r="L65" s="25"/>
      <c r="M65" s="25"/>
      <c r="N65" s="25"/>
    </row>
    <row r="66" spans="1:14" s="39" customFormat="1">
      <c r="A66" s="47"/>
      <c r="B66" s="25"/>
      <c r="C66" s="25"/>
      <c r="D66" s="25"/>
      <c r="E66" s="25"/>
      <c r="F66" s="25"/>
      <c r="G66" s="25"/>
      <c r="H66" s="25"/>
      <c r="I66" s="25"/>
      <c r="J66" s="25"/>
      <c r="K66" s="25"/>
      <c r="L66" s="25"/>
      <c r="M66" s="25"/>
      <c r="N66" s="25"/>
    </row>
    <row r="67" spans="1:14" s="39" customFormat="1">
      <c r="A67" s="47"/>
      <c r="B67" s="25"/>
      <c r="C67" s="25"/>
      <c r="D67" s="25"/>
      <c r="E67" s="25"/>
      <c r="F67" s="25"/>
      <c r="G67" s="25"/>
      <c r="H67" s="25"/>
      <c r="I67" s="25"/>
      <c r="J67" s="25"/>
      <c r="K67" s="25"/>
      <c r="L67" s="25"/>
      <c r="M67" s="25"/>
      <c r="N67" s="25"/>
    </row>
    <row r="68" spans="1:14" s="39" customFormat="1">
      <c r="A68" s="47"/>
      <c r="B68" s="25"/>
      <c r="C68" s="25"/>
      <c r="D68" s="25"/>
      <c r="E68" s="25"/>
      <c r="F68" s="25"/>
      <c r="G68" s="25"/>
      <c r="H68" s="25"/>
      <c r="I68" s="25"/>
      <c r="J68" s="25"/>
      <c r="K68" s="25"/>
      <c r="L68" s="25"/>
      <c r="M68" s="25"/>
      <c r="N68" s="25"/>
    </row>
    <row r="69" spans="1:14" s="39" customFormat="1">
      <c r="A69" s="47"/>
      <c r="B69" s="25"/>
      <c r="C69" s="25"/>
      <c r="D69" s="25"/>
      <c r="E69" s="25"/>
      <c r="F69" s="25"/>
      <c r="G69" s="25"/>
      <c r="H69" s="25"/>
      <c r="I69" s="25"/>
      <c r="J69" s="25"/>
      <c r="K69" s="25"/>
      <c r="L69" s="25"/>
      <c r="M69" s="25"/>
      <c r="N69" s="25"/>
    </row>
    <row r="70" spans="1:14" s="39" customFormat="1">
      <c r="A70" s="47"/>
      <c r="B70" s="25"/>
      <c r="C70" s="25"/>
      <c r="D70" s="25"/>
      <c r="E70" s="25"/>
      <c r="F70" s="25"/>
      <c r="G70" s="25"/>
      <c r="H70" s="25"/>
      <c r="I70" s="25"/>
      <c r="J70" s="25"/>
      <c r="K70" s="25"/>
      <c r="L70" s="25"/>
      <c r="M70" s="25"/>
      <c r="N70" s="25"/>
    </row>
    <row r="71" spans="1:14" s="39" customFormat="1">
      <c r="A71" s="47"/>
      <c r="B71" s="25"/>
      <c r="C71" s="25"/>
      <c r="D71" s="25"/>
      <c r="E71" s="25"/>
      <c r="F71" s="25"/>
      <c r="G71" s="25"/>
      <c r="H71" s="25"/>
      <c r="I71" s="25"/>
      <c r="J71" s="25"/>
      <c r="K71" s="25"/>
      <c r="L71" s="25"/>
      <c r="M71" s="25"/>
      <c r="N71" s="25"/>
    </row>
    <row r="72" spans="1:14" s="39" customFormat="1">
      <c r="A72" s="47"/>
      <c r="B72" s="25"/>
      <c r="C72" s="25"/>
      <c r="D72" s="25"/>
      <c r="E72" s="25"/>
      <c r="F72" s="25"/>
      <c r="G72" s="25"/>
      <c r="H72" s="25"/>
      <c r="I72" s="25"/>
      <c r="J72" s="25"/>
      <c r="K72" s="25"/>
      <c r="L72" s="25"/>
      <c r="M72" s="25"/>
      <c r="N72" s="25"/>
    </row>
    <row r="73" spans="1:14" s="39" customFormat="1">
      <c r="A73" s="47"/>
      <c r="B73" s="25"/>
      <c r="C73" s="25"/>
      <c r="D73" s="25"/>
      <c r="E73" s="25"/>
      <c r="F73" s="25"/>
      <c r="G73" s="25"/>
      <c r="H73" s="25"/>
      <c r="I73" s="25"/>
      <c r="J73" s="25"/>
      <c r="K73" s="25"/>
      <c r="L73" s="25"/>
      <c r="M73" s="25"/>
      <c r="N73" s="25"/>
    </row>
    <row r="74" spans="1:14" s="39" customFormat="1">
      <c r="A74" s="47"/>
      <c r="B74" s="25"/>
      <c r="C74" s="25"/>
      <c r="D74" s="25"/>
      <c r="E74" s="25"/>
      <c r="F74" s="25"/>
      <c r="G74" s="25"/>
      <c r="H74" s="25"/>
      <c r="I74" s="25"/>
      <c r="J74" s="25"/>
      <c r="K74" s="25"/>
      <c r="L74" s="25"/>
      <c r="M74" s="25"/>
      <c r="N74" s="25"/>
    </row>
    <row r="75" spans="1:14" s="39" customFormat="1">
      <c r="A75" s="47"/>
      <c r="B75" s="25"/>
      <c r="C75" s="25"/>
      <c r="D75" s="25"/>
      <c r="E75" s="25"/>
      <c r="F75" s="25"/>
      <c r="G75" s="25"/>
      <c r="H75" s="25"/>
      <c r="I75" s="25"/>
      <c r="J75" s="25"/>
      <c r="K75" s="25"/>
      <c r="L75" s="25"/>
      <c r="M75" s="25"/>
      <c r="N75" s="25"/>
    </row>
    <row r="76" spans="1:14" s="39" customFormat="1">
      <c r="A76" s="47"/>
      <c r="B76" s="25"/>
      <c r="C76" s="25"/>
      <c r="D76" s="25"/>
      <c r="E76" s="25"/>
      <c r="F76" s="25"/>
      <c r="G76" s="25"/>
      <c r="H76" s="25"/>
      <c r="I76" s="25"/>
      <c r="J76" s="25"/>
      <c r="K76" s="25"/>
      <c r="L76" s="25"/>
      <c r="M76" s="25"/>
      <c r="N76" s="25"/>
    </row>
    <row r="77" spans="1:14" s="39" customFormat="1">
      <c r="A77" s="47"/>
      <c r="B77" s="25"/>
      <c r="C77" s="25"/>
      <c r="D77" s="25"/>
      <c r="E77" s="25"/>
      <c r="F77" s="25"/>
      <c r="G77" s="25"/>
      <c r="H77" s="25"/>
      <c r="I77" s="25"/>
      <c r="J77" s="25"/>
      <c r="K77" s="25"/>
      <c r="L77" s="25"/>
      <c r="M77" s="25"/>
      <c r="N77" s="25"/>
    </row>
    <row r="78" spans="1:14" s="39" customFormat="1">
      <c r="A78" s="47"/>
      <c r="B78" s="25"/>
      <c r="C78" s="25"/>
      <c r="D78" s="25"/>
      <c r="E78" s="25"/>
      <c r="F78" s="25"/>
      <c r="G78" s="25"/>
      <c r="H78" s="25"/>
      <c r="I78" s="25"/>
      <c r="J78" s="25"/>
      <c r="K78" s="25"/>
      <c r="L78" s="25"/>
      <c r="M78" s="25"/>
      <c r="N78" s="25"/>
    </row>
    <row r="79" spans="1:14" s="39" customFormat="1">
      <c r="A79" s="47"/>
      <c r="B79" s="25"/>
      <c r="C79" s="25"/>
      <c r="D79" s="25"/>
      <c r="E79" s="25"/>
      <c r="F79" s="25"/>
      <c r="G79" s="25"/>
      <c r="H79" s="25"/>
      <c r="I79" s="25"/>
      <c r="J79" s="25"/>
      <c r="K79" s="25"/>
      <c r="L79" s="25"/>
      <c r="M79" s="25"/>
      <c r="N79" s="25"/>
    </row>
    <row r="80" spans="1:14" s="39" customFormat="1">
      <c r="A80" s="47"/>
      <c r="B80" s="25"/>
      <c r="C80" s="25"/>
      <c r="D80" s="25"/>
      <c r="E80" s="25"/>
      <c r="F80" s="25"/>
      <c r="G80" s="25"/>
      <c r="H80" s="25"/>
      <c r="I80" s="25"/>
      <c r="J80" s="25"/>
      <c r="K80" s="25"/>
      <c r="L80" s="25"/>
      <c r="M80" s="25"/>
      <c r="N80" s="25"/>
    </row>
    <row r="81" spans="1:14" s="39" customFormat="1">
      <c r="A81" s="47"/>
      <c r="B81" s="25"/>
      <c r="C81" s="25"/>
      <c r="D81" s="25"/>
      <c r="E81" s="25"/>
      <c r="F81" s="25"/>
      <c r="G81" s="25"/>
      <c r="H81" s="25"/>
      <c r="I81" s="25"/>
      <c r="J81" s="25"/>
      <c r="K81" s="25"/>
      <c r="L81" s="25"/>
      <c r="M81" s="25"/>
      <c r="N81" s="25"/>
    </row>
    <row r="82" spans="1:14" s="39" customFormat="1">
      <c r="A82" s="47"/>
      <c r="B82" s="25"/>
      <c r="C82" s="25"/>
      <c r="D82" s="25"/>
      <c r="E82" s="25"/>
      <c r="F82" s="25"/>
      <c r="G82" s="25"/>
      <c r="H82" s="25"/>
      <c r="I82" s="25"/>
      <c r="J82" s="25"/>
      <c r="K82" s="25"/>
      <c r="L82" s="25"/>
      <c r="M82" s="25"/>
      <c r="N82" s="25"/>
    </row>
    <row r="83" spans="1:14" s="39" customFormat="1">
      <c r="A83" s="47"/>
      <c r="B83" s="25"/>
      <c r="C83" s="25"/>
      <c r="D83" s="25"/>
      <c r="E83" s="25"/>
      <c r="F83" s="25"/>
      <c r="G83" s="25"/>
      <c r="H83" s="25"/>
      <c r="I83" s="25"/>
      <c r="J83" s="25"/>
      <c r="K83" s="25"/>
      <c r="L83" s="25"/>
      <c r="M83" s="25"/>
      <c r="N83" s="25"/>
    </row>
    <row r="84" spans="1:14" s="39" customFormat="1">
      <c r="A84" s="47"/>
      <c r="B84" s="25"/>
      <c r="C84" s="25"/>
      <c r="D84" s="25"/>
      <c r="E84" s="25"/>
      <c r="F84" s="25"/>
      <c r="G84" s="25"/>
      <c r="H84" s="25"/>
      <c r="I84" s="25"/>
      <c r="J84" s="25"/>
      <c r="K84" s="25"/>
      <c r="L84" s="25"/>
      <c r="M84" s="25"/>
      <c r="N84" s="25"/>
    </row>
    <row r="85" spans="1:14" s="39" customFormat="1">
      <c r="A85" s="47"/>
      <c r="B85" s="25"/>
      <c r="C85" s="25"/>
      <c r="D85" s="25"/>
      <c r="E85" s="25"/>
      <c r="F85" s="25"/>
      <c r="G85" s="25"/>
      <c r="H85" s="25"/>
      <c r="I85" s="25"/>
      <c r="J85" s="25"/>
      <c r="K85" s="25"/>
      <c r="L85" s="25"/>
      <c r="M85" s="25"/>
      <c r="N85" s="25"/>
    </row>
    <row r="86" spans="1:14" s="39" customFormat="1">
      <c r="A86" s="47"/>
      <c r="B86" s="25"/>
      <c r="C86" s="25"/>
      <c r="D86" s="25"/>
      <c r="E86" s="25"/>
      <c r="F86" s="25"/>
      <c r="G86" s="25"/>
      <c r="H86" s="25"/>
      <c r="I86" s="25"/>
      <c r="J86" s="25"/>
      <c r="K86" s="25"/>
      <c r="L86" s="25"/>
      <c r="M86" s="25"/>
      <c r="N86" s="25"/>
    </row>
    <row r="87" spans="1:14" s="39" customFormat="1">
      <c r="A87" s="47"/>
      <c r="B87" s="25"/>
      <c r="C87" s="25"/>
      <c r="D87" s="25"/>
      <c r="E87" s="25"/>
      <c r="F87" s="25"/>
      <c r="G87" s="25"/>
      <c r="H87" s="25"/>
      <c r="I87" s="25"/>
      <c r="J87" s="25"/>
      <c r="K87" s="25"/>
      <c r="L87" s="25"/>
      <c r="M87" s="25"/>
      <c r="N87" s="25"/>
    </row>
    <row r="88" spans="1:14" s="39" customFormat="1">
      <c r="A88" s="47"/>
      <c r="B88" s="25"/>
      <c r="C88" s="25"/>
      <c r="D88" s="25"/>
      <c r="E88" s="25"/>
      <c r="F88" s="25"/>
      <c r="G88" s="25"/>
      <c r="H88" s="25"/>
      <c r="I88" s="25"/>
      <c r="J88" s="25"/>
      <c r="K88" s="25"/>
      <c r="L88" s="25"/>
      <c r="M88" s="25"/>
      <c r="N88" s="25"/>
    </row>
    <row r="89" spans="1:14" s="39" customFormat="1">
      <c r="A89" s="47"/>
      <c r="B89" s="25"/>
      <c r="C89" s="25"/>
      <c r="D89" s="25"/>
      <c r="E89" s="25"/>
      <c r="F89" s="25"/>
      <c r="G89" s="25"/>
      <c r="H89" s="25"/>
      <c r="I89" s="25"/>
      <c r="J89" s="25"/>
      <c r="K89" s="25"/>
      <c r="L89" s="25"/>
      <c r="M89" s="25"/>
      <c r="N89" s="25"/>
    </row>
    <row r="90" spans="1:14" s="39" customFormat="1">
      <c r="A90" s="47"/>
      <c r="B90" s="25"/>
      <c r="C90" s="25"/>
      <c r="D90" s="25"/>
      <c r="E90" s="25"/>
      <c r="F90" s="25"/>
      <c r="G90" s="25"/>
      <c r="H90" s="25"/>
      <c r="I90" s="25"/>
      <c r="J90" s="25"/>
      <c r="K90" s="25"/>
      <c r="L90" s="25"/>
      <c r="M90" s="25"/>
      <c r="N90" s="25"/>
    </row>
    <row r="91" spans="1:14" s="39" customFormat="1">
      <c r="A91" s="47"/>
      <c r="B91" s="25"/>
      <c r="C91" s="25"/>
      <c r="D91" s="25"/>
      <c r="E91" s="25"/>
      <c r="F91" s="25"/>
      <c r="G91" s="25"/>
      <c r="H91" s="25"/>
      <c r="I91" s="25"/>
      <c r="J91" s="25"/>
      <c r="K91" s="25"/>
      <c r="L91" s="25"/>
      <c r="M91" s="25"/>
      <c r="N91" s="25"/>
    </row>
    <row r="92" spans="1:14" s="39" customFormat="1">
      <c r="A92" s="47"/>
      <c r="B92" s="25"/>
      <c r="C92" s="25"/>
      <c r="D92" s="25"/>
      <c r="E92" s="25"/>
      <c r="F92" s="25"/>
      <c r="G92" s="25"/>
      <c r="H92" s="25"/>
      <c r="I92" s="25"/>
      <c r="J92" s="25"/>
      <c r="K92" s="25"/>
      <c r="L92" s="25"/>
      <c r="M92" s="25"/>
      <c r="N92" s="25"/>
    </row>
    <row r="93" spans="1:14" s="39" customFormat="1">
      <c r="A93" s="47"/>
      <c r="B93" s="25"/>
      <c r="C93" s="25"/>
      <c r="D93" s="25"/>
      <c r="E93" s="25"/>
      <c r="F93" s="25"/>
      <c r="G93" s="25"/>
      <c r="H93" s="25"/>
      <c r="I93" s="25"/>
      <c r="J93" s="25"/>
      <c r="K93" s="25"/>
      <c r="L93" s="25"/>
      <c r="M93" s="25"/>
      <c r="N93" s="25"/>
    </row>
    <row r="94" spans="1:14" s="39" customFormat="1">
      <c r="A94" s="47"/>
      <c r="B94" s="25"/>
      <c r="C94" s="25"/>
      <c r="D94" s="25"/>
      <c r="E94" s="25"/>
      <c r="F94" s="25"/>
      <c r="G94" s="25"/>
      <c r="H94" s="25"/>
      <c r="I94" s="25"/>
      <c r="J94" s="25"/>
      <c r="K94" s="25"/>
      <c r="L94" s="25"/>
      <c r="M94" s="25"/>
      <c r="N94" s="25"/>
    </row>
    <row r="95" spans="1:14" s="39" customFormat="1">
      <c r="A95" s="47"/>
      <c r="B95" s="25"/>
      <c r="C95" s="25"/>
      <c r="D95" s="25"/>
      <c r="E95" s="25"/>
      <c r="F95" s="25"/>
      <c r="G95" s="25"/>
      <c r="H95" s="25"/>
      <c r="I95" s="25"/>
      <c r="J95" s="25"/>
      <c r="K95" s="25"/>
      <c r="L95" s="25"/>
      <c r="M95" s="25"/>
      <c r="N95" s="25"/>
    </row>
    <row r="96" spans="1:14" s="39" customFormat="1">
      <c r="A96" s="47"/>
      <c r="B96" s="25"/>
      <c r="C96" s="25"/>
      <c r="D96" s="25"/>
      <c r="E96" s="25"/>
      <c r="F96" s="25"/>
      <c r="G96" s="25"/>
      <c r="H96" s="25"/>
      <c r="I96" s="25"/>
      <c r="J96" s="25"/>
      <c r="K96" s="25"/>
      <c r="L96" s="25"/>
      <c r="M96" s="25"/>
      <c r="N96" s="25"/>
    </row>
    <row r="97" spans="1:14" s="39" customFormat="1">
      <c r="A97" s="47"/>
      <c r="B97" s="25"/>
      <c r="C97" s="25"/>
      <c r="D97" s="25"/>
      <c r="E97" s="25"/>
      <c r="F97" s="25"/>
      <c r="G97" s="25"/>
      <c r="H97" s="25"/>
      <c r="I97" s="25"/>
      <c r="J97" s="25"/>
      <c r="K97" s="25"/>
      <c r="L97" s="25"/>
      <c r="M97" s="25"/>
      <c r="N97" s="25"/>
    </row>
    <row r="98" spans="1:14" s="39" customFormat="1">
      <c r="A98" s="47"/>
      <c r="B98" s="25"/>
      <c r="C98" s="25"/>
      <c r="D98" s="25"/>
      <c r="E98" s="25"/>
      <c r="F98" s="25"/>
      <c r="G98" s="25"/>
      <c r="H98" s="25"/>
      <c r="I98" s="25"/>
      <c r="J98" s="25"/>
      <c r="K98" s="25"/>
      <c r="L98" s="25"/>
      <c r="M98" s="25"/>
      <c r="N98" s="25"/>
    </row>
    <row r="99" spans="1:14" s="39" customFormat="1">
      <c r="A99" s="47"/>
      <c r="B99" s="25"/>
      <c r="C99" s="25"/>
      <c r="D99" s="25"/>
      <c r="E99" s="25"/>
      <c r="F99" s="25"/>
      <c r="G99" s="25"/>
      <c r="H99" s="25"/>
      <c r="I99" s="25"/>
      <c r="J99" s="25"/>
      <c r="K99" s="25"/>
      <c r="L99" s="25"/>
      <c r="M99" s="25"/>
      <c r="N99" s="25"/>
    </row>
    <row r="100" spans="1:14" s="39" customFormat="1">
      <c r="A100" s="47"/>
      <c r="B100" s="25"/>
      <c r="C100" s="25"/>
      <c r="D100" s="25"/>
      <c r="E100" s="25"/>
      <c r="F100" s="25"/>
      <c r="G100" s="25"/>
      <c r="H100" s="25"/>
      <c r="I100" s="25"/>
      <c r="J100" s="25"/>
      <c r="K100" s="25"/>
      <c r="L100" s="25"/>
      <c r="M100" s="25"/>
      <c r="N100" s="25"/>
    </row>
    <row r="101" spans="1:14" s="39" customFormat="1">
      <c r="A101" s="47"/>
      <c r="B101" s="25"/>
      <c r="C101" s="25"/>
      <c r="D101" s="25"/>
      <c r="E101" s="25"/>
      <c r="F101" s="25"/>
      <c r="G101" s="25"/>
      <c r="H101" s="25"/>
      <c r="I101" s="25"/>
      <c r="J101" s="25"/>
      <c r="K101" s="25"/>
      <c r="L101" s="25"/>
      <c r="M101" s="25"/>
      <c r="N101" s="25"/>
    </row>
    <row r="102" spans="1:14" s="39" customFormat="1">
      <c r="A102" s="47"/>
      <c r="B102" s="25"/>
      <c r="C102" s="25"/>
      <c r="D102" s="25"/>
      <c r="E102" s="25"/>
      <c r="F102" s="25"/>
      <c r="G102" s="25"/>
      <c r="H102" s="25"/>
      <c r="I102" s="25"/>
      <c r="J102" s="25"/>
      <c r="K102" s="25"/>
      <c r="L102" s="25"/>
      <c r="M102" s="25"/>
      <c r="N102" s="25"/>
    </row>
    <row r="103" spans="1:14" s="39" customFormat="1">
      <c r="A103" s="47"/>
      <c r="B103" s="25"/>
      <c r="C103" s="25"/>
      <c r="D103" s="25"/>
      <c r="E103" s="25"/>
      <c r="F103" s="25"/>
      <c r="G103" s="25"/>
      <c r="H103" s="25"/>
      <c r="I103" s="25"/>
      <c r="J103" s="25"/>
      <c r="K103" s="25"/>
      <c r="L103" s="25"/>
      <c r="M103" s="25"/>
      <c r="N103" s="25"/>
    </row>
    <row r="104" spans="1:14" s="39" customFormat="1">
      <c r="A104" s="47"/>
      <c r="B104" s="25"/>
      <c r="C104" s="25"/>
      <c r="D104" s="25"/>
      <c r="E104" s="25"/>
      <c r="F104" s="25"/>
      <c r="G104" s="25"/>
      <c r="H104" s="25"/>
      <c r="I104" s="25"/>
      <c r="J104" s="25"/>
      <c r="K104" s="25"/>
      <c r="L104" s="25"/>
      <c r="M104" s="25"/>
      <c r="N104" s="25"/>
    </row>
    <row r="105" spans="1:14" s="39" customFormat="1">
      <c r="A105" s="47"/>
      <c r="B105" s="25"/>
      <c r="C105" s="25"/>
      <c r="D105" s="25"/>
      <c r="E105" s="25"/>
      <c r="F105" s="25"/>
      <c r="G105" s="25"/>
      <c r="H105" s="25"/>
      <c r="I105" s="25"/>
      <c r="J105" s="25"/>
      <c r="K105" s="25"/>
      <c r="L105" s="25"/>
      <c r="M105" s="25"/>
      <c r="N105" s="25"/>
    </row>
    <row r="106" spans="1:14" s="39" customFormat="1">
      <c r="A106" s="47"/>
      <c r="B106" s="25"/>
      <c r="C106" s="25"/>
      <c r="D106" s="25"/>
      <c r="E106" s="25"/>
      <c r="F106" s="25"/>
      <c r="G106" s="25"/>
      <c r="H106" s="25"/>
      <c r="I106" s="25"/>
      <c r="J106" s="25"/>
      <c r="K106" s="25"/>
      <c r="L106" s="25"/>
      <c r="M106" s="25"/>
      <c r="N106" s="25"/>
    </row>
    <row r="107" spans="1:14" s="39" customFormat="1">
      <c r="A107" s="47"/>
      <c r="B107" s="25"/>
      <c r="C107" s="25"/>
      <c r="D107" s="25"/>
      <c r="E107" s="25"/>
      <c r="F107" s="25"/>
      <c r="G107" s="25"/>
      <c r="H107" s="25"/>
      <c r="I107" s="25"/>
      <c r="J107" s="25"/>
      <c r="K107" s="25"/>
      <c r="L107" s="25"/>
      <c r="M107" s="25"/>
      <c r="N107" s="25"/>
    </row>
    <row r="108" spans="1:14" s="39" customFormat="1">
      <c r="A108" s="47"/>
      <c r="B108" s="25"/>
      <c r="C108" s="25"/>
      <c r="D108" s="25"/>
      <c r="E108" s="25"/>
      <c r="F108" s="25"/>
      <c r="G108" s="25"/>
      <c r="H108" s="25"/>
      <c r="I108" s="25"/>
      <c r="J108" s="25"/>
      <c r="K108" s="25"/>
      <c r="L108" s="25"/>
      <c r="M108" s="25"/>
      <c r="N108" s="25"/>
    </row>
    <row r="109" spans="1:14" s="39" customFormat="1">
      <c r="A109" s="47"/>
      <c r="B109" s="25"/>
      <c r="C109" s="25"/>
      <c r="D109" s="25"/>
      <c r="E109" s="25"/>
      <c r="F109" s="25"/>
      <c r="G109" s="25"/>
      <c r="H109" s="25"/>
      <c r="I109" s="25"/>
      <c r="J109" s="25"/>
      <c r="K109" s="25"/>
      <c r="L109" s="25"/>
      <c r="M109" s="25"/>
      <c r="N109" s="25"/>
    </row>
    <row r="110" spans="1:14" s="39" customFormat="1">
      <c r="A110" s="47"/>
      <c r="B110" s="25"/>
      <c r="C110" s="25"/>
      <c r="D110" s="25"/>
      <c r="E110" s="25"/>
      <c r="F110" s="25"/>
      <c r="G110" s="25"/>
      <c r="H110" s="25"/>
      <c r="I110" s="25"/>
      <c r="J110" s="25"/>
      <c r="K110" s="25"/>
      <c r="L110" s="25"/>
      <c r="M110" s="25"/>
      <c r="N110" s="25"/>
    </row>
    <row r="111" spans="1:14" s="39" customFormat="1">
      <c r="A111" s="47"/>
      <c r="B111" s="25"/>
      <c r="C111" s="25"/>
      <c r="D111" s="25"/>
      <c r="E111" s="25"/>
      <c r="F111" s="25"/>
      <c r="G111" s="25"/>
      <c r="H111" s="25"/>
      <c r="I111" s="25"/>
      <c r="J111" s="25"/>
      <c r="K111" s="25"/>
      <c r="L111" s="25"/>
      <c r="M111" s="25"/>
      <c r="N111" s="25"/>
    </row>
    <row r="112" spans="1:14" s="39" customFormat="1">
      <c r="A112" s="47"/>
      <c r="B112" s="25"/>
      <c r="C112" s="25"/>
      <c r="D112" s="25"/>
      <c r="E112" s="25"/>
      <c r="F112" s="25"/>
      <c r="G112" s="25"/>
      <c r="H112" s="25"/>
      <c r="I112" s="25"/>
      <c r="J112" s="25"/>
      <c r="K112" s="25"/>
      <c r="L112" s="25"/>
      <c r="M112" s="25"/>
      <c r="N112" s="25"/>
    </row>
    <row r="113" spans="1:14" s="39" customFormat="1">
      <c r="A113" s="47"/>
      <c r="B113" s="25"/>
      <c r="C113" s="25"/>
      <c r="D113" s="25"/>
      <c r="E113" s="25"/>
      <c r="F113" s="25"/>
      <c r="G113" s="25"/>
      <c r="H113" s="25"/>
      <c r="I113" s="25"/>
      <c r="J113" s="25"/>
      <c r="K113" s="25"/>
      <c r="L113" s="25"/>
      <c r="M113" s="25"/>
      <c r="N113" s="25"/>
    </row>
    <row r="114" spans="1:14" s="39" customFormat="1">
      <c r="A114" s="47"/>
      <c r="B114" s="25"/>
      <c r="C114" s="25"/>
      <c r="D114" s="25"/>
      <c r="E114" s="25"/>
      <c r="F114" s="25"/>
      <c r="G114" s="25"/>
      <c r="H114" s="25"/>
      <c r="I114" s="25"/>
      <c r="J114" s="25"/>
      <c r="K114" s="25"/>
      <c r="L114" s="25"/>
      <c r="M114" s="25"/>
      <c r="N114" s="25"/>
    </row>
    <row r="115" spans="1:14" s="39" customFormat="1">
      <c r="A115" s="47"/>
      <c r="B115" s="25"/>
      <c r="C115" s="25"/>
      <c r="D115" s="25"/>
      <c r="E115" s="25"/>
      <c r="F115" s="25"/>
      <c r="G115" s="25"/>
      <c r="H115" s="25"/>
      <c r="I115" s="25"/>
      <c r="J115" s="25"/>
      <c r="K115" s="25"/>
      <c r="L115" s="25"/>
      <c r="M115" s="25"/>
      <c r="N115" s="25"/>
    </row>
    <row r="116" spans="1:14" s="39" customFormat="1">
      <c r="A116" s="47"/>
      <c r="B116" s="25"/>
      <c r="C116" s="25"/>
      <c r="D116" s="25"/>
      <c r="E116" s="25"/>
      <c r="F116" s="25"/>
      <c r="G116" s="25"/>
      <c r="H116" s="25"/>
      <c r="I116" s="25"/>
      <c r="J116" s="25"/>
      <c r="K116" s="25"/>
      <c r="L116" s="25"/>
      <c r="M116" s="25"/>
      <c r="N116" s="25"/>
    </row>
    <row r="117" spans="1:14" s="39" customFormat="1">
      <c r="A117" s="47"/>
      <c r="B117" s="25"/>
      <c r="C117" s="25"/>
      <c r="D117" s="25"/>
      <c r="E117" s="25"/>
      <c r="F117" s="25"/>
      <c r="G117" s="25"/>
      <c r="H117" s="25"/>
      <c r="I117" s="25"/>
      <c r="J117" s="25"/>
      <c r="K117" s="25"/>
      <c r="L117" s="25"/>
      <c r="M117" s="25"/>
      <c r="N117" s="25"/>
    </row>
    <row r="118" spans="1:14" s="39" customFormat="1">
      <c r="A118" s="47"/>
      <c r="B118" s="25"/>
      <c r="C118" s="25"/>
      <c r="D118" s="25"/>
      <c r="E118" s="25"/>
      <c r="F118" s="25"/>
      <c r="G118" s="25"/>
      <c r="H118" s="25"/>
      <c r="I118" s="25"/>
      <c r="J118" s="25"/>
      <c r="K118" s="25"/>
      <c r="L118" s="25"/>
      <c r="M118" s="25"/>
      <c r="N118" s="25"/>
    </row>
    <row r="119" spans="1:14" s="39" customFormat="1">
      <c r="A119" s="47"/>
      <c r="B119" s="25"/>
      <c r="C119" s="25"/>
      <c r="D119" s="25"/>
      <c r="E119" s="25"/>
      <c r="F119" s="25"/>
      <c r="G119" s="25"/>
      <c r="H119" s="25"/>
      <c r="I119" s="25"/>
      <c r="J119" s="25"/>
      <c r="K119" s="25"/>
      <c r="L119" s="25"/>
      <c r="M119" s="25"/>
      <c r="N119" s="25"/>
    </row>
    <row r="120" spans="1:14" s="39" customFormat="1">
      <c r="A120" s="47"/>
      <c r="B120" s="25"/>
      <c r="C120" s="25"/>
      <c r="D120" s="25"/>
      <c r="E120" s="25"/>
      <c r="F120" s="25"/>
      <c r="G120" s="25"/>
      <c r="H120" s="25"/>
      <c r="I120" s="25"/>
      <c r="J120" s="25"/>
      <c r="K120" s="25"/>
      <c r="L120" s="25"/>
      <c r="M120" s="25"/>
      <c r="N120" s="25"/>
    </row>
    <row r="121" spans="1:14" s="39" customFormat="1">
      <c r="A121" s="47"/>
      <c r="B121" s="25"/>
      <c r="C121" s="25"/>
      <c r="D121" s="25"/>
      <c r="E121" s="25"/>
      <c r="F121" s="25"/>
      <c r="G121" s="25"/>
      <c r="H121" s="25"/>
      <c r="I121" s="25"/>
      <c r="J121" s="25"/>
      <c r="K121" s="25"/>
      <c r="L121" s="25"/>
      <c r="M121" s="25"/>
      <c r="N121" s="25"/>
    </row>
    <row r="122" spans="1:14" s="39" customFormat="1">
      <c r="A122" s="47"/>
      <c r="B122" s="25"/>
      <c r="C122" s="25"/>
      <c r="D122" s="25"/>
      <c r="E122" s="25"/>
      <c r="F122" s="25"/>
      <c r="G122" s="25"/>
      <c r="H122" s="25"/>
      <c r="I122" s="25"/>
      <c r="J122" s="25"/>
      <c r="K122" s="25"/>
      <c r="L122" s="25"/>
      <c r="M122" s="25"/>
      <c r="N122" s="25"/>
    </row>
    <row r="123" spans="1:14" s="39" customFormat="1">
      <c r="A123" s="47"/>
      <c r="B123" s="25"/>
      <c r="C123" s="25"/>
      <c r="D123" s="25"/>
      <c r="E123" s="25"/>
      <c r="F123" s="25"/>
      <c r="G123" s="25"/>
      <c r="H123" s="25"/>
      <c r="I123" s="25"/>
      <c r="J123" s="25"/>
      <c r="K123" s="25"/>
      <c r="L123" s="25"/>
      <c r="M123" s="25"/>
      <c r="N123" s="25"/>
    </row>
    <row r="124" spans="1:14" s="39" customFormat="1">
      <c r="A124" s="47"/>
      <c r="B124" s="25"/>
      <c r="C124" s="25"/>
      <c r="D124" s="25"/>
      <c r="E124" s="25"/>
      <c r="F124" s="25"/>
      <c r="G124" s="25"/>
      <c r="H124" s="25"/>
      <c r="I124" s="25"/>
      <c r="J124" s="25"/>
      <c r="K124" s="25"/>
      <c r="L124" s="25"/>
      <c r="M124" s="25"/>
      <c r="N124" s="25"/>
    </row>
    <row r="125" spans="1:14" s="39" customFormat="1">
      <c r="A125" s="47"/>
      <c r="B125" s="25"/>
      <c r="C125" s="25"/>
      <c r="D125" s="25"/>
      <c r="E125" s="25"/>
      <c r="F125" s="25"/>
      <c r="G125" s="25"/>
      <c r="H125" s="25"/>
      <c r="I125" s="25"/>
      <c r="J125" s="25"/>
      <c r="K125" s="25"/>
      <c r="L125" s="25"/>
      <c r="M125" s="25"/>
      <c r="N125" s="25"/>
    </row>
    <row r="126" spans="1:14" s="39" customFormat="1">
      <c r="A126" s="47"/>
      <c r="B126" s="25"/>
      <c r="C126" s="25"/>
      <c r="D126" s="25"/>
      <c r="E126" s="25"/>
      <c r="F126" s="25"/>
      <c r="G126" s="25"/>
      <c r="H126" s="25"/>
      <c r="I126" s="25"/>
      <c r="J126" s="25"/>
      <c r="K126" s="25"/>
      <c r="L126" s="25"/>
      <c r="M126" s="25"/>
      <c r="N126" s="25"/>
    </row>
    <row r="127" spans="1:14" s="39" customFormat="1">
      <c r="A127" s="47"/>
      <c r="B127" s="25"/>
      <c r="C127" s="25"/>
      <c r="D127" s="25"/>
      <c r="E127" s="25"/>
      <c r="F127" s="25"/>
      <c r="G127" s="25"/>
      <c r="H127" s="25"/>
      <c r="I127" s="25"/>
      <c r="J127" s="25"/>
      <c r="K127" s="25"/>
      <c r="L127" s="25"/>
      <c r="M127" s="25"/>
      <c r="N127" s="25"/>
    </row>
    <row r="128" spans="1:14" s="39" customFormat="1">
      <c r="A128" s="47"/>
      <c r="B128" s="25"/>
      <c r="C128" s="25"/>
      <c r="D128" s="25"/>
      <c r="E128" s="25"/>
      <c r="F128" s="25"/>
      <c r="G128" s="25"/>
      <c r="H128" s="25"/>
      <c r="I128" s="25"/>
      <c r="J128" s="25"/>
      <c r="K128" s="25"/>
      <c r="L128" s="25"/>
      <c r="M128" s="25"/>
      <c r="N128" s="25"/>
    </row>
    <row r="129" spans="1:14" s="39" customFormat="1">
      <c r="A129" s="47"/>
      <c r="B129" s="25"/>
      <c r="C129" s="25"/>
      <c r="D129" s="25"/>
      <c r="E129" s="25"/>
      <c r="F129" s="25"/>
      <c r="G129" s="25"/>
      <c r="H129" s="25"/>
      <c r="I129" s="25"/>
      <c r="J129" s="25"/>
      <c r="K129" s="25"/>
      <c r="L129" s="25"/>
      <c r="M129" s="25"/>
      <c r="N129" s="25"/>
    </row>
    <row r="130" spans="1:14" s="39" customFormat="1">
      <c r="A130" s="47"/>
      <c r="B130" s="25"/>
      <c r="C130" s="25"/>
      <c r="D130" s="25"/>
      <c r="E130" s="25"/>
      <c r="F130" s="25"/>
      <c r="G130" s="25"/>
      <c r="H130" s="25"/>
      <c r="I130" s="25"/>
      <c r="J130" s="25"/>
      <c r="K130" s="25"/>
      <c r="L130" s="25"/>
      <c r="M130" s="25"/>
      <c r="N130" s="25"/>
    </row>
    <row r="131" spans="1:14" s="39" customFormat="1">
      <c r="A131" s="47"/>
      <c r="B131" s="25"/>
      <c r="C131" s="25"/>
      <c r="D131" s="25"/>
      <c r="E131" s="25"/>
      <c r="F131" s="25"/>
      <c r="G131" s="25"/>
      <c r="H131" s="25"/>
      <c r="I131" s="25"/>
      <c r="J131" s="25"/>
      <c r="K131" s="25"/>
      <c r="L131" s="25"/>
      <c r="M131" s="25"/>
      <c r="N131" s="25"/>
    </row>
    <row r="132" spans="1:14" s="39" customFormat="1">
      <c r="A132" s="47"/>
      <c r="B132" s="25"/>
      <c r="C132" s="25"/>
      <c r="D132" s="25"/>
      <c r="E132" s="25"/>
      <c r="F132" s="25"/>
      <c r="G132" s="25"/>
      <c r="H132" s="25"/>
      <c r="I132" s="25"/>
      <c r="J132" s="25"/>
      <c r="K132" s="25"/>
      <c r="L132" s="25"/>
      <c r="M132" s="25"/>
      <c r="N132" s="25"/>
    </row>
    <row r="133" spans="1:14" s="39" customFormat="1">
      <c r="A133" s="47"/>
      <c r="B133" s="25"/>
      <c r="C133" s="25"/>
      <c r="D133" s="25"/>
      <c r="E133" s="25"/>
      <c r="F133" s="25"/>
      <c r="G133" s="25"/>
      <c r="H133" s="25"/>
      <c r="I133" s="25"/>
      <c r="J133" s="25"/>
      <c r="K133" s="25"/>
      <c r="L133" s="25"/>
      <c r="M133" s="25"/>
      <c r="N133" s="25"/>
    </row>
    <row r="134" spans="1:14" s="39" customFormat="1">
      <c r="A134" s="47"/>
      <c r="B134" s="25"/>
      <c r="C134" s="25"/>
      <c r="D134" s="25"/>
      <c r="E134" s="25"/>
      <c r="F134" s="25"/>
      <c r="G134" s="25"/>
      <c r="H134" s="25"/>
      <c r="I134" s="25"/>
      <c r="J134" s="25"/>
      <c r="K134" s="25"/>
      <c r="L134" s="25"/>
      <c r="M134" s="25"/>
      <c r="N134" s="25"/>
    </row>
    <row r="135" spans="1:14" s="39" customFormat="1">
      <c r="A135" s="47"/>
      <c r="B135" s="25"/>
      <c r="C135" s="25"/>
      <c r="D135" s="25"/>
      <c r="E135" s="25"/>
      <c r="F135" s="25"/>
      <c r="G135" s="25"/>
      <c r="H135" s="25"/>
      <c r="I135" s="25"/>
      <c r="J135" s="25"/>
      <c r="K135" s="25"/>
      <c r="L135" s="25"/>
      <c r="M135" s="25"/>
      <c r="N135" s="25"/>
    </row>
    <row r="136" spans="1:14" s="39" customFormat="1">
      <c r="A136" s="47"/>
      <c r="B136" s="25"/>
      <c r="C136" s="25"/>
      <c r="D136" s="25"/>
      <c r="E136" s="25"/>
      <c r="F136" s="25"/>
      <c r="G136" s="25"/>
      <c r="H136" s="25"/>
      <c r="I136" s="25"/>
      <c r="J136" s="25"/>
      <c r="K136" s="25"/>
      <c r="L136" s="25"/>
      <c r="M136" s="25"/>
      <c r="N136" s="25"/>
    </row>
    <row r="137" spans="1:14" s="39" customFormat="1">
      <c r="A137" s="47"/>
      <c r="B137" s="25"/>
      <c r="C137" s="25"/>
      <c r="D137" s="25"/>
      <c r="E137" s="25"/>
      <c r="F137" s="25"/>
      <c r="G137" s="25"/>
      <c r="H137" s="25"/>
      <c r="I137" s="25"/>
      <c r="J137" s="25"/>
      <c r="K137" s="25"/>
      <c r="L137" s="25"/>
      <c r="M137" s="25"/>
      <c r="N137" s="25"/>
    </row>
    <row r="138" spans="1:14" s="39" customFormat="1">
      <c r="A138" s="47"/>
      <c r="B138" s="25"/>
      <c r="C138" s="25"/>
      <c r="D138" s="25"/>
      <c r="E138" s="25"/>
      <c r="F138" s="25"/>
      <c r="G138" s="25"/>
      <c r="H138" s="25"/>
      <c r="I138" s="25"/>
      <c r="J138" s="25"/>
      <c r="K138" s="25"/>
      <c r="L138" s="25"/>
      <c r="M138" s="25"/>
      <c r="N138" s="25"/>
    </row>
    <row r="139" spans="1:14" s="39" customFormat="1">
      <c r="A139" s="47"/>
      <c r="B139" s="25"/>
      <c r="C139" s="25"/>
      <c r="D139" s="25"/>
      <c r="E139" s="25"/>
      <c r="F139" s="25"/>
      <c r="G139" s="25"/>
      <c r="H139" s="25"/>
      <c r="I139" s="25"/>
      <c r="J139" s="25"/>
      <c r="K139" s="25"/>
      <c r="L139" s="25"/>
      <c r="M139" s="25"/>
      <c r="N139" s="25"/>
    </row>
    <row r="140" spans="1:14" s="39" customFormat="1">
      <c r="A140" s="47"/>
      <c r="B140" s="25"/>
      <c r="C140" s="25"/>
      <c r="D140" s="25"/>
      <c r="E140" s="25"/>
      <c r="F140" s="25"/>
      <c r="G140" s="25"/>
      <c r="H140" s="25"/>
      <c r="I140" s="25"/>
      <c r="J140" s="25"/>
      <c r="K140" s="25"/>
      <c r="L140" s="25"/>
      <c r="M140" s="25"/>
      <c r="N140" s="25"/>
    </row>
    <row r="141" spans="1:14" s="39" customFormat="1">
      <c r="A141" s="47"/>
      <c r="B141" s="25"/>
      <c r="C141" s="25"/>
      <c r="D141" s="25"/>
      <c r="E141" s="25"/>
      <c r="F141" s="25"/>
      <c r="G141" s="25"/>
      <c r="H141" s="25"/>
      <c r="I141" s="25"/>
      <c r="J141" s="25"/>
      <c r="K141" s="25"/>
      <c r="L141" s="25"/>
      <c r="M141" s="25"/>
      <c r="N141" s="25"/>
    </row>
    <row r="142" spans="1:14" s="39" customFormat="1">
      <c r="A142" s="47"/>
      <c r="B142" s="25"/>
      <c r="C142" s="25"/>
      <c r="D142" s="25"/>
      <c r="E142" s="25"/>
      <c r="F142" s="25"/>
      <c r="G142" s="25"/>
      <c r="H142" s="25"/>
      <c r="I142" s="25"/>
      <c r="J142" s="25"/>
      <c r="K142" s="25"/>
      <c r="L142" s="25"/>
      <c r="M142" s="25"/>
      <c r="N142" s="25"/>
    </row>
    <row r="143" spans="1:14" s="39" customFormat="1">
      <c r="A143" s="47"/>
      <c r="B143" s="25"/>
      <c r="C143" s="25"/>
      <c r="D143" s="25"/>
      <c r="E143" s="25"/>
      <c r="F143" s="25"/>
      <c r="G143" s="25"/>
      <c r="H143" s="25"/>
      <c r="I143" s="25"/>
      <c r="J143" s="25"/>
      <c r="K143" s="25"/>
      <c r="L143" s="25"/>
      <c r="M143" s="25"/>
      <c r="N143" s="25"/>
    </row>
    <row r="144" spans="1:14" s="39" customFormat="1">
      <c r="A144" s="47"/>
      <c r="B144" s="25"/>
      <c r="C144" s="25"/>
      <c r="D144" s="25"/>
      <c r="E144" s="25"/>
      <c r="F144" s="25"/>
      <c r="G144" s="25"/>
      <c r="H144" s="25"/>
      <c r="I144" s="25"/>
      <c r="J144" s="25"/>
      <c r="K144" s="25"/>
      <c r="L144" s="25"/>
      <c r="M144" s="25"/>
      <c r="N144" s="25"/>
    </row>
    <row r="145" spans="1:14" s="39" customFormat="1">
      <c r="A145" s="47"/>
      <c r="B145" s="25"/>
      <c r="C145" s="25"/>
      <c r="D145" s="25"/>
      <c r="E145" s="25"/>
      <c r="F145" s="25"/>
      <c r="G145" s="25"/>
      <c r="H145" s="25"/>
      <c r="I145" s="25"/>
      <c r="J145" s="25"/>
      <c r="K145" s="25"/>
      <c r="L145" s="25"/>
      <c r="M145" s="25"/>
      <c r="N145" s="25"/>
    </row>
    <row r="146" spans="1:14" s="39" customFormat="1">
      <c r="A146" s="47"/>
      <c r="B146" s="25"/>
      <c r="C146" s="25"/>
      <c r="D146" s="25"/>
      <c r="E146" s="25"/>
      <c r="F146" s="25"/>
      <c r="G146" s="25"/>
      <c r="H146" s="25"/>
      <c r="I146" s="25"/>
      <c r="J146" s="25"/>
      <c r="K146" s="25"/>
      <c r="L146" s="25"/>
      <c r="M146" s="25"/>
      <c r="N146" s="25"/>
    </row>
    <row r="147" spans="1:14" s="39" customFormat="1">
      <c r="A147" s="47"/>
      <c r="B147" s="25"/>
      <c r="C147" s="25"/>
      <c r="D147" s="25"/>
      <c r="E147" s="25"/>
      <c r="F147" s="25"/>
      <c r="G147" s="25"/>
      <c r="H147" s="25"/>
      <c r="I147" s="25"/>
      <c r="J147" s="25"/>
      <c r="K147" s="25"/>
      <c r="L147" s="25"/>
      <c r="M147" s="25"/>
      <c r="N147" s="25"/>
    </row>
    <row r="148" spans="1:14" s="39" customFormat="1">
      <c r="A148" s="47"/>
      <c r="B148" s="25"/>
      <c r="C148" s="25"/>
      <c r="D148" s="25"/>
      <c r="E148" s="25"/>
      <c r="F148" s="25"/>
      <c r="G148" s="25"/>
      <c r="H148" s="25"/>
      <c r="I148" s="25"/>
      <c r="J148" s="25"/>
      <c r="K148" s="25"/>
      <c r="L148" s="25"/>
      <c r="M148" s="25"/>
      <c r="N148" s="25"/>
    </row>
    <row r="149" spans="1:14" s="39" customFormat="1">
      <c r="A149" s="47"/>
      <c r="B149" s="25"/>
      <c r="C149" s="25"/>
      <c r="D149" s="25"/>
      <c r="E149" s="25"/>
      <c r="F149" s="25"/>
      <c r="G149" s="25"/>
      <c r="H149" s="25"/>
      <c r="I149" s="25"/>
      <c r="J149" s="25"/>
      <c r="K149" s="25"/>
      <c r="L149" s="25"/>
      <c r="M149" s="25"/>
      <c r="N149" s="25"/>
    </row>
    <row r="150" spans="1:14" s="39" customFormat="1">
      <c r="A150" s="47"/>
      <c r="B150" s="25"/>
      <c r="C150" s="25"/>
      <c r="D150" s="25"/>
      <c r="E150" s="25"/>
      <c r="F150" s="25"/>
      <c r="G150" s="25"/>
      <c r="H150" s="25"/>
      <c r="I150" s="25"/>
      <c r="J150" s="25"/>
      <c r="K150" s="25"/>
      <c r="L150" s="25"/>
      <c r="M150" s="25"/>
      <c r="N150" s="25"/>
    </row>
    <row r="151" spans="1:14" s="39" customFormat="1">
      <c r="A151" s="47"/>
      <c r="B151" s="25"/>
      <c r="C151" s="25"/>
      <c r="D151" s="25"/>
      <c r="E151" s="25"/>
      <c r="F151" s="25"/>
      <c r="G151" s="25"/>
      <c r="H151" s="25"/>
      <c r="I151" s="25"/>
      <c r="J151" s="25"/>
      <c r="K151" s="25"/>
      <c r="L151" s="25"/>
      <c r="M151" s="25"/>
      <c r="N151" s="25"/>
    </row>
    <row r="152" spans="1:14" s="39" customFormat="1">
      <c r="A152" s="47"/>
      <c r="B152" s="25"/>
      <c r="C152" s="25"/>
      <c r="D152" s="25"/>
      <c r="E152" s="25"/>
      <c r="F152" s="25"/>
      <c r="G152" s="25"/>
      <c r="H152" s="25"/>
      <c r="I152" s="25"/>
      <c r="J152" s="25"/>
      <c r="K152" s="25"/>
      <c r="L152" s="25"/>
      <c r="M152" s="25"/>
      <c r="N152" s="25"/>
    </row>
    <row r="153" spans="1:14" s="39" customFormat="1">
      <c r="A153" s="47"/>
      <c r="B153" s="25"/>
      <c r="C153" s="25"/>
      <c r="D153" s="25"/>
      <c r="E153" s="25"/>
      <c r="F153" s="25"/>
      <c r="G153" s="25"/>
      <c r="H153" s="25"/>
      <c r="I153" s="25"/>
      <c r="J153" s="25"/>
      <c r="K153" s="25"/>
      <c r="L153" s="25"/>
      <c r="M153" s="25"/>
      <c r="N153" s="25"/>
    </row>
    <row r="154" spans="1:14" s="39" customFormat="1">
      <c r="A154" s="47"/>
      <c r="B154" s="25"/>
      <c r="C154" s="25"/>
      <c r="D154" s="25"/>
      <c r="E154" s="25"/>
      <c r="F154" s="25"/>
      <c r="G154" s="25"/>
      <c r="H154" s="25"/>
      <c r="I154" s="25"/>
      <c r="J154" s="25"/>
      <c r="K154" s="25"/>
      <c r="L154" s="25"/>
      <c r="M154" s="25"/>
      <c r="N154" s="25"/>
    </row>
    <row r="155" spans="1:14" s="39" customFormat="1">
      <c r="A155" s="47"/>
      <c r="B155" s="25"/>
      <c r="C155" s="25"/>
      <c r="D155" s="25"/>
      <c r="E155" s="25"/>
      <c r="F155" s="25"/>
      <c r="G155" s="25"/>
      <c r="H155" s="25"/>
      <c r="I155" s="25"/>
      <c r="J155" s="25"/>
      <c r="K155" s="25"/>
      <c r="L155" s="25"/>
      <c r="M155" s="25"/>
      <c r="N155" s="25"/>
    </row>
    <row r="156" spans="1:14" s="39" customFormat="1">
      <c r="A156" s="47"/>
      <c r="B156" s="25"/>
      <c r="C156" s="25"/>
      <c r="D156" s="25"/>
      <c r="E156" s="25"/>
      <c r="F156" s="25"/>
      <c r="G156" s="25"/>
      <c r="H156" s="25"/>
      <c r="I156" s="25"/>
      <c r="J156" s="25"/>
      <c r="K156" s="25"/>
      <c r="L156" s="25"/>
      <c r="M156" s="25"/>
      <c r="N156" s="25"/>
    </row>
    <row r="157" spans="1:14" s="39" customFormat="1">
      <c r="A157" s="47"/>
      <c r="B157" s="25"/>
      <c r="C157" s="25"/>
      <c r="D157" s="25"/>
      <c r="E157" s="25"/>
      <c r="F157" s="25"/>
      <c r="G157" s="25"/>
      <c r="H157" s="25"/>
      <c r="I157" s="25"/>
      <c r="J157" s="25"/>
      <c r="K157" s="25"/>
      <c r="L157" s="25"/>
      <c r="M157" s="25"/>
      <c r="N157" s="25"/>
    </row>
    <row r="158" spans="1:14" s="39" customFormat="1">
      <c r="A158" s="47"/>
      <c r="B158" s="25"/>
      <c r="C158" s="25"/>
      <c r="D158" s="25"/>
      <c r="E158" s="25"/>
      <c r="F158" s="25"/>
      <c r="G158" s="25"/>
      <c r="H158" s="25"/>
      <c r="I158" s="25"/>
      <c r="J158" s="25"/>
      <c r="K158" s="25"/>
      <c r="L158" s="25"/>
      <c r="M158" s="25"/>
      <c r="N158" s="25"/>
    </row>
    <row r="159" spans="1:14" s="39" customFormat="1">
      <c r="A159" s="47"/>
      <c r="B159" s="25"/>
      <c r="C159" s="25"/>
      <c r="D159" s="25"/>
      <c r="E159" s="25"/>
      <c r="F159" s="25"/>
      <c r="G159" s="25"/>
      <c r="H159" s="25"/>
      <c r="I159" s="25"/>
      <c r="J159" s="25"/>
      <c r="K159" s="25"/>
      <c r="L159" s="25"/>
      <c r="M159" s="25"/>
      <c r="N159" s="25"/>
    </row>
    <row r="160" spans="1:14" s="39" customFormat="1">
      <c r="A160" s="47"/>
      <c r="B160" s="25"/>
      <c r="C160" s="25"/>
      <c r="D160" s="25"/>
      <c r="E160" s="25"/>
      <c r="F160" s="25"/>
      <c r="G160" s="25"/>
      <c r="H160" s="25"/>
      <c r="I160" s="25"/>
      <c r="J160" s="25"/>
      <c r="K160" s="25"/>
      <c r="L160" s="25"/>
      <c r="M160" s="25"/>
      <c r="N160" s="25"/>
    </row>
    <row r="161" spans="1:14" s="39" customFormat="1">
      <c r="A161" s="47"/>
      <c r="B161" s="25"/>
      <c r="C161" s="25"/>
      <c r="D161" s="25"/>
      <c r="E161" s="25"/>
      <c r="F161" s="25"/>
      <c r="G161" s="25"/>
      <c r="H161" s="25"/>
      <c r="I161" s="25"/>
      <c r="J161" s="25"/>
      <c r="K161" s="25"/>
      <c r="L161" s="25"/>
      <c r="M161" s="25"/>
      <c r="N161" s="25"/>
    </row>
    <row r="162" spans="1:14" s="39" customFormat="1">
      <c r="A162" s="47"/>
      <c r="B162" s="25"/>
      <c r="C162" s="25"/>
      <c r="D162" s="25"/>
      <c r="E162" s="25"/>
      <c r="F162" s="25"/>
      <c r="G162" s="25"/>
      <c r="H162" s="25"/>
      <c r="I162" s="25"/>
      <c r="J162" s="25"/>
      <c r="K162" s="25"/>
      <c r="L162" s="25"/>
      <c r="M162" s="25"/>
      <c r="N162" s="25"/>
    </row>
    <row r="163" spans="1:14" s="39" customFormat="1">
      <c r="A163" s="47"/>
      <c r="B163" s="25"/>
      <c r="C163" s="25"/>
      <c r="D163" s="25"/>
      <c r="E163" s="25"/>
      <c r="F163" s="25"/>
      <c r="G163" s="25"/>
      <c r="H163" s="25"/>
      <c r="I163" s="25"/>
      <c r="J163" s="25"/>
      <c r="K163" s="25"/>
      <c r="L163" s="25"/>
      <c r="M163" s="25"/>
      <c r="N163" s="25"/>
    </row>
    <row r="164" spans="1:14" s="39" customFormat="1">
      <c r="A164" s="47"/>
      <c r="B164" s="25"/>
      <c r="C164" s="25"/>
      <c r="D164" s="25"/>
      <c r="E164" s="25"/>
      <c r="F164" s="25"/>
      <c r="G164" s="25"/>
      <c r="H164" s="25"/>
      <c r="I164" s="25"/>
      <c r="J164" s="25"/>
      <c r="K164" s="25"/>
      <c r="L164" s="25"/>
      <c r="M164" s="25"/>
      <c r="N164" s="25"/>
    </row>
    <row r="165" spans="1:14" s="39" customFormat="1">
      <c r="A165" s="47"/>
      <c r="B165" s="25"/>
      <c r="C165" s="25"/>
      <c r="D165" s="25"/>
      <c r="E165" s="25"/>
      <c r="F165" s="25"/>
      <c r="G165" s="25"/>
      <c r="H165" s="25"/>
      <c r="I165" s="25"/>
      <c r="J165" s="25"/>
      <c r="K165" s="25"/>
      <c r="L165" s="25"/>
      <c r="M165" s="25"/>
      <c r="N165" s="25"/>
    </row>
    <row r="166" spans="1:14" s="39" customFormat="1">
      <c r="A166" s="47"/>
      <c r="B166" s="25"/>
      <c r="C166" s="25"/>
      <c r="D166" s="25"/>
      <c r="E166" s="25"/>
      <c r="F166" s="25"/>
      <c r="G166" s="25"/>
      <c r="H166" s="25"/>
      <c r="I166" s="25"/>
      <c r="J166" s="25"/>
      <c r="K166" s="25"/>
      <c r="L166" s="25"/>
      <c r="M166" s="25"/>
      <c r="N166" s="25"/>
    </row>
    <row r="167" spans="1:14" s="39" customFormat="1">
      <c r="A167" s="47"/>
      <c r="B167" s="25"/>
      <c r="C167" s="25"/>
      <c r="D167" s="25"/>
      <c r="E167" s="25"/>
      <c r="F167" s="25"/>
      <c r="G167" s="25"/>
      <c r="H167" s="25"/>
      <c r="I167" s="25"/>
      <c r="J167" s="25"/>
      <c r="K167" s="25"/>
      <c r="L167" s="25"/>
      <c r="M167" s="25"/>
      <c r="N167" s="25"/>
    </row>
    <row r="168" spans="1:14" s="39" customFormat="1">
      <c r="A168" s="47"/>
      <c r="B168" s="25"/>
      <c r="C168" s="25"/>
      <c r="D168" s="25"/>
      <c r="E168" s="25"/>
      <c r="F168" s="25"/>
      <c r="G168" s="25"/>
      <c r="H168" s="25"/>
      <c r="I168" s="25"/>
      <c r="J168" s="25"/>
      <c r="K168" s="25"/>
      <c r="L168" s="25"/>
      <c r="M168" s="25"/>
      <c r="N168" s="25"/>
    </row>
    <row r="169" spans="1:14" s="39" customFormat="1">
      <c r="A169" s="47"/>
      <c r="B169" s="25"/>
      <c r="C169" s="25"/>
      <c r="D169" s="25"/>
      <c r="E169" s="25"/>
      <c r="F169" s="25"/>
      <c r="G169" s="25"/>
      <c r="H169" s="25"/>
      <c r="I169" s="25"/>
      <c r="J169" s="25"/>
      <c r="K169" s="25"/>
      <c r="L169" s="25"/>
      <c r="M169" s="25"/>
      <c r="N169" s="25"/>
    </row>
    <row r="170" spans="1:14" s="39" customFormat="1">
      <c r="A170" s="47"/>
      <c r="B170" s="25"/>
      <c r="C170" s="25"/>
      <c r="D170" s="25"/>
      <c r="E170" s="25"/>
      <c r="F170" s="25"/>
      <c r="G170" s="25"/>
      <c r="H170" s="25"/>
      <c r="I170" s="25"/>
      <c r="J170" s="25"/>
      <c r="K170" s="25"/>
      <c r="L170" s="25"/>
      <c r="M170" s="25"/>
      <c r="N170" s="25"/>
    </row>
    <row r="171" spans="1:14" s="39" customFormat="1">
      <c r="A171" s="47"/>
      <c r="B171" s="25"/>
      <c r="C171" s="25"/>
      <c r="D171" s="25"/>
      <c r="E171" s="25"/>
      <c r="F171" s="25"/>
      <c r="G171" s="25"/>
      <c r="H171" s="25"/>
      <c r="I171" s="25"/>
      <c r="J171" s="25"/>
      <c r="K171" s="25"/>
      <c r="L171" s="25"/>
      <c r="M171" s="25"/>
      <c r="N171" s="25"/>
    </row>
    <row r="172" spans="1:14" s="39" customFormat="1">
      <c r="A172" s="47"/>
      <c r="B172" s="25"/>
      <c r="C172" s="25"/>
      <c r="D172" s="25"/>
      <c r="E172" s="25"/>
      <c r="F172" s="25"/>
      <c r="G172" s="25"/>
      <c r="H172" s="25"/>
      <c r="I172" s="25"/>
      <c r="J172" s="25"/>
      <c r="K172" s="25"/>
      <c r="L172" s="25"/>
      <c r="M172" s="25"/>
      <c r="N172" s="25"/>
    </row>
    <row r="173" spans="1:14" s="39" customFormat="1">
      <c r="A173" s="47"/>
      <c r="B173" s="25"/>
      <c r="C173" s="25"/>
      <c r="D173" s="25"/>
      <c r="E173" s="25"/>
      <c r="F173" s="25"/>
      <c r="G173" s="25"/>
      <c r="H173" s="25"/>
      <c r="I173" s="25"/>
      <c r="J173" s="25"/>
      <c r="K173" s="25"/>
      <c r="L173" s="25"/>
      <c r="M173" s="25"/>
      <c r="N173" s="25"/>
    </row>
    <row r="174" spans="1:14" s="39" customFormat="1">
      <c r="A174" s="47"/>
      <c r="B174" s="25"/>
      <c r="C174" s="25"/>
      <c r="D174" s="25"/>
      <c r="E174" s="25"/>
      <c r="F174" s="25"/>
      <c r="G174" s="25"/>
      <c r="H174" s="25"/>
      <c r="I174" s="25"/>
      <c r="J174" s="25"/>
      <c r="K174" s="25"/>
      <c r="L174" s="25"/>
      <c r="M174" s="25"/>
      <c r="N174" s="25"/>
    </row>
    <row r="175" spans="1:14" s="39" customFormat="1">
      <c r="A175" s="47"/>
      <c r="B175" s="25"/>
      <c r="C175" s="25"/>
      <c r="D175" s="25"/>
      <c r="E175" s="25"/>
      <c r="F175" s="25"/>
      <c r="G175" s="25"/>
      <c r="H175" s="25"/>
      <c r="I175" s="25"/>
      <c r="J175" s="25"/>
      <c r="K175" s="25"/>
      <c r="L175" s="25"/>
      <c r="M175" s="25"/>
      <c r="N175" s="25"/>
    </row>
    <row r="176" spans="1:14" s="39" customFormat="1">
      <c r="A176" s="47"/>
      <c r="B176" s="25"/>
      <c r="C176" s="25"/>
      <c r="D176" s="25"/>
      <c r="E176" s="25"/>
      <c r="F176" s="25"/>
      <c r="G176" s="25"/>
      <c r="H176" s="25"/>
      <c r="I176" s="25"/>
      <c r="J176" s="25"/>
      <c r="K176" s="25"/>
      <c r="L176" s="25"/>
      <c r="M176" s="25"/>
      <c r="N176" s="25"/>
    </row>
    <row r="177" spans="1:14" s="39" customFormat="1">
      <c r="A177" s="47"/>
      <c r="B177" s="25"/>
      <c r="C177" s="25"/>
      <c r="D177" s="25"/>
      <c r="E177" s="25"/>
      <c r="F177" s="25"/>
      <c r="G177" s="25"/>
      <c r="H177" s="25"/>
      <c r="I177" s="25"/>
      <c r="J177" s="25"/>
      <c r="K177" s="25"/>
      <c r="L177" s="25"/>
      <c r="M177" s="25"/>
      <c r="N177" s="25"/>
    </row>
    <row r="178" spans="1:14" s="39" customFormat="1">
      <c r="A178" s="47"/>
      <c r="B178" s="25"/>
      <c r="C178" s="25"/>
      <c r="D178" s="25"/>
      <c r="E178" s="25"/>
      <c r="F178" s="25"/>
      <c r="G178" s="25"/>
      <c r="H178" s="25"/>
      <c r="I178" s="25"/>
      <c r="J178" s="25"/>
      <c r="K178" s="25"/>
      <c r="L178" s="25"/>
      <c r="M178" s="25"/>
      <c r="N178" s="25"/>
    </row>
    <row r="179" spans="1:14" s="39" customFormat="1">
      <c r="A179" s="47"/>
      <c r="B179" s="25"/>
      <c r="C179" s="25"/>
      <c r="D179" s="25"/>
      <c r="E179" s="25"/>
      <c r="F179" s="25"/>
      <c r="G179" s="25"/>
      <c r="H179" s="25"/>
      <c r="I179" s="25"/>
      <c r="J179" s="25"/>
      <c r="K179" s="25"/>
      <c r="L179" s="25"/>
      <c r="M179" s="25"/>
      <c r="N179" s="25"/>
    </row>
    <row r="180" spans="1:14" s="39" customFormat="1">
      <c r="A180" s="47"/>
      <c r="B180" s="25"/>
      <c r="C180" s="25"/>
      <c r="D180" s="25"/>
      <c r="E180" s="25"/>
      <c r="F180" s="25"/>
      <c r="G180" s="25"/>
      <c r="H180" s="25"/>
      <c r="I180" s="25"/>
      <c r="J180" s="25"/>
      <c r="K180" s="25"/>
      <c r="L180" s="25"/>
      <c r="M180" s="25"/>
      <c r="N180" s="25"/>
    </row>
    <row r="181" spans="1:14" s="39" customFormat="1">
      <c r="A181" s="47"/>
      <c r="B181" s="25"/>
      <c r="C181" s="25"/>
      <c r="D181" s="25"/>
      <c r="E181" s="25"/>
      <c r="F181" s="25"/>
      <c r="G181" s="25"/>
      <c r="H181" s="25"/>
      <c r="I181" s="25"/>
      <c r="J181" s="25"/>
      <c r="K181" s="25"/>
      <c r="L181" s="25"/>
      <c r="M181" s="25"/>
      <c r="N181" s="25"/>
    </row>
    <row r="182" spans="1:14" s="39" customFormat="1">
      <c r="A182" s="47"/>
      <c r="B182" s="25"/>
      <c r="C182" s="25"/>
      <c r="D182" s="25"/>
      <c r="E182" s="25"/>
      <c r="F182" s="25"/>
      <c r="G182" s="25"/>
      <c r="H182" s="25"/>
      <c r="I182" s="25"/>
      <c r="J182" s="25"/>
      <c r="K182" s="25"/>
      <c r="L182" s="25"/>
      <c r="M182" s="25"/>
      <c r="N182" s="25"/>
    </row>
    <row r="183" spans="1:14" s="39" customFormat="1">
      <c r="A183" s="47"/>
      <c r="B183" s="25"/>
      <c r="C183" s="25"/>
      <c r="D183" s="25"/>
      <c r="E183" s="25"/>
      <c r="F183" s="25"/>
      <c r="G183" s="25"/>
      <c r="H183" s="25"/>
      <c r="I183" s="25"/>
      <c r="J183" s="25"/>
      <c r="K183" s="25"/>
      <c r="L183" s="25"/>
      <c r="M183" s="25"/>
      <c r="N183" s="25"/>
    </row>
    <row r="184" spans="1:14" s="39" customFormat="1">
      <c r="A184" s="47"/>
      <c r="B184" s="25"/>
      <c r="C184" s="25"/>
      <c r="D184" s="25"/>
      <c r="E184" s="25"/>
      <c r="F184" s="25"/>
      <c r="G184" s="25"/>
      <c r="H184" s="25"/>
      <c r="I184" s="25"/>
      <c r="J184" s="25"/>
      <c r="K184" s="25"/>
      <c r="L184" s="25"/>
      <c r="M184" s="25"/>
      <c r="N184" s="25"/>
    </row>
    <row r="185" spans="1:14" s="39" customFormat="1">
      <c r="A185" s="47"/>
      <c r="B185" s="25"/>
      <c r="C185" s="25"/>
      <c r="D185" s="25"/>
      <c r="E185" s="25"/>
      <c r="F185" s="25"/>
      <c r="G185" s="25"/>
      <c r="H185" s="25"/>
      <c r="I185" s="25"/>
      <c r="J185" s="25"/>
      <c r="K185" s="25"/>
      <c r="L185" s="25"/>
      <c r="M185" s="25"/>
      <c r="N185" s="25"/>
    </row>
    <row r="186" spans="1:14" s="39" customFormat="1">
      <c r="A186" s="47"/>
      <c r="B186" s="25"/>
      <c r="C186" s="25"/>
      <c r="D186" s="25"/>
      <c r="E186" s="25"/>
      <c r="F186" s="25"/>
      <c r="G186" s="25"/>
      <c r="H186" s="25"/>
      <c r="I186" s="25"/>
      <c r="J186" s="25"/>
      <c r="K186" s="25"/>
      <c r="L186" s="25"/>
      <c r="M186" s="25"/>
      <c r="N186" s="25"/>
    </row>
    <row r="187" spans="1:14" s="39" customFormat="1">
      <c r="A187" s="47"/>
      <c r="B187" s="25"/>
      <c r="C187" s="25"/>
      <c r="D187" s="25"/>
      <c r="E187" s="25"/>
      <c r="F187" s="25"/>
      <c r="G187" s="25"/>
      <c r="H187" s="25"/>
      <c r="I187" s="25"/>
      <c r="J187" s="25"/>
      <c r="K187" s="25"/>
      <c r="L187" s="25"/>
      <c r="M187" s="25"/>
      <c r="N187" s="25"/>
    </row>
    <row r="188" spans="1:14" s="39" customFormat="1">
      <c r="A188" s="47"/>
      <c r="B188" s="25"/>
      <c r="C188" s="25"/>
      <c r="D188" s="25"/>
      <c r="E188" s="25"/>
      <c r="F188" s="25"/>
      <c r="G188" s="25"/>
      <c r="H188" s="25"/>
      <c r="I188" s="25"/>
      <c r="J188" s="25"/>
      <c r="K188" s="25"/>
      <c r="L188" s="25"/>
      <c r="M188" s="25"/>
      <c r="N188" s="25"/>
    </row>
    <row r="189" spans="1:14" s="39" customFormat="1">
      <c r="A189" s="47"/>
      <c r="B189" s="25"/>
      <c r="C189" s="25"/>
      <c r="D189" s="25"/>
      <c r="E189" s="25"/>
      <c r="F189" s="25"/>
      <c r="G189" s="25"/>
      <c r="H189" s="25"/>
      <c r="I189" s="25"/>
      <c r="J189" s="25"/>
      <c r="K189" s="25"/>
      <c r="L189" s="25"/>
      <c r="M189" s="25"/>
      <c r="N189" s="25"/>
    </row>
    <row r="190" spans="1:14" s="39" customFormat="1">
      <c r="A190" s="47"/>
      <c r="B190" s="25"/>
      <c r="C190" s="25"/>
      <c r="D190" s="25"/>
      <c r="E190" s="25"/>
      <c r="F190" s="25"/>
      <c r="G190" s="25"/>
      <c r="H190" s="25"/>
      <c r="I190" s="25"/>
      <c r="J190" s="25"/>
      <c r="K190" s="25"/>
      <c r="L190" s="25"/>
      <c r="M190" s="25"/>
      <c r="N190" s="25"/>
    </row>
    <row r="191" spans="1:14" s="39" customFormat="1">
      <c r="A191" s="47"/>
      <c r="B191" s="25"/>
      <c r="C191" s="25"/>
      <c r="D191" s="25"/>
      <c r="E191" s="25"/>
      <c r="F191" s="25"/>
      <c r="G191" s="25"/>
      <c r="H191" s="25"/>
      <c r="I191" s="25"/>
      <c r="J191" s="25"/>
      <c r="K191" s="25"/>
      <c r="L191" s="25"/>
      <c r="M191" s="25"/>
      <c r="N191" s="25"/>
    </row>
    <row r="192" spans="1:14" s="39" customFormat="1">
      <c r="A192" s="47"/>
      <c r="B192" s="25"/>
      <c r="C192" s="25"/>
      <c r="D192" s="25"/>
      <c r="E192" s="25"/>
      <c r="F192" s="25"/>
      <c r="G192" s="25"/>
      <c r="H192" s="25"/>
      <c r="I192" s="25"/>
      <c r="J192" s="25"/>
      <c r="K192" s="25"/>
      <c r="L192" s="25"/>
      <c r="M192" s="25"/>
      <c r="N192" s="25"/>
    </row>
    <row r="193" spans="1:14" s="39" customFormat="1">
      <c r="A193" s="47"/>
      <c r="B193" s="25"/>
      <c r="C193" s="25"/>
      <c r="D193" s="25"/>
      <c r="E193" s="25"/>
      <c r="F193" s="25"/>
      <c r="G193" s="25"/>
      <c r="H193" s="25"/>
      <c r="I193" s="25"/>
      <c r="J193" s="25"/>
      <c r="K193" s="25"/>
      <c r="L193" s="25"/>
      <c r="M193" s="25"/>
      <c r="N193" s="25"/>
    </row>
    <row r="194" spans="1:14" s="39" customFormat="1">
      <c r="A194" s="47"/>
      <c r="B194" s="25"/>
      <c r="C194" s="25"/>
      <c r="D194" s="25"/>
      <c r="E194" s="25"/>
      <c r="F194" s="25"/>
      <c r="G194" s="25"/>
      <c r="H194" s="25"/>
      <c r="I194" s="25"/>
      <c r="J194" s="25"/>
      <c r="K194" s="25"/>
      <c r="L194" s="25"/>
      <c r="M194" s="25"/>
      <c r="N194" s="25"/>
    </row>
    <row r="195" spans="1:14" s="39" customFormat="1">
      <c r="A195" s="47"/>
      <c r="B195" s="25"/>
      <c r="C195" s="25"/>
      <c r="D195" s="25"/>
      <c r="E195" s="25"/>
      <c r="F195" s="25"/>
      <c r="G195" s="25"/>
      <c r="H195" s="25"/>
      <c r="I195" s="25"/>
      <c r="J195" s="25"/>
      <c r="K195" s="25"/>
      <c r="L195" s="25"/>
      <c r="M195" s="25"/>
      <c r="N195" s="25"/>
    </row>
    <row r="196" spans="1:14" s="39" customFormat="1">
      <c r="A196" s="47"/>
      <c r="B196" s="25"/>
      <c r="C196" s="25"/>
      <c r="D196" s="25"/>
      <c r="E196" s="25"/>
      <c r="F196" s="25"/>
      <c r="G196" s="25"/>
      <c r="H196" s="25"/>
      <c r="I196" s="25"/>
      <c r="J196" s="25"/>
      <c r="K196" s="25"/>
      <c r="L196" s="25"/>
      <c r="M196" s="25"/>
      <c r="N196" s="25"/>
    </row>
    <row r="197" spans="1:14" s="39" customFormat="1">
      <c r="A197" s="47"/>
      <c r="B197" s="25"/>
      <c r="C197" s="25"/>
      <c r="D197" s="25"/>
      <c r="E197" s="25"/>
      <c r="F197" s="25"/>
      <c r="G197" s="25"/>
      <c r="H197" s="25"/>
      <c r="I197" s="25"/>
      <c r="J197" s="25"/>
      <c r="K197" s="25"/>
      <c r="L197" s="25"/>
      <c r="M197" s="25"/>
      <c r="N197" s="25"/>
    </row>
    <row r="198" spans="1:14" s="39" customFormat="1">
      <c r="A198" s="47"/>
      <c r="B198" s="25"/>
      <c r="C198" s="25"/>
      <c r="D198" s="25"/>
      <c r="E198" s="25"/>
      <c r="F198" s="25"/>
      <c r="G198" s="25"/>
      <c r="H198" s="25"/>
      <c r="I198" s="25"/>
      <c r="J198" s="25"/>
      <c r="K198" s="25"/>
      <c r="L198" s="25"/>
      <c r="M198" s="25"/>
      <c r="N198" s="25"/>
    </row>
    <row r="199" spans="1:14" s="39" customFormat="1">
      <c r="A199" s="47"/>
      <c r="B199" s="25"/>
      <c r="C199" s="25"/>
      <c r="D199" s="25"/>
      <c r="E199" s="25"/>
      <c r="F199" s="25"/>
      <c r="G199" s="25"/>
      <c r="H199" s="25"/>
      <c r="I199" s="25"/>
      <c r="J199" s="25"/>
      <c r="K199" s="25"/>
      <c r="L199" s="25"/>
      <c r="M199" s="25"/>
      <c r="N199" s="25"/>
    </row>
    <row r="200" spans="1:14" s="39" customFormat="1">
      <c r="A200" s="47"/>
      <c r="B200" s="25"/>
      <c r="C200" s="25"/>
      <c r="D200" s="25"/>
      <c r="E200" s="25"/>
      <c r="F200" s="25"/>
      <c r="G200" s="25"/>
      <c r="H200" s="25"/>
      <c r="I200" s="25"/>
      <c r="J200" s="25"/>
      <c r="K200" s="25"/>
      <c r="L200" s="25"/>
      <c r="M200" s="25"/>
      <c r="N200" s="25"/>
    </row>
    <row r="201" spans="1:14" s="39" customFormat="1">
      <c r="A201" s="47"/>
      <c r="B201" s="25"/>
      <c r="C201" s="25"/>
      <c r="D201" s="25"/>
      <c r="E201" s="25"/>
      <c r="F201" s="25"/>
      <c r="G201" s="25"/>
      <c r="H201" s="25"/>
      <c r="I201" s="25"/>
      <c r="J201" s="25"/>
      <c r="K201" s="25"/>
      <c r="L201" s="25"/>
      <c r="M201" s="25"/>
      <c r="N201" s="25"/>
    </row>
    <row r="202" spans="1:14" s="39" customFormat="1">
      <c r="A202" s="47"/>
      <c r="B202" s="25"/>
      <c r="C202" s="25"/>
      <c r="D202" s="25"/>
      <c r="E202" s="25"/>
      <c r="F202" s="25"/>
      <c r="G202" s="25"/>
      <c r="H202" s="25"/>
      <c r="I202" s="25"/>
      <c r="J202" s="25"/>
      <c r="K202" s="25"/>
      <c r="L202" s="25"/>
      <c r="M202" s="25"/>
      <c r="N202" s="25"/>
    </row>
    <row r="203" spans="1:14" s="39" customFormat="1">
      <c r="A203" s="47"/>
      <c r="B203" s="25"/>
      <c r="C203" s="25"/>
      <c r="D203" s="25"/>
      <c r="E203" s="25"/>
      <c r="F203" s="25"/>
      <c r="G203" s="25"/>
      <c r="H203" s="25"/>
      <c r="I203" s="25"/>
      <c r="J203" s="25"/>
      <c r="K203" s="25"/>
      <c r="L203" s="25"/>
      <c r="M203" s="25"/>
      <c r="N203" s="25"/>
    </row>
    <row r="204" spans="1:14" s="39" customFormat="1">
      <c r="A204" s="47"/>
      <c r="B204" s="25"/>
      <c r="C204" s="25"/>
      <c r="D204" s="25"/>
      <c r="E204" s="25"/>
      <c r="F204" s="25"/>
      <c r="G204" s="25"/>
      <c r="H204" s="25"/>
      <c r="I204" s="25"/>
      <c r="J204" s="25"/>
      <c r="K204" s="25"/>
      <c r="L204" s="25"/>
      <c r="M204" s="25"/>
      <c r="N204" s="25"/>
    </row>
    <row r="205" spans="1:14" s="39" customFormat="1">
      <c r="A205" s="47"/>
      <c r="B205" s="25"/>
      <c r="C205" s="25"/>
      <c r="D205" s="25"/>
      <c r="E205" s="25"/>
      <c r="F205" s="25"/>
      <c r="G205" s="25"/>
      <c r="H205" s="25"/>
      <c r="I205" s="25"/>
      <c r="J205" s="25"/>
      <c r="K205" s="25"/>
      <c r="L205" s="25"/>
      <c r="M205" s="25"/>
      <c r="N205" s="25"/>
    </row>
    <row r="206" spans="1:14" s="39" customFormat="1">
      <c r="A206" s="47"/>
      <c r="B206" s="25"/>
      <c r="C206" s="25"/>
      <c r="D206" s="25"/>
      <c r="E206" s="25"/>
      <c r="F206" s="25"/>
      <c r="G206" s="25"/>
      <c r="H206" s="25"/>
      <c r="I206" s="25"/>
      <c r="J206" s="25"/>
      <c r="K206" s="25"/>
      <c r="L206" s="25"/>
      <c r="M206" s="25"/>
      <c r="N206" s="25"/>
    </row>
    <row r="207" spans="1:14" s="39" customFormat="1">
      <c r="A207" s="47"/>
      <c r="B207" s="25"/>
      <c r="C207" s="25"/>
      <c r="D207" s="25"/>
      <c r="E207" s="25"/>
      <c r="F207" s="25"/>
      <c r="G207" s="25"/>
      <c r="H207" s="25"/>
      <c r="I207" s="25"/>
      <c r="J207" s="25"/>
      <c r="K207" s="25"/>
      <c r="L207" s="25"/>
      <c r="M207" s="25"/>
      <c r="N207" s="25"/>
    </row>
    <row r="208" spans="1:14" s="39" customFormat="1">
      <c r="A208" s="47"/>
      <c r="B208" s="25"/>
      <c r="C208" s="25"/>
      <c r="D208" s="25"/>
      <c r="E208" s="25"/>
      <c r="F208" s="25"/>
      <c r="G208" s="25"/>
      <c r="H208" s="25"/>
      <c r="I208" s="25"/>
      <c r="J208" s="25"/>
      <c r="K208" s="25"/>
      <c r="L208" s="25"/>
      <c r="M208" s="25"/>
      <c r="N208" s="25"/>
    </row>
    <row r="209" spans="1:14" s="39" customFormat="1">
      <c r="A209" s="47"/>
      <c r="B209" s="25"/>
      <c r="C209" s="25"/>
      <c r="D209" s="25"/>
      <c r="E209" s="25"/>
      <c r="F209" s="25"/>
      <c r="G209" s="25"/>
      <c r="H209" s="25"/>
      <c r="I209" s="25"/>
      <c r="J209" s="25"/>
      <c r="K209" s="25"/>
      <c r="L209" s="25"/>
      <c r="M209" s="25"/>
      <c r="N209" s="25"/>
    </row>
    <row r="210" spans="1:14" s="39" customFormat="1">
      <c r="A210" s="47"/>
      <c r="B210" s="25"/>
      <c r="C210" s="25"/>
      <c r="D210" s="25"/>
      <c r="E210" s="25"/>
      <c r="F210" s="25"/>
      <c r="G210" s="25"/>
      <c r="H210" s="25"/>
      <c r="I210" s="25"/>
      <c r="J210" s="25"/>
      <c r="K210" s="25"/>
      <c r="L210" s="25"/>
      <c r="M210" s="25"/>
      <c r="N210" s="25"/>
    </row>
    <row r="211" spans="1:14" s="39" customFormat="1">
      <c r="A211" s="47"/>
      <c r="B211" s="25"/>
      <c r="C211" s="25"/>
      <c r="D211" s="25"/>
      <c r="E211" s="25"/>
      <c r="F211" s="25"/>
      <c r="G211" s="25"/>
      <c r="H211" s="25"/>
      <c r="I211" s="25"/>
      <c r="J211" s="25"/>
      <c r="K211" s="25"/>
      <c r="L211" s="25"/>
      <c r="M211" s="25"/>
      <c r="N211" s="25"/>
    </row>
    <row r="212" spans="1:14" s="39" customFormat="1">
      <c r="A212" s="47"/>
      <c r="B212" s="25"/>
      <c r="C212" s="25"/>
      <c r="D212" s="25"/>
      <c r="E212" s="25"/>
      <c r="F212" s="25"/>
      <c r="G212" s="25"/>
      <c r="H212" s="25"/>
      <c r="I212" s="25"/>
      <c r="J212" s="25"/>
      <c r="K212" s="25"/>
      <c r="L212" s="25"/>
      <c r="M212" s="25"/>
      <c r="N212" s="25"/>
    </row>
    <row r="213" spans="1:14" s="39" customFormat="1">
      <c r="A213" s="47"/>
      <c r="B213" s="25"/>
      <c r="C213" s="25"/>
      <c r="D213" s="25"/>
      <c r="E213" s="25"/>
      <c r="F213" s="25"/>
      <c r="G213" s="25"/>
      <c r="H213" s="25"/>
      <c r="I213" s="25"/>
      <c r="J213" s="25"/>
      <c r="K213" s="25"/>
      <c r="L213" s="25"/>
      <c r="M213" s="25"/>
      <c r="N213" s="25"/>
    </row>
    <row r="214" spans="1:14" s="39" customFormat="1">
      <c r="A214" s="47"/>
      <c r="B214" s="25"/>
      <c r="C214" s="25"/>
      <c r="D214" s="25"/>
      <c r="E214" s="25"/>
      <c r="F214" s="25"/>
      <c r="G214" s="25"/>
      <c r="H214" s="25"/>
      <c r="I214" s="25"/>
      <c r="J214" s="25"/>
      <c r="K214" s="25"/>
      <c r="L214" s="25"/>
      <c r="M214" s="25"/>
      <c r="N214" s="25"/>
    </row>
    <row r="215" spans="1:14" s="39" customFormat="1">
      <c r="A215" s="47"/>
      <c r="B215" s="25"/>
      <c r="C215" s="25"/>
      <c r="D215" s="25"/>
      <c r="E215" s="25"/>
      <c r="F215" s="25"/>
      <c r="G215" s="25"/>
      <c r="H215" s="25"/>
      <c r="I215" s="25"/>
      <c r="J215" s="25"/>
      <c r="K215" s="25"/>
      <c r="L215" s="25"/>
      <c r="M215" s="25"/>
      <c r="N215" s="25"/>
    </row>
    <row r="216" spans="1:14" s="39" customFormat="1">
      <c r="A216" s="47"/>
      <c r="B216" s="25"/>
      <c r="C216" s="25"/>
      <c r="D216" s="25"/>
      <c r="E216" s="25"/>
      <c r="F216" s="25"/>
      <c r="G216" s="25"/>
      <c r="H216" s="25"/>
      <c r="I216" s="25"/>
      <c r="J216" s="25"/>
      <c r="K216" s="25"/>
      <c r="L216" s="25"/>
      <c r="M216" s="25"/>
      <c r="N216" s="25"/>
    </row>
    <row r="217" spans="1:14" s="39" customFormat="1">
      <c r="A217" s="47"/>
      <c r="B217" s="25"/>
      <c r="C217" s="25"/>
      <c r="D217" s="25"/>
      <c r="E217" s="25"/>
      <c r="F217" s="25"/>
      <c r="G217" s="25"/>
      <c r="H217" s="25"/>
      <c r="I217" s="25"/>
      <c r="J217" s="25"/>
      <c r="K217" s="25"/>
      <c r="L217" s="25"/>
      <c r="M217" s="25"/>
      <c r="N217" s="25"/>
    </row>
    <row r="218" spans="1:14" s="39" customFormat="1">
      <c r="A218" s="47"/>
      <c r="B218" s="25"/>
      <c r="C218" s="25"/>
      <c r="D218" s="25"/>
      <c r="E218" s="25"/>
      <c r="F218" s="25"/>
      <c r="G218" s="25"/>
      <c r="H218" s="25"/>
      <c r="I218" s="25"/>
      <c r="J218" s="25"/>
      <c r="K218" s="25"/>
      <c r="L218" s="25"/>
      <c r="M218" s="25"/>
      <c r="N218" s="25"/>
    </row>
    <row r="219" spans="1:14" s="39" customFormat="1">
      <c r="A219" s="47"/>
      <c r="B219" s="25"/>
      <c r="C219" s="25"/>
      <c r="D219" s="25"/>
      <c r="E219" s="25"/>
      <c r="F219" s="25"/>
      <c r="G219" s="25"/>
      <c r="H219" s="25"/>
      <c r="I219" s="25"/>
      <c r="J219" s="25"/>
      <c r="K219" s="25"/>
      <c r="L219" s="25"/>
      <c r="M219" s="25"/>
      <c r="N219" s="25"/>
    </row>
    <row r="220" spans="1:14" s="39" customFormat="1">
      <c r="A220" s="47"/>
      <c r="B220" s="25"/>
      <c r="C220" s="25"/>
      <c r="D220" s="25"/>
      <c r="E220" s="25"/>
      <c r="F220" s="25"/>
      <c r="G220" s="25"/>
      <c r="H220" s="25"/>
      <c r="I220" s="25"/>
      <c r="J220" s="25"/>
      <c r="K220" s="25"/>
      <c r="L220" s="25"/>
      <c r="M220" s="25"/>
      <c r="N220" s="25"/>
    </row>
    <row r="221" spans="1:14" s="39" customFormat="1">
      <c r="A221" s="47"/>
      <c r="B221" s="25"/>
      <c r="C221" s="25"/>
      <c r="D221" s="25"/>
      <c r="E221" s="25"/>
      <c r="F221" s="25"/>
      <c r="G221" s="25"/>
      <c r="H221" s="25"/>
      <c r="I221" s="25"/>
      <c r="J221" s="25"/>
      <c r="K221" s="25"/>
      <c r="L221" s="25"/>
      <c r="M221" s="25"/>
      <c r="N221" s="25"/>
    </row>
    <row r="222" spans="1:14" s="39" customFormat="1">
      <c r="A222" s="47"/>
      <c r="B222" s="25"/>
      <c r="C222" s="25"/>
      <c r="D222" s="25"/>
      <c r="E222" s="25"/>
      <c r="F222" s="25"/>
      <c r="G222" s="25"/>
      <c r="H222" s="25"/>
      <c r="I222" s="25"/>
      <c r="J222" s="25"/>
      <c r="K222" s="25"/>
      <c r="L222" s="25"/>
      <c r="M222" s="25"/>
      <c r="N222" s="25"/>
    </row>
    <row r="223" spans="1:14" s="39" customFormat="1">
      <c r="A223" s="47"/>
      <c r="B223" s="25"/>
      <c r="C223" s="25"/>
      <c r="D223" s="25"/>
      <c r="E223" s="25"/>
      <c r="F223" s="25"/>
      <c r="G223" s="25"/>
      <c r="H223" s="25"/>
      <c r="I223" s="25"/>
      <c r="J223" s="25"/>
      <c r="K223" s="25"/>
      <c r="L223" s="25"/>
      <c r="M223" s="25"/>
      <c r="N223" s="25"/>
    </row>
    <row r="224" spans="1:14" s="39" customFormat="1">
      <c r="A224" s="47"/>
      <c r="B224" s="25"/>
      <c r="C224" s="25"/>
      <c r="D224" s="25"/>
      <c r="E224" s="25"/>
      <c r="F224" s="25"/>
      <c r="G224" s="25"/>
      <c r="H224" s="25"/>
      <c r="I224" s="25"/>
      <c r="J224" s="25"/>
      <c r="K224" s="25"/>
      <c r="L224" s="25"/>
      <c r="M224" s="25"/>
      <c r="N224" s="25"/>
    </row>
    <row r="225" spans="1:14" s="39" customFormat="1">
      <c r="A225" s="47"/>
      <c r="B225" s="25"/>
      <c r="C225" s="25"/>
      <c r="D225" s="25"/>
      <c r="E225" s="25"/>
      <c r="F225" s="25"/>
      <c r="G225" s="25"/>
      <c r="H225" s="25"/>
      <c r="I225" s="25"/>
      <c r="J225" s="25"/>
      <c r="K225" s="25"/>
      <c r="L225" s="25"/>
      <c r="M225" s="25"/>
      <c r="N225" s="25"/>
    </row>
    <row r="226" spans="1:14" s="39" customFormat="1">
      <c r="A226" s="47"/>
      <c r="B226" s="25"/>
      <c r="C226" s="25"/>
      <c r="D226" s="25"/>
      <c r="E226" s="25"/>
      <c r="F226" s="25"/>
      <c r="G226" s="25"/>
      <c r="H226" s="25"/>
      <c r="I226" s="25"/>
      <c r="J226" s="25"/>
      <c r="K226" s="25"/>
      <c r="L226" s="25"/>
      <c r="M226" s="25"/>
      <c r="N226" s="25"/>
    </row>
    <row r="227" spans="1:14" s="39" customFormat="1">
      <c r="A227" s="47"/>
      <c r="B227" s="25"/>
      <c r="C227" s="25"/>
      <c r="D227" s="25"/>
      <c r="E227" s="25"/>
      <c r="F227" s="25"/>
      <c r="G227" s="25"/>
      <c r="H227" s="25"/>
      <c r="I227" s="25"/>
      <c r="J227" s="25"/>
      <c r="K227" s="25"/>
      <c r="L227" s="25"/>
      <c r="M227" s="25"/>
      <c r="N227" s="25"/>
    </row>
    <row r="228" spans="1:14" s="39" customFormat="1">
      <c r="A228" s="47"/>
      <c r="B228" s="25"/>
      <c r="C228" s="25"/>
      <c r="D228" s="25"/>
      <c r="E228" s="25"/>
      <c r="F228" s="25"/>
      <c r="G228" s="25"/>
      <c r="H228" s="25"/>
      <c r="I228" s="25"/>
      <c r="J228" s="25"/>
      <c r="K228" s="25"/>
      <c r="L228" s="25"/>
      <c r="M228" s="25"/>
      <c r="N228" s="25"/>
    </row>
    <row r="229" spans="1:14" s="39" customFormat="1">
      <c r="A229" s="47"/>
      <c r="B229" s="25"/>
      <c r="C229" s="25"/>
      <c r="D229" s="25"/>
      <c r="E229" s="25"/>
      <c r="F229" s="25"/>
      <c r="G229" s="25"/>
      <c r="H229" s="25"/>
      <c r="I229" s="25"/>
      <c r="J229" s="25"/>
      <c r="K229" s="25"/>
      <c r="L229" s="25"/>
      <c r="M229" s="25"/>
      <c r="N229" s="25"/>
    </row>
    <row r="230" spans="1:14" s="39" customFormat="1">
      <c r="A230" s="47"/>
      <c r="B230" s="25"/>
      <c r="C230" s="25"/>
      <c r="D230" s="25"/>
      <c r="E230" s="25"/>
      <c r="F230" s="25"/>
      <c r="G230" s="25"/>
      <c r="H230" s="25"/>
      <c r="I230" s="25"/>
      <c r="J230" s="25"/>
      <c r="K230" s="25"/>
      <c r="L230" s="25"/>
      <c r="M230" s="25"/>
      <c r="N230" s="25"/>
    </row>
    <row r="231" spans="1:14" s="39" customFormat="1">
      <c r="A231" s="47"/>
      <c r="B231" s="25"/>
      <c r="C231" s="25"/>
      <c r="D231" s="25"/>
      <c r="E231" s="25"/>
      <c r="F231" s="25"/>
      <c r="G231" s="25"/>
      <c r="H231" s="25"/>
      <c r="I231" s="25"/>
      <c r="J231" s="25"/>
      <c r="K231" s="25"/>
      <c r="L231" s="25"/>
      <c r="M231" s="25"/>
      <c r="N231" s="25"/>
    </row>
    <row r="232" spans="1:14" s="39" customFormat="1">
      <c r="A232" s="47"/>
      <c r="B232" s="25"/>
      <c r="C232" s="25"/>
      <c r="D232" s="25"/>
      <c r="E232" s="25"/>
      <c r="F232" s="25"/>
      <c r="G232" s="25"/>
      <c r="H232" s="25"/>
      <c r="I232" s="25"/>
      <c r="J232" s="25"/>
      <c r="K232" s="25"/>
      <c r="L232" s="25"/>
      <c r="M232" s="25"/>
      <c r="N232" s="25"/>
    </row>
    <row r="233" spans="1:14" s="39" customFormat="1">
      <c r="A233" s="47"/>
      <c r="B233" s="25"/>
      <c r="C233" s="25"/>
      <c r="D233" s="25"/>
      <c r="E233" s="25"/>
      <c r="F233" s="25"/>
      <c r="G233" s="25"/>
      <c r="H233" s="25"/>
      <c r="I233" s="25"/>
      <c r="J233" s="25"/>
      <c r="K233" s="25"/>
      <c r="L233" s="25"/>
      <c r="M233" s="25"/>
      <c r="N233" s="25"/>
    </row>
    <row r="234" spans="1:14" s="39" customFormat="1">
      <c r="A234" s="47"/>
      <c r="B234" s="25"/>
      <c r="C234" s="25"/>
      <c r="D234" s="25"/>
      <c r="E234" s="25"/>
      <c r="F234" s="25"/>
      <c r="G234" s="25"/>
      <c r="H234" s="25"/>
      <c r="I234" s="25"/>
      <c r="J234" s="25"/>
      <c r="K234" s="25"/>
      <c r="L234" s="25"/>
      <c r="M234" s="25"/>
      <c r="N234" s="25"/>
    </row>
    <row r="235" spans="1:14" s="39" customFormat="1">
      <c r="A235" s="47"/>
      <c r="B235" s="25"/>
      <c r="C235" s="25"/>
      <c r="D235" s="25"/>
      <c r="E235" s="25"/>
      <c r="F235" s="25"/>
      <c r="G235" s="25"/>
      <c r="H235" s="25"/>
      <c r="I235" s="25"/>
      <c r="J235" s="25"/>
      <c r="K235" s="25"/>
      <c r="L235" s="25"/>
      <c r="M235" s="25"/>
      <c r="N235" s="25"/>
    </row>
    <row r="236" spans="1:14" s="39" customFormat="1">
      <c r="A236" s="47"/>
      <c r="B236" s="25"/>
      <c r="C236" s="25"/>
      <c r="D236" s="25"/>
      <c r="E236" s="25"/>
      <c r="F236" s="25"/>
      <c r="G236" s="25"/>
      <c r="H236" s="25"/>
      <c r="I236" s="25"/>
      <c r="J236" s="25"/>
      <c r="K236" s="25"/>
      <c r="L236" s="25"/>
      <c r="M236" s="25"/>
      <c r="N236" s="25"/>
    </row>
    <row r="237" spans="1:14" s="39" customFormat="1">
      <c r="A237" s="47"/>
      <c r="B237" s="25"/>
      <c r="C237" s="25"/>
      <c r="D237" s="25"/>
      <c r="E237" s="25"/>
      <c r="F237" s="25"/>
      <c r="G237" s="25"/>
      <c r="H237" s="25"/>
      <c r="I237" s="25"/>
      <c r="J237" s="25"/>
      <c r="K237" s="25"/>
      <c r="L237" s="25"/>
      <c r="M237" s="25"/>
      <c r="N237" s="25"/>
    </row>
    <row r="238" spans="1:14" s="39" customFormat="1">
      <c r="A238" s="47"/>
      <c r="B238" s="25"/>
      <c r="C238" s="25"/>
      <c r="D238" s="25"/>
      <c r="E238" s="25"/>
      <c r="F238" s="25"/>
      <c r="G238" s="25"/>
      <c r="H238" s="25"/>
      <c r="I238" s="25"/>
      <c r="J238" s="25"/>
      <c r="K238" s="25"/>
      <c r="L238" s="25"/>
      <c r="M238" s="25"/>
      <c r="N238" s="25"/>
    </row>
    <row r="239" spans="1:14" s="39" customFormat="1">
      <c r="A239" s="47"/>
      <c r="B239" s="25"/>
      <c r="C239" s="25"/>
      <c r="D239" s="25"/>
      <c r="E239" s="25"/>
      <c r="F239" s="25"/>
      <c r="G239" s="25"/>
      <c r="H239" s="25"/>
      <c r="I239" s="25"/>
      <c r="J239" s="25"/>
      <c r="K239" s="25"/>
      <c r="L239" s="25"/>
      <c r="M239" s="25"/>
      <c r="N239" s="25"/>
    </row>
    <row r="240" spans="1:14" s="39" customFormat="1">
      <c r="A240" s="47"/>
      <c r="B240" s="25"/>
      <c r="C240" s="25"/>
      <c r="D240" s="25"/>
      <c r="E240" s="25"/>
      <c r="F240" s="25"/>
      <c r="G240" s="25"/>
      <c r="H240" s="25"/>
      <c r="I240" s="25"/>
      <c r="J240" s="25"/>
      <c r="K240" s="25"/>
      <c r="L240" s="25"/>
      <c r="M240" s="25"/>
      <c r="N240" s="25"/>
    </row>
    <row r="241" spans="1:14" s="39" customFormat="1">
      <c r="A241" s="47"/>
      <c r="B241" s="25"/>
      <c r="C241" s="25"/>
      <c r="D241" s="25"/>
      <c r="E241" s="25"/>
      <c r="F241" s="25"/>
      <c r="G241" s="25"/>
      <c r="H241" s="25"/>
      <c r="I241" s="25"/>
      <c r="J241" s="25"/>
      <c r="K241" s="25"/>
      <c r="L241" s="25"/>
      <c r="M241" s="25"/>
      <c r="N241" s="25"/>
    </row>
    <row r="242" spans="1:14" s="39" customFormat="1">
      <c r="A242" s="47"/>
      <c r="B242" s="25"/>
      <c r="C242" s="25"/>
      <c r="D242" s="25"/>
      <c r="E242" s="25"/>
      <c r="F242" s="25"/>
      <c r="G242" s="25"/>
      <c r="H242" s="25"/>
      <c r="I242" s="25"/>
      <c r="J242" s="25"/>
      <c r="K242" s="25"/>
      <c r="L242" s="25"/>
      <c r="M242" s="25"/>
      <c r="N242" s="25"/>
    </row>
    <row r="243" spans="1:14" s="39" customFormat="1">
      <c r="A243" s="47"/>
      <c r="B243" s="25"/>
      <c r="C243" s="25"/>
      <c r="D243" s="25"/>
      <c r="E243" s="25"/>
      <c r="F243" s="25"/>
      <c r="G243" s="25"/>
      <c r="H243" s="25"/>
      <c r="I243" s="25"/>
      <c r="J243" s="25"/>
      <c r="K243" s="25"/>
      <c r="L243" s="25"/>
      <c r="M243" s="25"/>
      <c r="N243" s="25"/>
    </row>
    <row r="244" spans="1:14" s="39" customFormat="1">
      <c r="A244" s="47"/>
      <c r="B244" s="25"/>
      <c r="C244" s="25"/>
      <c r="D244" s="25"/>
      <c r="E244" s="25"/>
      <c r="F244" s="25"/>
      <c r="G244" s="25"/>
      <c r="H244" s="25"/>
      <c r="I244" s="25"/>
      <c r="J244" s="25"/>
      <c r="K244" s="25"/>
      <c r="L244" s="25"/>
      <c r="M244" s="25"/>
      <c r="N244" s="25"/>
    </row>
    <row r="245" spans="1:14" s="39" customFormat="1">
      <c r="A245" s="47"/>
      <c r="B245" s="25"/>
      <c r="C245" s="25"/>
      <c r="D245" s="25"/>
      <c r="E245" s="25"/>
      <c r="F245" s="25"/>
      <c r="G245" s="25"/>
      <c r="H245" s="25"/>
      <c r="I245" s="25"/>
      <c r="J245" s="25"/>
      <c r="K245" s="25"/>
      <c r="L245" s="25"/>
      <c r="M245" s="25"/>
      <c r="N245" s="25"/>
    </row>
    <row r="246" spans="1:14" s="39" customFormat="1">
      <c r="A246" s="47"/>
      <c r="B246" s="25"/>
      <c r="C246" s="25"/>
      <c r="D246" s="25"/>
      <c r="E246" s="25"/>
      <c r="F246" s="25"/>
      <c r="G246" s="25"/>
      <c r="H246" s="25"/>
      <c r="I246" s="25"/>
      <c r="J246" s="25"/>
      <c r="K246" s="25"/>
      <c r="L246" s="25"/>
      <c r="M246" s="25"/>
      <c r="N246" s="25"/>
    </row>
    <row r="247" spans="1:14" s="39" customFormat="1">
      <c r="A247" s="47"/>
      <c r="B247" s="25"/>
      <c r="C247" s="25"/>
      <c r="D247" s="25"/>
      <c r="E247" s="25"/>
      <c r="F247" s="25"/>
      <c r="G247" s="25"/>
      <c r="H247" s="25"/>
      <c r="I247" s="25"/>
      <c r="J247" s="25"/>
      <c r="K247" s="25"/>
      <c r="L247" s="25"/>
      <c r="M247" s="25"/>
      <c r="N247" s="25"/>
    </row>
    <row r="248" spans="1:14" s="39" customFormat="1">
      <c r="A248" s="47"/>
      <c r="B248" s="25"/>
      <c r="C248" s="25"/>
      <c r="D248" s="25"/>
      <c r="E248" s="25"/>
      <c r="F248" s="25"/>
      <c r="G248" s="25"/>
      <c r="H248" s="25"/>
      <c r="I248" s="25"/>
      <c r="J248" s="25"/>
      <c r="K248" s="25"/>
      <c r="L248" s="25"/>
      <c r="M248" s="25"/>
      <c r="N248" s="25"/>
    </row>
    <row r="249" spans="1:14" s="39" customFormat="1">
      <c r="A249" s="47"/>
      <c r="B249" s="25"/>
      <c r="C249" s="25"/>
      <c r="D249" s="25"/>
      <c r="E249" s="25"/>
      <c r="F249" s="25"/>
      <c r="G249" s="25"/>
      <c r="H249" s="25"/>
      <c r="I249" s="25"/>
      <c r="J249" s="25"/>
      <c r="K249" s="25"/>
      <c r="L249" s="25"/>
      <c r="M249" s="25"/>
      <c r="N249" s="25"/>
    </row>
    <row r="250" spans="1:14" s="39" customFormat="1">
      <c r="A250" s="47"/>
      <c r="B250" s="25"/>
      <c r="C250" s="25"/>
      <c r="D250" s="25"/>
      <c r="E250" s="25"/>
      <c r="F250" s="25"/>
      <c r="G250" s="25"/>
      <c r="H250" s="25"/>
      <c r="I250" s="25"/>
      <c r="J250" s="25"/>
      <c r="K250" s="25"/>
      <c r="L250" s="25"/>
      <c r="M250" s="25"/>
      <c r="N250" s="25"/>
    </row>
    <row r="251" spans="1:14" s="39" customFormat="1">
      <c r="A251" s="47"/>
      <c r="B251" s="25"/>
      <c r="C251" s="25"/>
      <c r="D251" s="25"/>
      <c r="E251" s="25"/>
      <c r="F251" s="25"/>
      <c r="G251" s="25"/>
      <c r="H251" s="25"/>
      <c r="I251" s="25"/>
      <c r="J251" s="25"/>
      <c r="K251" s="25"/>
      <c r="L251" s="25"/>
      <c r="M251" s="25"/>
      <c r="N251" s="25"/>
    </row>
    <row r="252" spans="1:14" s="39" customFormat="1">
      <c r="A252" s="47"/>
      <c r="B252" s="25"/>
      <c r="C252" s="25"/>
      <c r="D252" s="25"/>
      <c r="E252" s="25"/>
      <c r="F252" s="25"/>
      <c r="G252" s="25"/>
      <c r="H252" s="25"/>
      <c r="I252" s="25"/>
      <c r="J252" s="25"/>
      <c r="K252" s="25"/>
      <c r="L252" s="25"/>
      <c r="M252" s="25"/>
      <c r="N252" s="25"/>
    </row>
    <row r="253" spans="1:14" s="39" customFormat="1">
      <c r="A253" s="47"/>
      <c r="B253" s="25"/>
      <c r="C253" s="25"/>
      <c r="D253" s="25"/>
      <c r="E253" s="25"/>
      <c r="F253" s="25"/>
      <c r="G253" s="25"/>
      <c r="H253" s="25"/>
      <c r="I253" s="25"/>
      <c r="J253" s="25"/>
      <c r="K253" s="25"/>
      <c r="L253" s="25"/>
      <c r="M253" s="25"/>
      <c r="N253" s="25"/>
    </row>
    <row r="254" spans="1:14" s="39" customFormat="1">
      <c r="A254" s="47"/>
      <c r="B254" s="25"/>
      <c r="C254" s="25"/>
      <c r="D254" s="25"/>
      <c r="E254" s="25"/>
      <c r="F254" s="25"/>
      <c r="G254" s="25"/>
      <c r="H254" s="25"/>
      <c r="I254" s="25"/>
      <c r="J254" s="25"/>
      <c r="K254" s="25"/>
      <c r="L254" s="25"/>
      <c r="M254" s="25"/>
      <c r="N254" s="25"/>
    </row>
    <row r="255" spans="1:14" s="39" customFormat="1">
      <c r="A255" s="47"/>
      <c r="B255" s="25"/>
      <c r="C255" s="25"/>
      <c r="D255" s="25"/>
      <c r="E255" s="25"/>
      <c r="F255" s="25"/>
      <c r="G255" s="25"/>
      <c r="H255" s="25"/>
      <c r="I255" s="25"/>
      <c r="J255" s="25"/>
      <c r="K255" s="25"/>
      <c r="L255" s="25"/>
      <c r="M255" s="25"/>
      <c r="N255" s="25"/>
    </row>
    <row r="256" spans="1:14" s="39" customFormat="1">
      <c r="A256" s="47"/>
      <c r="B256" s="25"/>
      <c r="C256" s="25"/>
      <c r="D256" s="25"/>
      <c r="E256" s="25"/>
      <c r="F256" s="25"/>
      <c r="G256" s="25"/>
      <c r="H256" s="25"/>
      <c r="I256" s="25"/>
      <c r="J256" s="25"/>
      <c r="K256" s="25"/>
      <c r="L256" s="25"/>
      <c r="M256" s="25"/>
      <c r="N256" s="25"/>
    </row>
    <row r="257" spans="1:14" s="39" customFormat="1">
      <c r="A257" s="47"/>
      <c r="B257" s="25"/>
      <c r="C257" s="25"/>
      <c r="D257" s="25"/>
      <c r="E257" s="25"/>
      <c r="F257" s="25"/>
      <c r="G257" s="25"/>
      <c r="H257" s="25"/>
      <c r="I257" s="25"/>
      <c r="J257" s="25"/>
      <c r="K257" s="25"/>
      <c r="L257" s="25"/>
      <c r="M257" s="25"/>
      <c r="N257" s="25"/>
    </row>
    <row r="258" spans="1:14" s="39" customFormat="1">
      <c r="A258" s="47"/>
      <c r="B258" s="25"/>
      <c r="C258" s="25"/>
      <c r="D258" s="25"/>
      <c r="E258" s="25"/>
      <c r="F258" s="25"/>
      <c r="G258" s="25"/>
      <c r="H258" s="25"/>
      <c r="I258" s="25"/>
      <c r="J258" s="25"/>
      <c r="K258" s="25"/>
      <c r="L258" s="25"/>
      <c r="M258" s="25"/>
      <c r="N258" s="25"/>
    </row>
    <row r="259" spans="1:14" s="39" customFormat="1">
      <c r="A259" s="47"/>
      <c r="B259" s="25"/>
      <c r="C259" s="25"/>
      <c r="D259" s="25"/>
      <c r="E259" s="25"/>
      <c r="F259" s="25"/>
      <c r="G259" s="25"/>
      <c r="H259" s="25"/>
      <c r="I259" s="25"/>
      <c r="J259" s="25"/>
      <c r="K259" s="25"/>
      <c r="L259" s="25"/>
      <c r="M259" s="25"/>
      <c r="N259" s="25"/>
    </row>
    <row r="260" spans="1:14" s="39" customFormat="1">
      <c r="A260" s="47"/>
      <c r="B260" s="25"/>
      <c r="C260" s="25"/>
      <c r="D260" s="25"/>
      <c r="E260" s="25"/>
      <c r="F260" s="25"/>
      <c r="G260" s="25"/>
      <c r="H260" s="25"/>
      <c r="I260" s="25"/>
      <c r="J260" s="25"/>
      <c r="K260" s="25"/>
      <c r="L260" s="25"/>
      <c r="M260" s="25"/>
      <c r="N260" s="25"/>
    </row>
    <row r="261" spans="1:14" s="39" customFormat="1">
      <c r="A261" s="47"/>
      <c r="B261" s="25"/>
      <c r="C261" s="25"/>
      <c r="D261" s="25"/>
      <c r="E261" s="25"/>
      <c r="F261" s="25"/>
      <c r="G261" s="25"/>
      <c r="H261" s="25"/>
      <c r="I261" s="25"/>
      <c r="J261" s="25"/>
      <c r="K261" s="25"/>
      <c r="L261" s="25"/>
      <c r="M261" s="25"/>
      <c r="N261" s="25"/>
    </row>
    <row r="262" spans="1:14" s="39" customFormat="1">
      <c r="A262" s="47"/>
      <c r="B262" s="25"/>
      <c r="C262" s="25"/>
      <c r="D262" s="25"/>
      <c r="E262" s="25"/>
      <c r="F262" s="25"/>
      <c r="G262" s="25"/>
      <c r="H262" s="25"/>
      <c r="I262" s="25"/>
      <c r="J262" s="25"/>
      <c r="K262" s="25"/>
      <c r="L262" s="25"/>
      <c r="M262" s="25"/>
      <c r="N262" s="25"/>
    </row>
    <row r="263" spans="1:14" s="39" customFormat="1">
      <c r="A263" s="47"/>
      <c r="B263" s="25"/>
      <c r="C263" s="25"/>
      <c r="D263" s="25"/>
      <c r="E263" s="25"/>
      <c r="F263" s="25"/>
      <c r="G263" s="25"/>
      <c r="H263" s="25"/>
      <c r="I263" s="25"/>
      <c r="J263" s="25"/>
      <c r="K263" s="25"/>
      <c r="L263" s="25"/>
      <c r="M263" s="25"/>
      <c r="N263" s="25"/>
    </row>
    <row r="264" spans="1:14" s="39" customFormat="1">
      <c r="A264" s="47"/>
      <c r="B264" s="25"/>
      <c r="C264" s="25"/>
      <c r="D264" s="25"/>
      <c r="E264" s="25"/>
      <c r="F264" s="25"/>
      <c r="G264" s="25"/>
      <c r="H264" s="25"/>
      <c r="I264" s="25"/>
      <c r="J264" s="25"/>
      <c r="K264" s="25"/>
      <c r="L264" s="25"/>
      <c r="M264" s="25"/>
      <c r="N264" s="25"/>
    </row>
    <row r="265" spans="1:14" s="39" customFormat="1">
      <c r="A265" s="47"/>
      <c r="B265" s="25"/>
      <c r="C265" s="25"/>
      <c r="D265" s="25"/>
      <c r="E265" s="25"/>
      <c r="F265" s="25"/>
      <c r="G265" s="25"/>
      <c r="H265" s="25"/>
      <c r="I265" s="25"/>
      <c r="J265" s="25"/>
      <c r="K265" s="25"/>
      <c r="L265" s="25"/>
      <c r="M265" s="25"/>
      <c r="N265" s="25"/>
    </row>
    <row r="266" spans="1:14" s="39" customFormat="1">
      <c r="A266" s="47"/>
      <c r="B266" s="25"/>
      <c r="C266" s="25"/>
      <c r="D266" s="25"/>
      <c r="E266" s="25"/>
      <c r="F266" s="25"/>
      <c r="G266" s="25"/>
      <c r="H266" s="25"/>
      <c r="I266" s="25"/>
      <c r="J266" s="25"/>
      <c r="K266" s="25"/>
      <c r="L266" s="25"/>
      <c r="M266" s="25"/>
      <c r="N266" s="25"/>
    </row>
    <row r="267" spans="1:14" s="39" customFormat="1">
      <c r="A267" s="47"/>
      <c r="B267" s="25"/>
      <c r="C267" s="25"/>
      <c r="D267" s="25"/>
      <c r="E267" s="25"/>
      <c r="F267" s="25"/>
      <c r="G267" s="25"/>
      <c r="H267" s="25"/>
      <c r="I267" s="25"/>
      <c r="J267" s="25"/>
      <c r="K267" s="25"/>
      <c r="L267" s="25"/>
      <c r="M267" s="25"/>
      <c r="N267" s="25"/>
    </row>
    <row r="268" spans="1:14" s="39" customFormat="1">
      <c r="A268" s="47"/>
      <c r="B268" s="25"/>
      <c r="C268" s="25"/>
      <c r="D268" s="25"/>
      <c r="E268" s="25"/>
      <c r="F268" s="25"/>
      <c r="G268" s="25"/>
      <c r="H268" s="25"/>
      <c r="I268" s="25"/>
      <c r="J268" s="25"/>
      <c r="K268" s="25"/>
      <c r="L268" s="25"/>
      <c r="M268" s="25"/>
      <c r="N268" s="25"/>
    </row>
    <row r="269" spans="1:14" s="39" customFormat="1">
      <c r="A269" s="47"/>
      <c r="B269" s="25"/>
      <c r="C269" s="25"/>
      <c r="D269" s="25"/>
      <c r="E269" s="25"/>
      <c r="F269" s="25"/>
      <c r="G269" s="25"/>
      <c r="H269" s="25"/>
      <c r="I269" s="25"/>
      <c r="J269" s="25"/>
      <c r="K269" s="25"/>
      <c r="L269" s="25"/>
      <c r="M269" s="25"/>
      <c r="N269" s="25"/>
    </row>
    <row r="270" spans="1:14" s="39" customFormat="1">
      <c r="A270" s="47"/>
      <c r="B270" s="25"/>
      <c r="C270" s="25"/>
      <c r="D270" s="25"/>
      <c r="E270" s="25"/>
      <c r="F270" s="25"/>
      <c r="G270" s="25"/>
      <c r="H270" s="25"/>
      <c r="I270" s="25"/>
      <c r="J270" s="25"/>
      <c r="K270" s="25"/>
      <c r="L270" s="25"/>
      <c r="M270" s="25"/>
      <c r="N270" s="25"/>
    </row>
    <row r="271" spans="1:14" s="39" customFormat="1">
      <c r="A271" s="47"/>
      <c r="B271" s="25"/>
      <c r="C271" s="25"/>
      <c r="D271" s="25"/>
      <c r="E271" s="25"/>
      <c r="F271" s="25"/>
      <c r="G271" s="25"/>
      <c r="H271" s="25"/>
      <c r="I271" s="25"/>
      <c r="J271" s="25"/>
      <c r="K271" s="25"/>
      <c r="L271" s="25"/>
      <c r="M271" s="25"/>
      <c r="N271" s="25"/>
    </row>
    <row r="272" spans="1:14" s="39" customFormat="1">
      <c r="A272" s="47"/>
      <c r="B272" s="25"/>
      <c r="C272" s="25"/>
      <c r="D272" s="25"/>
      <c r="E272" s="25"/>
      <c r="F272" s="25"/>
      <c r="G272" s="25"/>
      <c r="H272" s="25"/>
      <c r="I272" s="25"/>
      <c r="J272" s="25"/>
      <c r="K272" s="25"/>
      <c r="L272" s="25"/>
      <c r="M272" s="25"/>
      <c r="N272" s="25"/>
    </row>
    <row r="273" spans="1:14" s="39" customFormat="1">
      <c r="A273" s="47"/>
      <c r="B273" s="25"/>
      <c r="C273" s="25"/>
      <c r="D273" s="25"/>
      <c r="E273" s="25"/>
      <c r="F273" s="25"/>
      <c r="G273" s="25"/>
      <c r="H273" s="25"/>
      <c r="I273" s="25"/>
      <c r="J273" s="25"/>
      <c r="K273" s="25"/>
      <c r="L273" s="25"/>
      <c r="M273" s="25"/>
      <c r="N273" s="25"/>
    </row>
    <row r="274" spans="1:14" s="39" customFormat="1">
      <c r="A274" s="47"/>
      <c r="B274" s="25"/>
      <c r="C274" s="25"/>
      <c r="D274" s="25"/>
      <c r="E274" s="25"/>
      <c r="F274" s="25"/>
      <c r="G274" s="25"/>
      <c r="H274" s="25"/>
      <c r="I274" s="25"/>
      <c r="J274" s="25"/>
      <c r="K274" s="25"/>
      <c r="L274" s="25"/>
      <c r="M274" s="25"/>
      <c r="N274" s="25"/>
    </row>
    <row r="275" spans="1:14" s="39" customFormat="1">
      <c r="A275" s="47"/>
      <c r="B275" s="25"/>
      <c r="C275" s="25"/>
      <c r="D275" s="25"/>
      <c r="E275" s="25"/>
      <c r="F275" s="25"/>
      <c r="G275" s="25"/>
      <c r="H275" s="25"/>
      <c r="I275" s="25"/>
      <c r="J275" s="25"/>
      <c r="K275" s="25"/>
      <c r="L275" s="25"/>
      <c r="M275" s="25"/>
      <c r="N275" s="25"/>
    </row>
    <row r="276" spans="1:14" s="39" customFormat="1">
      <c r="A276" s="47"/>
      <c r="B276" s="25"/>
      <c r="C276" s="25"/>
      <c r="D276" s="25"/>
      <c r="E276" s="25"/>
      <c r="F276" s="25"/>
      <c r="G276" s="25"/>
      <c r="H276" s="25"/>
      <c r="I276" s="25"/>
      <c r="J276" s="25"/>
      <c r="K276" s="25"/>
      <c r="L276" s="25"/>
      <c r="M276" s="25"/>
      <c r="N276" s="25"/>
    </row>
    <row r="277" spans="1:14" s="39" customFormat="1">
      <c r="A277" s="47"/>
      <c r="B277" s="25"/>
      <c r="C277" s="25"/>
      <c r="D277" s="25"/>
      <c r="E277" s="25"/>
      <c r="F277" s="25"/>
      <c r="G277" s="25"/>
      <c r="H277" s="25"/>
      <c r="I277" s="25"/>
      <c r="J277" s="25"/>
      <c r="K277" s="25"/>
      <c r="L277" s="25"/>
      <c r="M277" s="25"/>
      <c r="N277" s="25"/>
    </row>
    <row r="278" spans="1:14" s="39" customFormat="1">
      <c r="A278" s="47"/>
      <c r="B278" s="25"/>
      <c r="C278" s="25"/>
      <c r="D278" s="25"/>
      <c r="E278" s="25"/>
      <c r="F278" s="25"/>
      <c r="G278" s="25"/>
      <c r="H278" s="25"/>
      <c r="I278" s="25"/>
      <c r="J278" s="25"/>
      <c r="K278" s="25"/>
      <c r="L278" s="25"/>
      <c r="M278" s="25"/>
      <c r="N278" s="25"/>
    </row>
    <row r="279" spans="1:14" s="39" customFormat="1">
      <c r="A279" s="47"/>
      <c r="B279" s="25"/>
      <c r="C279" s="25"/>
      <c r="D279" s="25"/>
      <c r="E279" s="25"/>
      <c r="F279" s="25"/>
      <c r="G279" s="25"/>
      <c r="H279" s="25"/>
      <c r="I279" s="25"/>
      <c r="J279" s="25"/>
      <c r="K279" s="25"/>
      <c r="L279" s="25"/>
      <c r="M279" s="25"/>
      <c r="N279" s="25"/>
    </row>
    <row r="280" spans="1:14" s="39" customFormat="1">
      <c r="A280" s="47"/>
      <c r="B280" s="25"/>
      <c r="C280" s="25"/>
      <c r="D280" s="25"/>
      <c r="E280" s="25"/>
      <c r="F280" s="25"/>
      <c r="G280" s="25"/>
      <c r="H280" s="25"/>
      <c r="I280" s="25"/>
      <c r="J280" s="25"/>
      <c r="K280" s="25"/>
      <c r="L280" s="25"/>
      <c r="M280" s="25"/>
      <c r="N280" s="25"/>
    </row>
    <row r="281" spans="1:14" s="39" customFormat="1">
      <c r="A281" s="47"/>
      <c r="B281" s="25"/>
      <c r="C281" s="25"/>
      <c r="D281" s="25"/>
      <c r="E281" s="25"/>
      <c r="F281" s="25"/>
      <c r="G281" s="25"/>
      <c r="H281" s="25"/>
      <c r="I281" s="25"/>
      <c r="J281" s="25"/>
      <c r="K281" s="25"/>
      <c r="L281" s="25"/>
      <c r="M281" s="25"/>
      <c r="N281" s="25"/>
    </row>
    <row r="282" spans="1:14" s="39" customFormat="1">
      <c r="A282" s="47"/>
      <c r="B282" s="25"/>
      <c r="C282" s="25"/>
      <c r="D282" s="25"/>
      <c r="E282" s="25"/>
      <c r="F282" s="25"/>
      <c r="G282" s="25"/>
      <c r="H282" s="25"/>
      <c r="I282" s="25"/>
      <c r="J282" s="25"/>
      <c r="K282" s="25"/>
      <c r="L282" s="25"/>
      <c r="M282" s="25"/>
      <c r="N282" s="25"/>
    </row>
    <row r="283" spans="1:14" s="39" customFormat="1">
      <c r="A283" s="47"/>
      <c r="B283" s="25"/>
      <c r="C283" s="25"/>
      <c r="D283" s="25"/>
      <c r="E283" s="25"/>
      <c r="F283" s="25"/>
      <c r="G283" s="25"/>
      <c r="H283" s="25"/>
      <c r="I283" s="25"/>
      <c r="J283" s="25"/>
      <c r="K283" s="25"/>
      <c r="L283" s="25"/>
      <c r="M283" s="25"/>
      <c r="N283" s="25"/>
    </row>
    <row r="284" spans="1:14" s="39" customFormat="1">
      <c r="A284" s="47"/>
      <c r="B284" s="25"/>
      <c r="C284" s="25"/>
      <c r="D284" s="25"/>
      <c r="E284" s="25"/>
      <c r="F284" s="25"/>
      <c r="G284" s="25"/>
      <c r="H284" s="25"/>
      <c r="I284" s="25"/>
      <c r="J284" s="25"/>
      <c r="K284" s="25"/>
      <c r="L284" s="25"/>
      <c r="M284" s="25"/>
      <c r="N284" s="25"/>
    </row>
    <row r="285" spans="1:14" s="39" customFormat="1">
      <c r="A285" s="47"/>
      <c r="B285" s="25"/>
      <c r="C285" s="25"/>
      <c r="D285" s="25"/>
      <c r="E285" s="25"/>
      <c r="F285" s="25"/>
      <c r="G285" s="25"/>
      <c r="H285" s="25"/>
      <c r="I285" s="25"/>
      <c r="J285" s="25"/>
      <c r="K285" s="25"/>
      <c r="L285" s="25"/>
      <c r="M285" s="25"/>
      <c r="N285" s="25"/>
    </row>
    <row r="286" spans="1:14" s="39" customFormat="1">
      <c r="A286" s="47"/>
      <c r="B286" s="25"/>
      <c r="C286" s="25"/>
      <c r="D286" s="25"/>
      <c r="E286" s="25"/>
      <c r="F286" s="25"/>
      <c r="G286" s="25"/>
      <c r="H286" s="25"/>
      <c r="I286" s="25"/>
      <c r="J286" s="25"/>
      <c r="K286" s="25"/>
      <c r="L286" s="25"/>
      <c r="M286" s="25"/>
      <c r="N286" s="25"/>
    </row>
    <row r="287" spans="1:14" s="39" customFormat="1">
      <c r="A287" s="47"/>
      <c r="B287" s="25"/>
      <c r="C287" s="25"/>
      <c r="D287" s="25"/>
      <c r="E287" s="25"/>
      <c r="F287" s="25"/>
      <c r="G287" s="25"/>
      <c r="H287" s="25"/>
      <c r="I287" s="25"/>
      <c r="J287" s="25"/>
      <c r="K287" s="25"/>
      <c r="L287" s="25"/>
      <c r="M287" s="25"/>
      <c r="N287" s="25"/>
    </row>
    <row r="288" spans="1:14" s="39" customFormat="1">
      <c r="A288" s="47"/>
      <c r="B288" s="25"/>
      <c r="C288" s="25"/>
      <c r="D288" s="25"/>
      <c r="E288" s="25"/>
      <c r="F288" s="25"/>
      <c r="G288" s="25"/>
      <c r="H288" s="25"/>
      <c r="I288" s="25"/>
      <c r="J288" s="25"/>
      <c r="K288" s="25"/>
      <c r="L288" s="25"/>
      <c r="M288" s="25"/>
      <c r="N288" s="25"/>
    </row>
    <row r="289" spans="1:14" s="39" customFormat="1">
      <c r="A289" s="47"/>
      <c r="B289" s="25"/>
      <c r="C289" s="25"/>
      <c r="D289" s="25"/>
      <c r="E289" s="25"/>
      <c r="F289" s="25"/>
      <c r="G289" s="25"/>
      <c r="H289" s="25"/>
      <c r="I289" s="25"/>
      <c r="J289" s="25"/>
      <c r="K289" s="25"/>
      <c r="L289" s="25"/>
      <c r="M289" s="25"/>
      <c r="N289" s="25"/>
    </row>
    <row r="290" spans="1:14" s="39" customFormat="1">
      <c r="A290" s="47"/>
      <c r="B290" s="25"/>
      <c r="C290" s="25"/>
      <c r="D290" s="25"/>
      <c r="E290" s="25"/>
      <c r="F290" s="25"/>
      <c r="G290" s="25"/>
      <c r="H290" s="25"/>
      <c r="I290" s="25"/>
      <c r="J290" s="25"/>
      <c r="K290" s="25"/>
      <c r="L290" s="25"/>
      <c r="M290" s="25"/>
      <c r="N290" s="25"/>
    </row>
    <row r="291" spans="1:14" s="39" customFormat="1">
      <c r="A291" s="47"/>
      <c r="B291" s="25"/>
      <c r="C291" s="25"/>
      <c r="D291" s="25"/>
      <c r="E291" s="25"/>
      <c r="F291" s="25"/>
      <c r="G291" s="25"/>
      <c r="H291" s="25"/>
      <c r="I291" s="25"/>
      <c r="J291" s="25"/>
      <c r="K291" s="25"/>
      <c r="L291" s="25"/>
      <c r="M291" s="25"/>
      <c r="N291" s="25"/>
    </row>
    <row r="292" spans="1:14" s="39" customFormat="1">
      <c r="A292" s="47"/>
      <c r="B292" s="25"/>
      <c r="C292" s="25"/>
      <c r="D292" s="25"/>
      <c r="E292" s="25"/>
      <c r="F292" s="25"/>
      <c r="G292" s="25"/>
      <c r="H292" s="25"/>
      <c r="I292" s="25"/>
      <c r="J292" s="25"/>
      <c r="K292" s="25"/>
      <c r="L292" s="25"/>
      <c r="M292" s="25"/>
      <c r="N292" s="25"/>
    </row>
    <row r="293" spans="1:14" s="39" customFormat="1">
      <c r="A293" s="47"/>
      <c r="B293" s="25"/>
      <c r="C293" s="25"/>
      <c r="D293" s="25"/>
      <c r="E293" s="25"/>
      <c r="F293" s="25"/>
      <c r="G293" s="25"/>
      <c r="H293" s="25"/>
      <c r="I293" s="25"/>
      <c r="J293" s="25"/>
      <c r="K293" s="25"/>
      <c r="L293" s="25"/>
      <c r="M293" s="25"/>
      <c r="N293" s="25"/>
    </row>
    <row r="294" spans="1:14" s="39" customFormat="1">
      <c r="A294" s="47"/>
      <c r="B294" s="25"/>
      <c r="C294" s="25"/>
      <c r="D294" s="25"/>
      <c r="E294" s="25"/>
      <c r="F294" s="25"/>
      <c r="G294" s="25"/>
      <c r="H294" s="25"/>
      <c r="I294" s="25"/>
      <c r="J294" s="25"/>
      <c r="K294" s="25"/>
      <c r="L294" s="25"/>
      <c r="M294" s="25"/>
      <c r="N294" s="25"/>
    </row>
    <row r="295" spans="1:14" s="39" customFormat="1">
      <c r="A295" s="47"/>
      <c r="B295" s="25"/>
      <c r="C295" s="25"/>
      <c r="D295" s="25"/>
      <c r="E295" s="25"/>
      <c r="F295" s="25"/>
      <c r="G295" s="25"/>
      <c r="H295" s="25"/>
      <c r="I295" s="25"/>
      <c r="J295" s="25"/>
      <c r="K295" s="25"/>
      <c r="L295" s="25"/>
      <c r="M295" s="25"/>
      <c r="N295" s="25"/>
    </row>
    <row r="296" spans="1:14" s="39" customFormat="1">
      <c r="A296" s="47"/>
      <c r="B296" s="25"/>
      <c r="C296" s="25"/>
      <c r="D296" s="25"/>
      <c r="E296" s="25"/>
      <c r="F296" s="25"/>
      <c r="G296" s="25"/>
      <c r="H296" s="25"/>
      <c r="I296" s="25"/>
      <c r="J296" s="25"/>
      <c r="K296" s="25"/>
      <c r="L296" s="25"/>
      <c r="M296" s="25"/>
      <c r="N296" s="25"/>
    </row>
    <row r="297" spans="1:14" s="39" customFormat="1">
      <c r="A297" s="47"/>
      <c r="B297" s="25"/>
      <c r="C297" s="25"/>
      <c r="D297" s="25"/>
      <c r="E297" s="25"/>
      <c r="F297" s="25"/>
      <c r="G297" s="25"/>
      <c r="H297" s="25"/>
      <c r="I297" s="25"/>
      <c r="J297" s="25"/>
      <c r="K297" s="25"/>
      <c r="L297" s="25"/>
      <c r="M297" s="25"/>
      <c r="N297" s="25"/>
    </row>
    <row r="298" spans="1:14" s="39" customFormat="1">
      <c r="A298" s="47"/>
      <c r="B298" s="25"/>
      <c r="C298" s="25"/>
      <c r="D298" s="25"/>
      <c r="E298" s="25"/>
      <c r="F298" s="25"/>
      <c r="G298" s="25"/>
      <c r="H298" s="25"/>
      <c r="I298" s="25"/>
      <c r="J298" s="25"/>
      <c r="K298" s="25"/>
      <c r="L298" s="25"/>
      <c r="M298" s="25"/>
      <c r="N298" s="25"/>
    </row>
    <row r="299" spans="1:14" s="39" customFormat="1">
      <c r="A299" s="47"/>
      <c r="B299" s="25"/>
      <c r="C299" s="25"/>
      <c r="D299" s="25"/>
      <c r="E299" s="25"/>
      <c r="F299" s="25"/>
      <c r="G299" s="25"/>
      <c r="H299" s="25"/>
      <c r="I299" s="25"/>
      <c r="J299" s="25"/>
      <c r="K299" s="25"/>
      <c r="L299" s="25"/>
      <c r="M299" s="25"/>
      <c r="N299" s="25"/>
    </row>
    <row r="300" spans="1:14" s="39" customFormat="1">
      <c r="A300" s="47"/>
      <c r="B300" s="25"/>
      <c r="C300" s="25"/>
      <c r="D300" s="25"/>
      <c r="E300" s="25"/>
      <c r="F300" s="25"/>
      <c r="G300" s="25"/>
      <c r="H300" s="25"/>
      <c r="I300" s="25"/>
      <c r="J300" s="25"/>
      <c r="K300" s="25"/>
      <c r="L300" s="25"/>
      <c r="M300" s="25"/>
      <c r="N300" s="25"/>
    </row>
    <row r="301" spans="1:14" s="39" customFormat="1">
      <c r="A301" s="47"/>
      <c r="B301" s="25"/>
      <c r="C301" s="25"/>
      <c r="D301" s="25"/>
      <c r="E301" s="25"/>
      <c r="F301" s="25"/>
      <c r="G301" s="25"/>
      <c r="H301" s="25"/>
      <c r="I301" s="25"/>
      <c r="J301" s="25"/>
      <c r="K301" s="25"/>
      <c r="L301" s="25"/>
      <c r="M301" s="25"/>
      <c r="N301" s="25"/>
    </row>
    <row r="302" spans="1:14" s="39" customFormat="1">
      <c r="A302" s="47"/>
      <c r="B302" s="25"/>
      <c r="C302" s="25"/>
      <c r="D302" s="25"/>
      <c r="E302" s="25"/>
      <c r="F302" s="25"/>
      <c r="G302" s="25"/>
      <c r="H302" s="25"/>
      <c r="I302" s="25"/>
      <c r="J302" s="25"/>
      <c r="K302" s="25"/>
      <c r="L302" s="25"/>
      <c r="M302" s="25"/>
      <c r="N302" s="25"/>
    </row>
    <row r="303" spans="1:14" s="39" customFormat="1">
      <c r="A303" s="47"/>
      <c r="B303" s="25"/>
      <c r="C303" s="25"/>
      <c r="D303" s="25"/>
      <c r="E303" s="25"/>
      <c r="F303" s="25"/>
      <c r="G303" s="25"/>
      <c r="H303" s="25"/>
      <c r="I303" s="25"/>
      <c r="J303" s="25"/>
      <c r="K303" s="25"/>
      <c r="L303" s="25"/>
      <c r="M303" s="25"/>
      <c r="N303" s="25"/>
    </row>
    <row r="304" spans="1:14" s="39" customFormat="1">
      <c r="A304" s="47"/>
      <c r="B304" s="25"/>
      <c r="C304" s="25"/>
      <c r="D304" s="25"/>
      <c r="E304" s="25"/>
      <c r="F304" s="25"/>
      <c r="G304" s="25"/>
      <c r="H304" s="25"/>
      <c r="I304" s="25"/>
      <c r="J304" s="25"/>
      <c r="K304" s="25"/>
      <c r="L304" s="25"/>
      <c r="M304" s="25"/>
      <c r="N304" s="25"/>
    </row>
    <row r="305" spans="1:14" s="39" customFormat="1">
      <c r="A305" s="47"/>
      <c r="B305" s="25"/>
      <c r="C305" s="25"/>
      <c r="D305" s="25"/>
      <c r="E305" s="25"/>
      <c r="F305" s="25"/>
      <c r="G305" s="25"/>
      <c r="H305" s="25"/>
      <c r="I305" s="25"/>
      <c r="J305" s="25"/>
      <c r="K305" s="25"/>
      <c r="L305" s="25"/>
      <c r="M305" s="25"/>
      <c r="N305" s="25"/>
    </row>
    <row r="306" spans="1:14" s="39" customFormat="1">
      <c r="A306" s="47"/>
      <c r="B306" s="25"/>
      <c r="C306" s="25"/>
      <c r="D306" s="25"/>
      <c r="E306" s="25"/>
      <c r="F306" s="25"/>
      <c r="G306" s="25"/>
      <c r="H306" s="25"/>
      <c r="I306" s="25"/>
      <c r="J306" s="25"/>
      <c r="K306" s="25"/>
      <c r="L306" s="25"/>
      <c r="M306" s="25"/>
      <c r="N306" s="25"/>
    </row>
    <row r="307" spans="1:14" s="39" customFormat="1">
      <c r="A307" s="47"/>
      <c r="B307" s="25"/>
      <c r="C307" s="25"/>
      <c r="D307" s="25"/>
      <c r="E307" s="25"/>
      <c r="F307" s="25"/>
      <c r="G307" s="25"/>
      <c r="H307" s="25"/>
      <c r="I307" s="25"/>
      <c r="J307" s="25"/>
      <c r="K307" s="25"/>
      <c r="L307" s="25"/>
      <c r="M307" s="25"/>
      <c r="N307" s="25"/>
    </row>
    <row r="308" spans="1:14" s="39" customFormat="1">
      <c r="A308" s="47"/>
      <c r="B308" s="25"/>
      <c r="C308" s="25"/>
      <c r="D308" s="25"/>
      <c r="E308" s="25"/>
      <c r="F308" s="25"/>
      <c r="G308" s="25"/>
      <c r="H308" s="25"/>
      <c r="I308" s="25"/>
      <c r="J308" s="25"/>
      <c r="K308" s="25"/>
      <c r="L308" s="25"/>
      <c r="M308" s="25"/>
      <c r="N308" s="25"/>
    </row>
    <row r="309" spans="1:14" s="39" customFormat="1">
      <c r="A309" s="47"/>
      <c r="B309" s="25"/>
      <c r="C309" s="25"/>
      <c r="D309" s="25"/>
      <c r="E309" s="25"/>
      <c r="F309" s="25"/>
      <c r="G309" s="25"/>
      <c r="H309" s="25"/>
      <c r="I309" s="25"/>
      <c r="J309" s="25"/>
      <c r="K309" s="25"/>
      <c r="L309" s="25"/>
      <c r="M309" s="25"/>
      <c r="N309" s="25"/>
    </row>
    <row r="310" spans="1:14" s="39" customFormat="1">
      <c r="A310" s="47"/>
      <c r="B310" s="25"/>
      <c r="C310" s="25"/>
      <c r="D310" s="25"/>
      <c r="E310" s="25"/>
      <c r="F310" s="25"/>
      <c r="G310" s="25"/>
      <c r="H310" s="25"/>
      <c r="I310" s="25"/>
      <c r="J310" s="25"/>
      <c r="K310" s="25"/>
      <c r="L310" s="25"/>
      <c r="M310" s="25"/>
      <c r="N310" s="25"/>
    </row>
    <row r="311" spans="1:14" s="39" customFormat="1">
      <c r="A311" s="47"/>
      <c r="B311" s="25"/>
      <c r="C311" s="25"/>
      <c r="D311" s="25"/>
      <c r="E311" s="25"/>
      <c r="F311" s="25"/>
      <c r="G311" s="25"/>
      <c r="H311" s="25"/>
      <c r="I311" s="25"/>
      <c r="J311" s="25"/>
      <c r="K311" s="25"/>
      <c r="L311" s="25"/>
      <c r="M311" s="25"/>
      <c r="N311" s="25"/>
    </row>
    <row r="312" spans="1:14" s="39" customFormat="1">
      <c r="A312" s="47"/>
      <c r="B312" s="25"/>
      <c r="C312" s="25"/>
      <c r="D312" s="25"/>
      <c r="E312" s="25"/>
      <c r="F312" s="25"/>
      <c r="G312" s="25"/>
      <c r="H312" s="25"/>
      <c r="I312" s="25"/>
      <c r="J312" s="25"/>
      <c r="K312" s="25"/>
      <c r="L312" s="25"/>
      <c r="M312" s="25"/>
      <c r="N312" s="25"/>
    </row>
    <row r="313" spans="1:14" s="39" customFormat="1">
      <c r="A313" s="47"/>
      <c r="B313" s="25"/>
      <c r="C313" s="25"/>
      <c r="D313" s="25"/>
      <c r="E313" s="25"/>
      <c r="F313" s="25"/>
      <c r="G313" s="25"/>
      <c r="H313" s="25"/>
      <c r="I313" s="25"/>
      <c r="J313" s="25"/>
      <c r="K313" s="25"/>
      <c r="L313" s="25"/>
      <c r="M313" s="25"/>
      <c r="N313" s="25"/>
    </row>
    <row r="314" spans="1:14" s="39" customFormat="1">
      <c r="A314" s="47"/>
      <c r="B314" s="25"/>
      <c r="C314" s="25"/>
      <c r="D314" s="25"/>
      <c r="E314" s="25"/>
      <c r="F314" s="25"/>
      <c r="G314" s="25"/>
      <c r="H314" s="25"/>
      <c r="I314" s="25"/>
      <c r="J314" s="25"/>
      <c r="K314" s="25"/>
      <c r="L314" s="25"/>
      <c r="M314" s="25"/>
      <c r="N314" s="25"/>
    </row>
    <row r="315" spans="1:14" s="39" customFormat="1">
      <c r="A315" s="47"/>
      <c r="B315" s="25"/>
      <c r="C315" s="25"/>
      <c r="D315" s="25"/>
      <c r="E315" s="25"/>
      <c r="F315" s="25"/>
      <c r="G315" s="25"/>
      <c r="H315" s="25"/>
      <c r="I315" s="25"/>
      <c r="J315" s="25"/>
      <c r="K315" s="25"/>
      <c r="L315" s="25"/>
      <c r="M315" s="25"/>
      <c r="N315" s="25"/>
    </row>
    <row r="316" spans="1:14" s="39" customFormat="1">
      <c r="A316" s="47"/>
      <c r="B316" s="25"/>
      <c r="C316" s="25"/>
      <c r="D316" s="25"/>
      <c r="E316" s="25"/>
      <c r="F316" s="25"/>
      <c r="G316" s="25"/>
      <c r="H316" s="25"/>
      <c r="I316" s="25"/>
      <c r="J316" s="25"/>
      <c r="K316" s="25"/>
      <c r="L316" s="25"/>
      <c r="M316" s="25"/>
      <c r="N316" s="25"/>
    </row>
    <row r="317" spans="1:14" s="39" customFormat="1">
      <c r="A317" s="47"/>
      <c r="B317" s="25"/>
      <c r="C317" s="25"/>
      <c r="D317" s="25"/>
      <c r="E317" s="25"/>
      <c r="F317" s="25"/>
      <c r="G317" s="25"/>
      <c r="H317" s="25"/>
      <c r="I317" s="25"/>
      <c r="J317" s="25"/>
      <c r="K317" s="25"/>
      <c r="L317" s="25"/>
      <c r="M317" s="25"/>
      <c r="N317" s="25"/>
    </row>
    <row r="318" spans="1:14" s="39" customFormat="1">
      <c r="A318" s="47"/>
      <c r="B318" s="25"/>
      <c r="C318" s="25"/>
      <c r="D318" s="25"/>
      <c r="E318" s="25"/>
      <c r="F318" s="25"/>
      <c r="G318" s="25"/>
      <c r="H318" s="25"/>
      <c r="I318" s="25"/>
      <c r="J318" s="25"/>
      <c r="K318" s="25"/>
      <c r="L318" s="25"/>
      <c r="M318" s="25"/>
      <c r="N318" s="25"/>
    </row>
    <row r="319" spans="1:14" s="39" customFormat="1">
      <c r="A319" s="47"/>
      <c r="B319" s="25"/>
      <c r="C319" s="25"/>
      <c r="D319" s="25"/>
      <c r="E319" s="25"/>
      <c r="F319" s="25"/>
      <c r="G319" s="25"/>
      <c r="H319" s="25"/>
      <c r="I319" s="25"/>
      <c r="J319" s="25"/>
      <c r="K319" s="25"/>
      <c r="L319" s="25"/>
      <c r="M319" s="25"/>
      <c r="N319" s="25"/>
    </row>
    <row r="320" spans="1:14" s="39" customFormat="1">
      <c r="A320" s="47"/>
      <c r="B320" s="25"/>
      <c r="C320" s="25"/>
      <c r="D320" s="25"/>
      <c r="E320" s="25"/>
      <c r="F320" s="25"/>
      <c r="G320" s="25"/>
      <c r="H320" s="25"/>
      <c r="I320" s="25"/>
      <c r="J320" s="25"/>
      <c r="K320" s="25"/>
      <c r="L320" s="25"/>
      <c r="M320" s="25"/>
      <c r="N320" s="25"/>
    </row>
    <row r="321" spans="1:14" s="39" customFormat="1">
      <c r="A321" s="47"/>
      <c r="B321" s="25"/>
      <c r="C321" s="25"/>
      <c r="D321" s="25"/>
      <c r="E321" s="25"/>
      <c r="F321" s="25"/>
      <c r="G321" s="25"/>
      <c r="H321" s="25"/>
      <c r="I321" s="25"/>
      <c r="J321" s="25"/>
      <c r="K321" s="25"/>
      <c r="L321" s="25"/>
      <c r="M321" s="25"/>
      <c r="N321" s="25"/>
    </row>
    <row r="322" spans="1:14" s="39" customFormat="1">
      <c r="A322" s="47"/>
      <c r="B322" s="25"/>
      <c r="C322" s="25"/>
      <c r="D322" s="25"/>
      <c r="E322" s="25"/>
      <c r="F322" s="25"/>
      <c r="G322" s="25"/>
      <c r="H322" s="25"/>
      <c r="I322" s="25"/>
      <c r="J322" s="25"/>
      <c r="K322" s="25"/>
      <c r="L322" s="25"/>
      <c r="M322" s="25"/>
      <c r="N322" s="25"/>
    </row>
    <row r="323" spans="1:14" s="39" customFormat="1">
      <c r="A323" s="47"/>
      <c r="B323" s="25"/>
      <c r="C323" s="25"/>
      <c r="D323" s="25"/>
      <c r="E323" s="25"/>
      <c r="F323" s="25"/>
      <c r="G323" s="25"/>
      <c r="H323" s="25"/>
      <c r="I323" s="25"/>
      <c r="J323" s="25"/>
      <c r="K323" s="25"/>
      <c r="L323" s="25"/>
      <c r="M323" s="25"/>
      <c r="N323" s="25"/>
    </row>
    <row r="324" spans="1:14" s="39" customFormat="1">
      <c r="A324" s="47"/>
      <c r="B324" s="25"/>
      <c r="C324" s="25"/>
      <c r="D324" s="25"/>
      <c r="E324" s="25"/>
      <c r="F324" s="25"/>
      <c r="G324" s="25"/>
      <c r="H324" s="25"/>
      <c r="I324" s="25"/>
      <c r="J324" s="25"/>
      <c r="K324" s="25"/>
      <c r="L324" s="25"/>
      <c r="M324" s="25"/>
      <c r="N324" s="25"/>
    </row>
    <row r="325" spans="1:14" s="39" customFormat="1">
      <c r="A325" s="47"/>
      <c r="B325" s="25"/>
      <c r="C325" s="25"/>
      <c r="D325" s="25"/>
      <c r="E325" s="25"/>
      <c r="F325" s="25"/>
      <c r="G325" s="25"/>
      <c r="H325" s="25"/>
      <c r="I325" s="25"/>
      <c r="J325" s="25"/>
      <c r="K325" s="25"/>
      <c r="L325" s="25"/>
      <c r="M325" s="25"/>
      <c r="N325" s="25"/>
    </row>
    <row r="326" spans="1:14" s="39" customFormat="1">
      <c r="A326" s="47"/>
      <c r="B326" s="25"/>
      <c r="C326" s="25"/>
      <c r="D326" s="25"/>
      <c r="E326" s="25"/>
      <c r="F326" s="25"/>
      <c r="G326" s="25"/>
      <c r="H326" s="25"/>
      <c r="I326" s="25"/>
      <c r="J326" s="25"/>
      <c r="K326" s="25"/>
      <c r="L326" s="25"/>
      <c r="M326" s="25"/>
      <c r="N326" s="25"/>
    </row>
    <row r="327" spans="1:14" s="39" customFormat="1">
      <c r="A327" s="47"/>
      <c r="B327" s="25"/>
      <c r="C327" s="25"/>
      <c r="D327" s="25"/>
      <c r="E327" s="25"/>
      <c r="F327" s="25"/>
      <c r="G327" s="25"/>
      <c r="H327" s="25"/>
      <c r="I327" s="25"/>
      <c r="J327" s="25"/>
      <c r="K327" s="25"/>
      <c r="L327" s="25"/>
      <c r="M327" s="25"/>
      <c r="N327" s="25"/>
    </row>
    <row r="328" spans="1:14" s="39" customFormat="1">
      <c r="A328" s="47"/>
      <c r="B328" s="25"/>
      <c r="C328" s="25"/>
      <c r="D328" s="25"/>
      <c r="E328" s="25"/>
      <c r="F328" s="25"/>
      <c r="G328" s="25"/>
      <c r="H328" s="25"/>
      <c r="I328" s="25"/>
      <c r="J328" s="25"/>
      <c r="K328" s="25"/>
      <c r="L328" s="25"/>
      <c r="M328" s="25"/>
      <c r="N328" s="25"/>
    </row>
    <row r="329" spans="1:14" s="39" customFormat="1">
      <c r="A329" s="47"/>
      <c r="B329" s="25"/>
      <c r="C329" s="25"/>
      <c r="D329" s="25"/>
      <c r="E329" s="25"/>
      <c r="F329" s="25"/>
      <c r="G329" s="25"/>
      <c r="H329" s="25"/>
      <c r="I329" s="25"/>
      <c r="J329" s="25"/>
      <c r="K329" s="25"/>
      <c r="L329" s="25"/>
      <c r="M329" s="25"/>
      <c r="N329" s="25"/>
    </row>
    <row r="330" spans="1:14" s="39" customFormat="1">
      <c r="A330" s="47"/>
      <c r="B330" s="25"/>
      <c r="C330" s="25"/>
      <c r="D330" s="25"/>
      <c r="E330" s="25"/>
      <c r="F330" s="25"/>
      <c r="G330" s="25"/>
      <c r="H330" s="25"/>
      <c r="I330" s="25"/>
      <c r="J330" s="25"/>
      <c r="K330" s="25"/>
      <c r="L330" s="25"/>
      <c r="M330" s="25"/>
      <c r="N330" s="25"/>
    </row>
    <row r="331" spans="1:14" s="39" customFormat="1">
      <c r="A331" s="47"/>
      <c r="B331" s="25"/>
      <c r="C331" s="25"/>
      <c r="D331" s="25"/>
      <c r="E331" s="25"/>
      <c r="F331" s="25"/>
      <c r="G331" s="25"/>
      <c r="H331" s="25"/>
      <c r="I331" s="25"/>
      <c r="J331" s="25"/>
      <c r="K331" s="25"/>
      <c r="L331" s="25"/>
      <c r="M331" s="25"/>
      <c r="N331" s="25"/>
    </row>
    <row r="332" spans="1:14" s="39" customFormat="1">
      <c r="A332" s="47"/>
      <c r="B332" s="25"/>
      <c r="C332" s="25"/>
      <c r="D332" s="25"/>
      <c r="E332" s="25"/>
      <c r="F332" s="25"/>
      <c r="G332" s="25"/>
      <c r="H332" s="25"/>
      <c r="I332" s="25"/>
      <c r="J332" s="25"/>
      <c r="K332" s="25"/>
      <c r="L332" s="25"/>
      <c r="M332" s="25"/>
      <c r="N332" s="25"/>
    </row>
    <row r="333" spans="1:14" s="39" customFormat="1">
      <c r="A333" s="47"/>
      <c r="B333" s="25"/>
      <c r="C333" s="25"/>
      <c r="D333" s="25"/>
      <c r="E333" s="25"/>
      <c r="F333" s="25"/>
      <c r="G333" s="25"/>
      <c r="H333" s="25"/>
      <c r="I333" s="25"/>
      <c r="J333" s="25"/>
      <c r="K333" s="25"/>
      <c r="L333" s="25"/>
      <c r="M333" s="25"/>
      <c r="N333" s="25"/>
    </row>
    <row r="334" spans="1:14" s="39" customFormat="1">
      <c r="A334" s="47"/>
      <c r="B334" s="25"/>
      <c r="C334" s="25"/>
      <c r="D334" s="25"/>
      <c r="E334" s="25"/>
      <c r="F334" s="25"/>
      <c r="G334" s="25"/>
      <c r="H334" s="25"/>
      <c r="I334" s="25"/>
      <c r="J334" s="25"/>
      <c r="K334" s="25"/>
      <c r="L334" s="25"/>
      <c r="M334" s="25"/>
      <c r="N334" s="25"/>
    </row>
    <row r="335" spans="1:14" s="39" customFormat="1">
      <c r="A335" s="47"/>
      <c r="B335" s="25"/>
      <c r="C335" s="25"/>
      <c r="D335" s="25"/>
      <c r="E335" s="25"/>
      <c r="F335" s="25"/>
      <c r="G335" s="25"/>
      <c r="H335" s="25"/>
      <c r="I335" s="25"/>
      <c r="J335" s="25"/>
      <c r="K335" s="25"/>
      <c r="L335" s="25"/>
      <c r="M335" s="25"/>
      <c r="N335" s="25"/>
    </row>
    <row r="336" spans="1:14" s="39" customFormat="1">
      <c r="A336" s="47"/>
      <c r="B336" s="25"/>
      <c r="C336" s="25"/>
      <c r="D336" s="25"/>
      <c r="E336" s="25"/>
      <c r="F336" s="25"/>
      <c r="G336" s="25"/>
      <c r="H336" s="25"/>
      <c r="I336" s="25"/>
      <c r="J336" s="25"/>
      <c r="K336" s="25"/>
      <c r="L336" s="25"/>
      <c r="M336" s="25"/>
      <c r="N336" s="25"/>
    </row>
    <row r="337" spans="1:14" s="39" customFormat="1">
      <c r="A337" s="47"/>
      <c r="B337" s="25"/>
      <c r="C337" s="25"/>
      <c r="D337" s="25"/>
      <c r="E337" s="25"/>
      <c r="F337" s="25"/>
      <c r="G337" s="25"/>
      <c r="H337" s="25"/>
      <c r="I337" s="25"/>
      <c r="J337" s="25"/>
      <c r="K337" s="25"/>
      <c r="L337" s="25"/>
      <c r="M337" s="25"/>
      <c r="N337" s="25"/>
    </row>
    <row r="338" spans="1:14" s="39" customFormat="1">
      <c r="A338" s="47"/>
      <c r="B338" s="25"/>
      <c r="C338" s="25"/>
      <c r="D338" s="25"/>
      <c r="E338" s="25"/>
      <c r="F338" s="25"/>
      <c r="G338" s="25"/>
      <c r="H338" s="25"/>
      <c r="I338" s="25"/>
      <c r="J338" s="25"/>
      <c r="K338" s="25"/>
      <c r="L338" s="25"/>
      <c r="M338" s="25"/>
      <c r="N338" s="25"/>
    </row>
    <row r="339" spans="1:14" s="39" customFormat="1">
      <c r="A339" s="47"/>
      <c r="B339" s="25"/>
      <c r="C339" s="25"/>
      <c r="D339" s="25"/>
      <c r="E339" s="25"/>
      <c r="F339" s="25"/>
      <c r="G339" s="25"/>
      <c r="H339" s="25"/>
      <c r="I339" s="25"/>
      <c r="J339" s="25"/>
      <c r="K339" s="25"/>
      <c r="L339" s="25"/>
      <c r="M339" s="25"/>
      <c r="N339" s="25"/>
    </row>
    <row r="340" spans="1:14" s="39" customFormat="1">
      <c r="A340" s="47"/>
      <c r="B340" s="25"/>
      <c r="C340" s="25"/>
      <c r="D340" s="25"/>
      <c r="E340" s="25"/>
      <c r="F340" s="25"/>
      <c r="G340" s="25"/>
      <c r="H340" s="25"/>
      <c r="I340" s="25"/>
      <c r="J340" s="25"/>
      <c r="K340" s="25"/>
      <c r="L340" s="25"/>
      <c r="M340" s="25"/>
      <c r="N340" s="25"/>
    </row>
    <row r="341" spans="1:14" s="39" customFormat="1">
      <c r="A341" s="47"/>
      <c r="B341" s="25"/>
      <c r="C341" s="25"/>
      <c r="D341" s="25"/>
      <c r="E341" s="25"/>
      <c r="F341" s="25"/>
      <c r="G341" s="25"/>
      <c r="H341" s="25"/>
      <c r="I341" s="25"/>
      <c r="J341" s="25"/>
      <c r="K341" s="25"/>
      <c r="L341" s="25"/>
      <c r="M341" s="25"/>
      <c r="N341" s="25"/>
    </row>
    <row r="342" spans="1:14" s="39" customFormat="1">
      <c r="A342" s="47"/>
      <c r="B342" s="25"/>
      <c r="C342" s="25"/>
      <c r="D342" s="25"/>
      <c r="E342" s="25"/>
      <c r="F342" s="25"/>
      <c r="G342" s="25"/>
      <c r="H342" s="25"/>
      <c r="I342" s="25"/>
      <c r="J342" s="25"/>
      <c r="K342" s="25"/>
      <c r="L342" s="25"/>
      <c r="M342" s="25"/>
      <c r="N342" s="25"/>
    </row>
    <row r="343" spans="1:14" s="39" customFormat="1">
      <c r="A343" s="47"/>
      <c r="B343" s="25"/>
      <c r="C343" s="25"/>
      <c r="D343" s="25"/>
      <c r="E343" s="25"/>
      <c r="F343" s="25"/>
      <c r="G343" s="25"/>
      <c r="H343" s="25"/>
      <c r="I343" s="25"/>
      <c r="J343" s="25"/>
      <c r="K343" s="25"/>
      <c r="L343" s="25"/>
      <c r="M343" s="25"/>
      <c r="N343" s="25"/>
    </row>
    <row r="344" spans="1:14" s="39" customFormat="1">
      <c r="A344" s="47"/>
      <c r="B344" s="25"/>
      <c r="C344" s="25"/>
      <c r="D344" s="25"/>
      <c r="E344" s="25"/>
      <c r="F344" s="25"/>
      <c r="G344" s="25"/>
      <c r="H344" s="25"/>
      <c r="I344" s="25"/>
      <c r="J344" s="25"/>
      <c r="K344" s="25"/>
      <c r="L344" s="25"/>
      <c r="M344" s="25"/>
      <c r="N344" s="25"/>
    </row>
    <row r="345" spans="1:14" s="39" customFormat="1">
      <c r="A345" s="47"/>
      <c r="B345" s="25"/>
      <c r="C345" s="25"/>
      <c r="D345" s="25"/>
      <c r="E345" s="25"/>
      <c r="F345" s="25"/>
      <c r="G345" s="25"/>
      <c r="H345" s="25"/>
      <c r="I345" s="25"/>
      <c r="J345" s="25"/>
      <c r="K345" s="25"/>
      <c r="L345" s="25"/>
      <c r="M345" s="25"/>
      <c r="N345" s="25"/>
    </row>
    <row r="346" spans="1:14" s="39" customFormat="1">
      <c r="A346" s="47"/>
      <c r="B346" s="25"/>
      <c r="C346" s="25"/>
      <c r="D346" s="25"/>
      <c r="E346" s="25"/>
      <c r="F346" s="25"/>
      <c r="G346" s="25"/>
      <c r="H346" s="25"/>
      <c r="I346" s="25"/>
      <c r="J346" s="25"/>
      <c r="K346" s="25"/>
      <c r="L346" s="25"/>
      <c r="M346" s="25"/>
      <c r="N346" s="25"/>
    </row>
    <row r="347" spans="1:14" s="39" customFormat="1">
      <c r="A347" s="47"/>
      <c r="B347" s="25"/>
      <c r="C347" s="25"/>
      <c r="D347" s="25"/>
      <c r="E347" s="25"/>
      <c r="F347" s="25"/>
      <c r="G347" s="25"/>
      <c r="H347" s="25"/>
      <c r="I347" s="25"/>
      <c r="J347" s="25"/>
      <c r="K347" s="25"/>
      <c r="L347" s="25"/>
      <c r="M347" s="25"/>
      <c r="N347" s="25"/>
    </row>
    <row r="348" spans="1:14" s="39" customFormat="1">
      <c r="A348" s="47"/>
      <c r="B348" s="25"/>
      <c r="C348" s="25"/>
      <c r="D348" s="25"/>
      <c r="E348" s="25"/>
      <c r="F348" s="25"/>
      <c r="G348" s="25"/>
      <c r="H348" s="25"/>
      <c r="I348" s="25"/>
      <c r="J348" s="25"/>
      <c r="K348" s="25"/>
      <c r="L348" s="25"/>
      <c r="M348" s="25"/>
      <c r="N348" s="25"/>
    </row>
    <row r="349" spans="1:14" s="39" customFormat="1">
      <c r="A349" s="47"/>
      <c r="B349" s="25"/>
      <c r="C349" s="25"/>
      <c r="D349" s="25"/>
      <c r="E349" s="25"/>
      <c r="F349" s="25"/>
      <c r="G349" s="25"/>
      <c r="H349" s="25"/>
      <c r="I349" s="25"/>
      <c r="J349" s="25"/>
      <c r="K349" s="25"/>
      <c r="L349" s="25"/>
      <c r="M349" s="25"/>
      <c r="N349" s="25"/>
    </row>
    <row r="350" spans="1:14" s="39" customFormat="1">
      <c r="A350" s="47"/>
      <c r="B350" s="25"/>
      <c r="C350" s="25"/>
      <c r="D350" s="25"/>
      <c r="E350" s="25"/>
      <c r="F350" s="25"/>
      <c r="G350" s="25"/>
      <c r="H350" s="25"/>
      <c r="I350" s="25"/>
      <c r="J350" s="25"/>
      <c r="K350" s="25"/>
      <c r="L350" s="25"/>
      <c r="M350" s="25"/>
      <c r="N350" s="25"/>
    </row>
    <row r="351" spans="1:14" s="39" customFormat="1">
      <c r="A351" s="47"/>
      <c r="B351" s="25"/>
      <c r="C351" s="25"/>
      <c r="D351" s="25"/>
      <c r="E351" s="25"/>
      <c r="F351" s="25"/>
      <c r="G351" s="25"/>
      <c r="H351" s="25"/>
      <c r="I351" s="25"/>
      <c r="J351" s="25"/>
      <c r="K351" s="25"/>
      <c r="L351" s="25"/>
      <c r="M351" s="25"/>
      <c r="N351" s="25"/>
    </row>
    <row r="352" spans="1:14" s="39" customFormat="1">
      <c r="A352" s="47"/>
      <c r="B352" s="25"/>
      <c r="C352" s="25"/>
      <c r="D352" s="25"/>
      <c r="E352" s="25"/>
      <c r="F352" s="25"/>
      <c r="G352" s="25"/>
      <c r="H352" s="25"/>
      <c r="I352" s="25"/>
      <c r="J352" s="25"/>
      <c r="K352" s="25"/>
      <c r="L352" s="25"/>
      <c r="M352" s="25"/>
      <c r="N352" s="25"/>
    </row>
    <row r="353" spans="1:14" s="39" customFormat="1">
      <c r="A353" s="47"/>
      <c r="B353" s="25"/>
      <c r="C353" s="25"/>
      <c r="D353" s="25"/>
      <c r="E353" s="25"/>
      <c r="F353" s="25"/>
      <c r="G353" s="25"/>
      <c r="H353" s="25"/>
      <c r="I353" s="25"/>
      <c r="J353" s="25"/>
      <c r="K353" s="25"/>
      <c r="L353" s="25"/>
      <c r="M353" s="25"/>
      <c r="N353" s="25"/>
    </row>
    <row r="354" spans="1:14" s="39" customFormat="1">
      <c r="A354" s="47"/>
      <c r="B354" s="25"/>
      <c r="C354" s="25"/>
      <c r="D354" s="25"/>
      <c r="E354" s="25"/>
      <c r="F354" s="25"/>
      <c r="G354" s="25"/>
      <c r="H354" s="25"/>
      <c r="I354" s="25"/>
      <c r="J354" s="25"/>
      <c r="K354" s="25"/>
      <c r="L354" s="25"/>
      <c r="M354" s="25"/>
      <c r="N354" s="25"/>
    </row>
    <row r="355" spans="1:14" s="39" customFormat="1">
      <c r="A355" s="47"/>
      <c r="B355" s="25"/>
      <c r="C355" s="25"/>
      <c r="D355" s="25"/>
      <c r="E355" s="25"/>
      <c r="F355" s="25"/>
      <c r="G355" s="25"/>
      <c r="H355" s="25"/>
      <c r="I355" s="25"/>
      <c r="J355" s="25"/>
      <c r="K355" s="25"/>
      <c r="L355" s="25"/>
      <c r="M355" s="25"/>
      <c r="N355" s="25"/>
    </row>
    <row r="356" spans="1:14" s="39" customFormat="1">
      <c r="A356" s="47"/>
      <c r="B356" s="25"/>
      <c r="C356" s="25"/>
      <c r="D356" s="25"/>
      <c r="E356" s="25"/>
      <c r="F356" s="25"/>
      <c r="G356" s="25"/>
      <c r="H356" s="25"/>
      <c r="I356" s="25"/>
      <c r="J356" s="25"/>
      <c r="K356" s="25"/>
      <c r="L356" s="25"/>
      <c r="M356" s="25"/>
      <c r="N356" s="25"/>
    </row>
    <row r="357" spans="1:14" s="39" customFormat="1">
      <c r="A357" s="47"/>
      <c r="B357" s="25"/>
      <c r="C357" s="25"/>
      <c r="D357" s="25"/>
      <c r="E357" s="25"/>
      <c r="F357" s="25"/>
      <c r="G357" s="25"/>
      <c r="H357" s="25"/>
      <c r="I357" s="25"/>
      <c r="J357" s="25"/>
      <c r="K357" s="25"/>
      <c r="L357" s="25"/>
      <c r="M357" s="25"/>
      <c r="N357" s="25"/>
    </row>
    <row r="358" spans="1:14" s="39" customFormat="1">
      <c r="A358" s="44"/>
      <c r="B358" s="25"/>
      <c r="C358" s="25"/>
      <c r="D358" s="25"/>
      <c r="E358" s="25"/>
      <c r="F358" s="25"/>
      <c r="G358" s="25"/>
      <c r="H358" s="25"/>
      <c r="I358" s="25"/>
      <c r="J358" s="25"/>
      <c r="K358" s="25"/>
      <c r="L358" s="25"/>
      <c r="M358" s="25"/>
      <c r="N358" s="25"/>
    </row>
  </sheetData>
  <mergeCells count="18">
    <mergeCell ref="AE37:AE39"/>
    <mergeCell ref="AE16:AE20"/>
    <mergeCell ref="O28:O29"/>
    <mergeCell ref="O37:O39"/>
    <mergeCell ref="A2:O2"/>
    <mergeCell ref="A4:O4"/>
    <mergeCell ref="A5:A6"/>
    <mergeCell ref="B5:B6"/>
    <mergeCell ref="C5:C6"/>
    <mergeCell ref="O5:O6"/>
    <mergeCell ref="A3:O3"/>
    <mergeCell ref="K5:L5"/>
    <mergeCell ref="B48:C48"/>
    <mergeCell ref="M5:M6"/>
    <mergeCell ref="N5:N6"/>
    <mergeCell ref="D5:D6"/>
    <mergeCell ref="I5:J5"/>
    <mergeCell ref="E5:H6"/>
  </mergeCells>
  <pageMargins left="0.75" right="0.41" top="0.74803149606299202" bottom="0.74803149606299202" header="0.31496062992126" footer="0.31496062992126"/>
  <pageSetup paperSize="9" scale="7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AJ39"/>
  <sheetViews>
    <sheetView view="pageBreakPreview" zoomScale="85" zoomScaleNormal="70" zoomScaleSheetLayoutView="85" workbookViewId="0">
      <selection activeCell="J9" sqref="J9"/>
    </sheetView>
  </sheetViews>
  <sheetFormatPr defaultRowHeight="15.6"/>
  <cols>
    <col min="1" max="1" width="4.8984375" style="516" customWidth="1"/>
    <col min="2" max="2" width="49.19921875" style="16" customWidth="1"/>
    <col min="3" max="3" width="15.09765625" style="16" customWidth="1"/>
    <col min="4" max="4" width="13.8984375" style="546" customWidth="1"/>
    <col min="5" max="5" width="11.09765625" style="67" customWidth="1"/>
    <col min="6" max="6" width="12.5" style="546" hidden="1" customWidth="1"/>
    <col min="7" max="7" width="13.59765625" style="547" hidden="1" customWidth="1"/>
    <col min="8" max="12" width="13.19921875" style="547" customWidth="1"/>
    <col min="13" max="13" width="13.19921875" style="547" hidden="1" customWidth="1"/>
    <col min="14" max="14" width="13" style="548" customWidth="1"/>
    <col min="15" max="15" width="15" style="16" hidden="1" customWidth="1"/>
    <col min="16" max="16" width="14" style="16" hidden="1" customWidth="1"/>
    <col min="17" max="17" width="16.5" style="16" hidden="1" customWidth="1"/>
    <col min="18" max="18" width="17.3984375" style="16" hidden="1" customWidth="1"/>
    <col min="19" max="19" width="20.19921875" style="16" hidden="1" customWidth="1"/>
    <col min="20" max="20" width="17.69921875" style="16" hidden="1" customWidth="1"/>
    <col min="21" max="26" width="0" style="16" hidden="1" customWidth="1"/>
    <col min="27" max="30" width="12.69921875" style="16" hidden="1" customWidth="1"/>
    <col min="31" max="31" width="16.5" style="16" hidden="1" customWidth="1"/>
    <col min="32" max="32" width="15.19921875" style="16" hidden="1" customWidth="1"/>
    <col min="33" max="35" width="14.09765625" style="16" hidden="1" customWidth="1"/>
    <col min="36" max="37" width="0" style="16" hidden="1" customWidth="1"/>
    <col min="38" max="243" width="9" style="16"/>
    <col min="244" max="244" width="7.5" style="16" customWidth="1"/>
    <col min="245" max="245" width="55.19921875" style="16" customWidth="1"/>
    <col min="246" max="246" width="16.09765625" style="16" customWidth="1"/>
    <col min="247" max="262" width="0" style="16" hidden="1" customWidth="1"/>
    <col min="263" max="263" width="11.3984375" style="16" customWidth="1"/>
    <col min="264" max="264" width="14.8984375" style="16" customWidth="1"/>
    <col min="265" max="268" width="0" style="16" hidden="1" customWidth="1"/>
    <col min="269" max="499" width="9" style="16"/>
    <col min="500" max="500" width="7.5" style="16" customWidth="1"/>
    <col min="501" max="501" width="55.19921875" style="16" customWidth="1"/>
    <col min="502" max="502" width="16.09765625" style="16" customWidth="1"/>
    <col min="503" max="518" width="0" style="16" hidden="1" customWidth="1"/>
    <col min="519" max="519" width="11.3984375" style="16" customWidth="1"/>
    <col min="520" max="520" width="14.8984375" style="16" customWidth="1"/>
    <col min="521" max="524" width="0" style="16" hidden="1" customWidth="1"/>
    <col min="525" max="755" width="9" style="16"/>
    <col min="756" max="756" width="7.5" style="16" customWidth="1"/>
    <col min="757" max="757" width="55.19921875" style="16" customWidth="1"/>
    <col min="758" max="758" width="16.09765625" style="16" customWidth="1"/>
    <col min="759" max="774" width="0" style="16" hidden="1" customWidth="1"/>
    <col min="775" max="775" width="11.3984375" style="16" customWidth="1"/>
    <col min="776" max="776" width="14.8984375" style="16" customWidth="1"/>
    <col min="777" max="780" width="0" style="16" hidden="1" customWidth="1"/>
    <col min="781" max="1011" width="9" style="16"/>
    <col min="1012" max="1012" width="7.5" style="16" customWidth="1"/>
    <col min="1013" max="1013" width="55.19921875" style="16" customWidth="1"/>
    <col min="1014" max="1014" width="16.09765625" style="16" customWidth="1"/>
    <col min="1015" max="1030" width="0" style="16" hidden="1" customWidth="1"/>
    <col min="1031" max="1031" width="11.3984375" style="16" customWidth="1"/>
    <col min="1032" max="1032" width="14.8984375" style="16" customWidth="1"/>
    <col min="1033" max="1036" width="0" style="16" hidden="1" customWidth="1"/>
    <col min="1037" max="1267" width="9" style="16"/>
    <col min="1268" max="1268" width="7.5" style="16" customWidth="1"/>
    <col min="1269" max="1269" width="55.19921875" style="16" customWidth="1"/>
    <col min="1270" max="1270" width="16.09765625" style="16" customWidth="1"/>
    <col min="1271" max="1286" width="0" style="16" hidden="1" customWidth="1"/>
    <col min="1287" max="1287" width="11.3984375" style="16" customWidth="1"/>
    <col min="1288" max="1288" width="14.8984375" style="16" customWidth="1"/>
    <col min="1289" max="1292" width="0" style="16" hidden="1" customWidth="1"/>
    <col min="1293" max="1523" width="9" style="16"/>
    <col min="1524" max="1524" width="7.5" style="16" customWidth="1"/>
    <col min="1525" max="1525" width="55.19921875" style="16" customWidth="1"/>
    <col min="1526" max="1526" width="16.09765625" style="16" customWidth="1"/>
    <col min="1527" max="1542" width="0" style="16" hidden="1" customWidth="1"/>
    <col min="1543" max="1543" width="11.3984375" style="16" customWidth="1"/>
    <col min="1544" max="1544" width="14.8984375" style="16" customWidth="1"/>
    <col min="1545" max="1548" width="0" style="16" hidden="1" customWidth="1"/>
    <col min="1549" max="1779" width="9" style="16"/>
    <col min="1780" max="1780" width="7.5" style="16" customWidth="1"/>
    <col min="1781" max="1781" width="55.19921875" style="16" customWidth="1"/>
    <col min="1782" max="1782" width="16.09765625" style="16" customWidth="1"/>
    <col min="1783" max="1798" width="0" style="16" hidden="1" customWidth="1"/>
    <col min="1799" max="1799" width="11.3984375" style="16" customWidth="1"/>
    <col min="1800" max="1800" width="14.8984375" style="16" customWidth="1"/>
    <col min="1801" max="1804" width="0" style="16" hidden="1" customWidth="1"/>
    <col min="1805" max="2035" width="9" style="16"/>
    <col min="2036" max="2036" width="7.5" style="16" customWidth="1"/>
    <col min="2037" max="2037" width="55.19921875" style="16" customWidth="1"/>
    <col min="2038" max="2038" width="16.09765625" style="16" customWidth="1"/>
    <col min="2039" max="2054" width="0" style="16" hidden="1" customWidth="1"/>
    <col min="2055" max="2055" width="11.3984375" style="16" customWidth="1"/>
    <col min="2056" max="2056" width="14.8984375" style="16" customWidth="1"/>
    <col min="2057" max="2060" width="0" style="16" hidden="1" customWidth="1"/>
    <col min="2061" max="2291" width="9" style="16"/>
    <col min="2292" max="2292" width="7.5" style="16" customWidth="1"/>
    <col min="2293" max="2293" width="55.19921875" style="16" customWidth="1"/>
    <col min="2294" max="2294" width="16.09765625" style="16" customWidth="1"/>
    <col min="2295" max="2310" width="0" style="16" hidden="1" customWidth="1"/>
    <col min="2311" max="2311" width="11.3984375" style="16" customWidth="1"/>
    <col min="2312" max="2312" width="14.8984375" style="16" customWidth="1"/>
    <col min="2313" max="2316" width="0" style="16" hidden="1" customWidth="1"/>
    <col min="2317" max="2547" width="9" style="16"/>
    <col min="2548" max="2548" width="7.5" style="16" customWidth="1"/>
    <col min="2549" max="2549" width="55.19921875" style="16" customWidth="1"/>
    <col min="2550" max="2550" width="16.09765625" style="16" customWidth="1"/>
    <col min="2551" max="2566" width="0" style="16" hidden="1" customWidth="1"/>
    <col min="2567" max="2567" width="11.3984375" style="16" customWidth="1"/>
    <col min="2568" max="2568" width="14.8984375" style="16" customWidth="1"/>
    <col min="2569" max="2572" width="0" style="16" hidden="1" customWidth="1"/>
    <col min="2573" max="2803" width="9" style="16"/>
    <col min="2804" max="2804" width="7.5" style="16" customWidth="1"/>
    <col min="2805" max="2805" width="55.19921875" style="16" customWidth="1"/>
    <col min="2806" max="2806" width="16.09765625" style="16" customWidth="1"/>
    <col min="2807" max="2822" width="0" style="16" hidden="1" customWidth="1"/>
    <col min="2823" max="2823" width="11.3984375" style="16" customWidth="1"/>
    <col min="2824" max="2824" width="14.8984375" style="16" customWidth="1"/>
    <col min="2825" max="2828" width="0" style="16" hidden="1" customWidth="1"/>
    <col min="2829" max="3059" width="9" style="16"/>
    <col min="3060" max="3060" width="7.5" style="16" customWidth="1"/>
    <col min="3061" max="3061" width="55.19921875" style="16" customWidth="1"/>
    <col min="3062" max="3062" width="16.09765625" style="16" customWidth="1"/>
    <col min="3063" max="3078" width="0" style="16" hidden="1" customWidth="1"/>
    <col min="3079" max="3079" width="11.3984375" style="16" customWidth="1"/>
    <col min="3080" max="3080" width="14.8984375" style="16" customWidth="1"/>
    <col min="3081" max="3084" width="0" style="16" hidden="1" customWidth="1"/>
    <col min="3085" max="3315" width="9" style="16"/>
    <col min="3316" max="3316" width="7.5" style="16" customWidth="1"/>
    <col min="3317" max="3317" width="55.19921875" style="16" customWidth="1"/>
    <col min="3318" max="3318" width="16.09765625" style="16" customWidth="1"/>
    <col min="3319" max="3334" width="0" style="16" hidden="1" customWidth="1"/>
    <col min="3335" max="3335" width="11.3984375" style="16" customWidth="1"/>
    <col min="3336" max="3336" width="14.8984375" style="16" customWidth="1"/>
    <col min="3337" max="3340" width="0" style="16" hidden="1" customWidth="1"/>
    <col min="3341" max="3571" width="9" style="16"/>
    <col min="3572" max="3572" width="7.5" style="16" customWidth="1"/>
    <col min="3573" max="3573" width="55.19921875" style="16" customWidth="1"/>
    <col min="3574" max="3574" width="16.09765625" style="16" customWidth="1"/>
    <col min="3575" max="3590" width="0" style="16" hidden="1" customWidth="1"/>
    <col min="3591" max="3591" width="11.3984375" style="16" customWidth="1"/>
    <col min="3592" max="3592" width="14.8984375" style="16" customWidth="1"/>
    <col min="3593" max="3596" width="0" style="16" hidden="1" customWidth="1"/>
    <col min="3597" max="3827" width="9" style="16"/>
    <col min="3828" max="3828" width="7.5" style="16" customWidth="1"/>
    <col min="3829" max="3829" width="55.19921875" style="16" customWidth="1"/>
    <col min="3830" max="3830" width="16.09765625" style="16" customWidth="1"/>
    <col min="3831" max="3846" width="0" style="16" hidden="1" customWidth="1"/>
    <col min="3847" max="3847" width="11.3984375" style="16" customWidth="1"/>
    <col min="3848" max="3848" width="14.8984375" style="16" customWidth="1"/>
    <col min="3849" max="3852" width="0" style="16" hidden="1" customWidth="1"/>
    <col min="3853" max="4083" width="9" style="16"/>
    <col min="4084" max="4084" width="7.5" style="16" customWidth="1"/>
    <col min="4085" max="4085" width="55.19921875" style="16" customWidth="1"/>
    <col min="4086" max="4086" width="16.09765625" style="16" customWidth="1"/>
    <col min="4087" max="4102" width="0" style="16" hidden="1" customWidth="1"/>
    <col min="4103" max="4103" width="11.3984375" style="16" customWidth="1"/>
    <col min="4104" max="4104" width="14.8984375" style="16" customWidth="1"/>
    <col min="4105" max="4108" width="0" style="16" hidden="1" customWidth="1"/>
    <col min="4109" max="4339" width="9" style="16"/>
    <col min="4340" max="4340" width="7.5" style="16" customWidth="1"/>
    <col min="4341" max="4341" width="55.19921875" style="16" customWidth="1"/>
    <col min="4342" max="4342" width="16.09765625" style="16" customWidth="1"/>
    <col min="4343" max="4358" width="0" style="16" hidden="1" customWidth="1"/>
    <col min="4359" max="4359" width="11.3984375" style="16" customWidth="1"/>
    <col min="4360" max="4360" width="14.8984375" style="16" customWidth="1"/>
    <col min="4361" max="4364" width="0" style="16" hidden="1" customWidth="1"/>
    <col min="4365" max="4595" width="9" style="16"/>
    <col min="4596" max="4596" width="7.5" style="16" customWidth="1"/>
    <col min="4597" max="4597" width="55.19921875" style="16" customWidth="1"/>
    <col min="4598" max="4598" width="16.09765625" style="16" customWidth="1"/>
    <col min="4599" max="4614" width="0" style="16" hidden="1" customWidth="1"/>
    <col min="4615" max="4615" width="11.3984375" style="16" customWidth="1"/>
    <col min="4616" max="4616" width="14.8984375" style="16" customWidth="1"/>
    <col min="4617" max="4620" width="0" style="16" hidden="1" customWidth="1"/>
    <col min="4621" max="4851" width="9" style="16"/>
    <col min="4852" max="4852" width="7.5" style="16" customWidth="1"/>
    <col min="4853" max="4853" width="55.19921875" style="16" customWidth="1"/>
    <col min="4854" max="4854" width="16.09765625" style="16" customWidth="1"/>
    <col min="4855" max="4870" width="0" style="16" hidden="1" customWidth="1"/>
    <col min="4871" max="4871" width="11.3984375" style="16" customWidth="1"/>
    <col min="4872" max="4872" width="14.8984375" style="16" customWidth="1"/>
    <col min="4873" max="4876" width="0" style="16" hidden="1" customWidth="1"/>
    <col min="4877" max="5107" width="9" style="16"/>
    <col min="5108" max="5108" width="7.5" style="16" customWidth="1"/>
    <col min="5109" max="5109" width="55.19921875" style="16" customWidth="1"/>
    <col min="5110" max="5110" width="16.09765625" style="16" customWidth="1"/>
    <col min="5111" max="5126" width="0" style="16" hidden="1" customWidth="1"/>
    <col min="5127" max="5127" width="11.3984375" style="16" customWidth="1"/>
    <col min="5128" max="5128" width="14.8984375" style="16" customWidth="1"/>
    <col min="5129" max="5132" width="0" style="16" hidden="1" customWidth="1"/>
    <col min="5133" max="5363" width="9" style="16"/>
    <col min="5364" max="5364" width="7.5" style="16" customWidth="1"/>
    <col min="5365" max="5365" width="55.19921875" style="16" customWidth="1"/>
    <col min="5366" max="5366" width="16.09765625" style="16" customWidth="1"/>
    <col min="5367" max="5382" width="0" style="16" hidden="1" customWidth="1"/>
    <col min="5383" max="5383" width="11.3984375" style="16" customWidth="1"/>
    <col min="5384" max="5384" width="14.8984375" style="16" customWidth="1"/>
    <col min="5385" max="5388" width="0" style="16" hidden="1" customWidth="1"/>
    <col min="5389" max="5619" width="9" style="16"/>
    <col min="5620" max="5620" width="7.5" style="16" customWidth="1"/>
    <col min="5621" max="5621" width="55.19921875" style="16" customWidth="1"/>
    <col min="5622" max="5622" width="16.09765625" style="16" customWidth="1"/>
    <col min="5623" max="5638" width="0" style="16" hidden="1" customWidth="1"/>
    <col min="5639" max="5639" width="11.3984375" style="16" customWidth="1"/>
    <col min="5640" max="5640" width="14.8984375" style="16" customWidth="1"/>
    <col min="5641" max="5644" width="0" style="16" hidden="1" customWidth="1"/>
    <col min="5645" max="5875" width="9" style="16"/>
    <col min="5876" max="5876" width="7.5" style="16" customWidth="1"/>
    <col min="5877" max="5877" width="55.19921875" style="16" customWidth="1"/>
    <col min="5878" max="5878" width="16.09765625" style="16" customWidth="1"/>
    <col min="5879" max="5894" width="0" style="16" hidden="1" customWidth="1"/>
    <col min="5895" max="5895" width="11.3984375" style="16" customWidth="1"/>
    <col min="5896" max="5896" width="14.8984375" style="16" customWidth="1"/>
    <col min="5897" max="5900" width="0" style="16" hidden="1" customWidth="1"/>
    <col min="5901" max="6131" width="9" style="16"/>
    <col min="6132" max="6132" width="7.5" style="16" customWidth="1"/>
    <col min="6133" max="6133" width="55.19921875" style="16" customWidth="1"/>
    <col min="6134" max="6134" width="16.09765625" style="16" customWidth="1"/>
    <col min="6135" max="6150" width="0" style="16" hidden="1" customWidth="1"/>
    <col min="6151" max="6151" width="11.3984375" style="16" customWidth="1"/>
    <col min="6152" max="6152" width="14.8984375" style="16" customWidth="1"/>
    <col min="6153" max="6156" width="0" style="16" hidden="1" customWidth="1"/>
    <col min="6157" max="6387" width="9" style="16"/>
    <col min="6388" max="6388" width="7.5" style="16" customWidth="1"/>
    <col min="6389" max="6389" width="55.19921875" style="16" customWidth="1"/>
    <col min="6390" max="6390" width="16.09765625" style="16" customWidth="1"/>
    <col min="6391" max="6406" width="0" style="16" hidden="1" customWidth="1"/>
    <col min="6407" max="6407" width="11.3984375" style="16" customWidth="1"/>
    <col min="6408" max="6408" width="14.8984375" style="16" customWidth="1"/>
    <col min="6409" max="6412" width="0" style="16" hidden="1" customWidth="1"/>
    <col min="6413" max="6643" width="9" style="16"/>
    <col min="6644" max="6644" width="7.5" style="16" customWidth="1"/>
    <col min="6645" max="6645" width="55.19921875" style="16" customWidth="1"/>
    <col min="6646" max="6646" width="16.09765625" style="16" customWidth="1"/>
    <col min="6647" max="6662" width="0" style="16" hidden="1" customWidth="1"/>
    <col min="6663" max="6663" width="11.3984375" style="16" customWidth="1"/>
    <col min="6664" max="6664" width="14.8984375" style="16" customWidth="1"/>
    <col min="6665" max="6668" width="0" style="16" hidden="1" customWidth="1"/>
    <col min="6669" max="6899" width="9" style="16"/>
    <col min="6900" max="6900" width="7.5" style="16" customWidth="1"/>
    <col min="6901" max="6901" width="55.19921875" style="16" customWidth="1"/>
    <col min="6902" max="6902" width="16.09765625" style="16" customWidth="1"/>
    <col min="6903" max="6918" width="0" style="16" hidden="1" customWidth="1"/>
    <col min="6919" max="6919" width="11.3984375" style="16" customWidth="1"/>
    <col min="6920" max="6920" width="14.8984375" style="16" customWidth="1"/>
    <col min="6921" max="6924" width="0" style="16" hidden="1" customWidth="1"/>
    <col min="6925" max="7155" width="9" style="16"/>
    <col min="7156" max="7156" width="7.5" style="16" customWidth="1"/>
    <col min="7157" max="7157" width="55.19921875" style="16" customWidth="1"/>
    <col min="7158" max="7158" width="16.09765625" style="16" customWidth="1"/>
    <col min="7159" max="7174" width="0" style="16" hidden="1" customWidth="1"/>
    <col min="7175" max="7175" width="11.3984375" style="16" customWidth="1"/>
    <col min="7176" max="7176" width="14.8984375" style="16" customWidth="1"/>
    <col min="7177" max="7180" width="0" style="16" hidden="1" customWidth="1"/>
    <col min="7181" max="7411" width="9" style="16"/>
    <col min="7412" max="7412" width="7.5" style="16" customWidth="1"/>
    <col min="7413" max="7413" width="55.19921875" style="16" customWidth="1"/>
    <col min="7414" max="7414" width="16.09765625" style="16" customWidth="1"/>
    <col min="7415" max="7430" width="0" style="16" hidden="1" customWidth="1"/>
    <col min="7431" max="7431" width="11.3984375" style="16" customWidth="1"/>
    <col min="7432" max="7432" width="14.8984375" style="16" customWidth="1"/>
    <col min="7433" max="7436" width="0" style="16" hidden="1" customWidth="1"/>
    <col min="7437" max="7667" width="9" style="16"/>
    <col min="7668" max="7668" width="7.5" style="16" customWidth="1"/>
    <col min="7669" max="7669" width="55.19921875" style="16" customWidth="1"/>
    <col min="7670" max="7670" width="16.09765625" style="16" customWidth="1"/>
    <col min="7671" max="7686" width="0" style="16" hidden="1" customWidth="1"/>
    <col min="7687" max="7687" width="11.3984375" style="16" customWidth="1"/>
    <col min="7688" max="7688" width="14.8984375" style="16" customWidth="1"/>
    <col min="7689" max="7692" width="0" style="16" hidden="1" customWidth="1"/>
    <col min="7693" max="7923" width="9" style="16"/>
    <col min="7924" max="7924" width="7.5" style="16" customWidth="1"/>
    <col min="7925" max="7925" width="55.19921875" style="16" customWidth="1"/>
    <col min="7926" max="7926" width="16.09765625" style="16" customWidth="1"/>
    <col min="7927" max="7942" width="0" style="16" hidden="1" customWidth="1"/>
    <col min="7943" max="7943" width="11.3984375" style="16" customWidth="1"/>
    <col min="7944" max="7944" width="14.8984375" style="16" customWidth="1"/>
    <col min="7945" max="7948" width="0" style="16" hidden="1" customWidth="1"/>
    <col min="7949" max="8179" width="9" style="16"/>
    <col min="8180" max="8180" width="7.5" style="16" customWidth="1"/>
    <col min="8181" max="8181" width="55.19921875" style="16" customWidth="1"/>
    <col min="8182" max="8182" width="16.09765625" style="16" customWidth="1"/>
    <col min="8183" max="8198" width="0" style="16" hidden="1" customWidth="1"/>
    <col min="8199" max="8199" width="11.3984375" style="16" customWidth="1"/>
    <col min="8200" max="8200" width="14.8984375" style="16" customWidth="1"/>
    <col min="8201" max="8204" width="0" style="16" hidden="1" customWidth="1"/>
    <col min="8205" max="8435" width="9" style="16"/>
    <col min="8436" max="8436" width="7.5" style="16" customWidth="1"/>
    <col min="8437" max="8437" width="55.19921875" style="16" customWidth="1"/>
    <col min="8438" max="8438" width="16.09765625" style="16" customWidth="1"/>
    <col min="8439" max="8454" width="0" style="16" hidden="1" customWidth="1"/>
    <col min="8455" max="8455" width="11.3984375" style="16" customWidth="1"/>
    <col min="8456" max="8456" width="14.8984375" style="16" customWidth="1"/>
    <col min="8457" max="8460" width="0" style="16" hidden="1" customWidth="1"/>
    <col min="8461" max="8691" width="9" style="16"/>
    <col min="8692" max="8692" width="7.5" style="16" customWidth="1"/>
    <col min="8693" max="8693" width="55.19921875" style="16" customWidth="1"/>
    <col min="8694" max="8694" width="16.09765625" style="16" customWidth="1"/>
    <col min="8695" max="8710" width="0" style="16" hidden="1" customWidth="1"/>
    <col min="8711" max="8711" width="11.3984375" style="16" customWidth="1"/>
    <col min="8712" max="8712" width="14.8984375" style="16" customWidth="1"/>
    <col min="8713" max="8716" width="0" style="16" hidden="1" customWidth="1"/>
    <col min="8717" max="8947" width="9" style="16"/>
    <col min="8948" max="8948" width="7.5" style="16" customWidth="1"/>
    <col min="8949" max="8949" width="55.19921875" style="16" customWidth="1"/>
    <col min="8950" max="8950" width="16.09765625" style="16" customWidth="1"/>
    <col min="8951" max="8966" width="0" style="16" hidden="1" customWidth="1"/>
    <col min="8967" max="8967" width="11.3984375" style="16" customWidth="1"/>
    <col min="8968" max="8968" width="14.8984375" style="16" customWidth="1"/>
    <col min="8969" max="8972" width="0" style="16" hidden="1" customWidth="1"/>
    <col min="8973" max="9203" width="9" style="16"/>
    <col min="9204" max="9204" width="7.5" style="16" customWidth="1"/>
    <col min="9205" max="9205" width="55.19921875" style="16" customWidth="1"/>
    <col min="9206" max="9206" width="16.09765625" style="16" customWidth="1"/>
    <col min="9207" max="9222" width="0" style="16" hidden="1" customWidth="1"/>
    <col min="9223" max="9223" width="11.3984375" style="16" customWidth="1"/>
    <col min="9224" max="9224" width="14.8984375" style="16" customWidth="1"/>
    <col min="9225" max="9228" width="0" style="16" hidden="1" customWidth="1"/>
    <col min="9229" max="9459" width="9" style="16"/>
    <col min="9460" max="9460" width="7.5" style="16" customWidth="1"/>
    <col min="9461" max="9461" width="55.19921875" style="16" customWidth="1"/>
    <col min="9462" max="9462" width="16.09765625" style="16" customWidth="1"/>
    <col min="9463" max="9478" width="0" style="16" hidden="1" customWidth="1"/>
    <col min="9479" max="9479" width="11.3984375" style="16" customWidth="1"/>
    <col min="9480" max="9480" width="14.8984375" style="16" customWidth="1"/>
    <col min="9481" max="9484" width="0" style="16" hidden="1" customWidth="1"/>
    <col min="9485" max="9715" width="9" style="16"/>
    <col min="9716" max="9716" width="7.5" style="16" customWidth="1"/>
    <col min="9717" max="9717" width="55.19921875" style="16" customWidth="1"/>
    <col min="9718" max="9718" width="16.09765625" style="16" customWidth="1"/>
    <col min="9719" max="9734" width="0" style="16" hidden="1" customWidth="1"/>
    <col min="9735" max="9735" width="11.3984375" style="16" customWidth="1"/>
    <col min="9736" max="9736" width="14.8984375" style="16" customWidth="1"/>
    <col min="9737" max="9740" width="0" style="16" hidden="1" customWidth="1"/>
    <col min="9741" max="9971" width="9" style="16"/>
    <col min="9972" max="9972" width="7.5" style="16" customWidth="1"/>
    <col min="9973" max="9973" width="55.19921875" style="16" customWidth="1"/>
    <col min="9974" max="9974" width="16.09765625" style="16" customWidth="1"/>
    <col min="9975" max="9990" width="0" style="16" hidden="1" customWidth="1"/>
    <col min="9991" max="9991" width="11.3984375" style="16" customWidth="1"/>
    <col min="9992" max="9992" width="14.8984375" style="16" customWidth="1"/>
    <col min="9993" max="9996" width="0" style="16" hidden="1" customWidth="1"/>
    <col min="9997" max="10227" width="9" style="16"/>
    <col min="10228" max="10228" width="7.5" style="16" customWidth="1"/>
    <col min="10229" max="10229" width="55.19921875" style="16" customWidth="1"/>
    <col min="10230" max="10230" width="16.09765625" style="16" customWidth="1"/>
    <col min="10231" max="10246" width="0" style="16" hidden="1" customWidth="1"/>
    <col min="10247" max="10247" width="11.3984375" style="16" customWidth="1"/>
    <col min="10248" max="10248" width="14.8984375" style="16" customWidth="1"/>
    <col min="10249" max="10252" width="0" style="16" hidden="1" customWidth="1"/>
    <col min="10253" max="10483" width="9" style="16"/>
    <col min="10484" max="10484" width="7.5" style="16" customWidth="1"/>
    <col min="10485" max="10485" width="55.19921875" style="16" customWidth="1"/>
    <col min="10486" max="10486" width="16.09765625" style="16" customWidth="1"/>
    <col min="10487" max="10502" width="0" style="16" hidden="1" customWidth="1"/>
    <col min="10503" max="10503" width="11.3984375" style="16" customWidth="1"/>
    <col min="10504" max="10504" width="14.8984375" style="16" customWidth="1"/>
    <col min="10505" max="10508" width="0" style="16" hidden="1" customWidth="1"/>
    <col min="10509" max="10739" width="9" style="16"/>
    <col min="10740" max="10740" width="7.5" style="16" customWidth="1"/>
    <col min="10741" max="10741" width="55.19921875" style="16" customWidth="1"/>
    <col min="10742" max="10742" width="16.09765625" style="16" customWidth="1"/>
    <col min="10743" max="10758" width="0" style="16" hidden="1" customWidth="1"/>
    <col min="10759" max="10759" width="11.3984375" style="16" customWidth="1"/>
    <col min="10760" max="10760" width="14.8984375" style="16" customWidth="1"/>
    <col min="10761" max="10764" width="0" style="16" hidden="1" customWidth="1"/>
    <col min="10765" max="10995" width="9" style="16"/>
    <col min="10996" max="10996" width="7.5" style="16" customWidth="1"/>
    <col min="10997" max="10997" width="55.19921875" style="16" customWidth="1"/>
    <col min="10998" max="10998" width="16.09765625" style="16" customWidth="1"/>
    <col min="10999" max="11014" width="0" style="16" hidden="1" customWidth="1"/>
    <col min="11015" max="11015" width="11.3984375" style="16" customWidth="1"/>
    <col min="11016" max="11016" width="14.8984375" style="16" customWidth="1"/>
    <col min="11017" max="11020" width="0" style="16" hidden="1" customWidth="1"/>
    <col min="11021" max="11251" width="9" style="16"/>
    <col min="11252" max="11252" width="7.5" style="16" customWidth="1"/>
    <col min="11253" max="11253" width="55.19921875" style="16" customWidth="1"/>
    <col min="11254" max="11254" width="16.09765625" style="16" customWidth="1"/>
    <col min="11255" max="11270" width="0" style="16" hidden="1" customWidth="1"/>
    <col min="11271" max="11271" width="11.3984375" style="16" customWidth="1"/>
    <col min="11272" max="11272" width="14.8984375" style="16" customWidth="1"/>
    <col min="11273" max="11276" width="0" style="16" hidden="1" customWidth="1"/>
    <col min="11277" max="11507" width="9" style="16"/>
    <col min="11508" max="11508" width="7.5" style="16" customWidth="1"/>
    <col min="11509" max="11509" width="55.19921875" style="16" customWidth="1"/>
    <col min="11510" max="11510" width="16.09765625" style="16" customWidth="1"/>
    <col min="11511" max="11526" width="0" style="16" hidden="1" customWidth="1"/>
    <col min="11527" max="11527" width="11.3984375" style="16" customWidth="1"/>
    <col min="11528" max="11528" width="14.8984375" style="16" customWidth="1"/>
    <col min="11529" max="11532" width="0" style="16" hidden="1" customWidth="1"/>
    <col min="11533" max="11763" width="9" style="16"/>
    <col min="11764" max="11764" width="7.5" style="16" customWidth="1"/>
    <col min="11765" max="11765" width="55.19921875" style="16" customWidth="1"/>
    <col min="11766" max="11766" width="16.09765625" style="16" customWidth="1"/>
    <col min="11767" max="11782" width="0" style="16" hidden="1" customWidth="1"/>
    <col min="11783" max="11783" width="11.3984375" style="16" customWidth="1"/>
    <col min="11784" max="11784" width="14.8984375" style="16" customWidth="1"/>
    <col min="11785" max="11788" width="0" style="16" hidden="1" customWidth="1"/>
    <col min="11789" max="12019" width="9" style="16"/>
    <col min="12020" max="12020" width="7.5" style="16" customWidth="1"/>
    <col min="12021" max="12021" width="55.19921875" style="16" customWidth="1"/>
    <col min="12022" max="12022" width="16.09765625" style="16" customWidth="1"/>
    <col min="12023" max="12038" width="0" style="16" hidden="1" customWidth="1"/>
    <col min="12039" max="12039" width="11.3984375" style="16" customWidth="1"/>
    <col min="12040" max="12040" width="14.8984375" style="16" customWidth="1"/>
    <col min="12041" max="12044" width="0" style="16" hidden="1" customWidth="1"/>
    <col min="12045" max="12275" width="9" style="16"/>
    <col min="12276" max="12276" width="7.5" style="16" customWidth="1"/>
    <col min="12277" max="12277" width="55.19921875" style="16" customWidth="1"/>
    <col min="12278" max="12278" width="16.09765625" style="16" customWidth="1"/>
    <col min="12279" max="12294" width="0" style="16" hidden="1" customWidth="1"/>
    <col min="12295" max="12295" width="11.3984375" style="16" customWidth="1"/>
    <col min="12296" max="12296" width="14.8984375" style="16" customWidth="1"/>
    <col min="12297" max="12300" width="0" style="16" hidden="1" customWidth="1"/>
    <col min="12301" max="12531" width="9" style="16"/>
    <col min="12532" max="12532" width="7.5" style="16" customWidth="1"/>
    <col min="12533" max="12533" width="55.19921875" style="16" customWidth="1"/>
    <col min="12534" max="12534" width="16.09765625" style="16" customWidth="1"/>
    <col min="12535" max="12550" width="0" style="16" hidden="1" customWidth="1"/>
    <col min="12551" max="12551" width="11.3984375" style="16" customWidth="1"/>
    <col min="12552" max="12552" width="14.8984375" style="16" customWidth="1"/>
    <col min="12553" max="12556" width="0" style="16" hidden="1" customWidth="1"/>
    <col min="12557" max="12787" width="9" style="16"/>
    <col min="12788" max="12788" width="7.5" style="16" customWidth="1"/>
    <col min="12789" max="12789" width="55.19921875" style="16" customWidth="1"/>
    <col min="12790" max="12790" width="16.09765625" style="16" customWidth="1"/>
    <col min="12791" max="12806" width="0" style="16" hidden="1" customWidth="1"/>
    <col min="12807" max="12807" width="11.3984375" style="16" customWidth="1"/>
    <col min="12808" max="12808" width="14.8984375" style="16" customWidth="1"/>
    <col min="12809" max="12812" width="0" style="16" hidden="1" customWidth="1"/>
    <col min="12813" max="13043" width="9" style="16"/>
    <col min="13044" max="13044" width="7.5" style="16" customWidth="1"/>
    <col min="13045" max="13045" width="55.19921875" style="16" customWidth="1"/>
    <col min="13046" max="13046" width="16.09765625" style="16" customWidth="1"/>
    <col min="13047" max="13062" width="0" style="16" hidden="1" customWidth="1"/>
    <col min="13063" max="13063" width="11.3984375" style="16" customWidth="1"/>
    <col min="13064" max="13064" width="14.8984375" style="16" customWidth="1"/>
    <col min="13065" max="13068" width="0" style="16" hidden="1" customWidth="1"/>
    <col min="13069" max="13299" width="9" style="16"/>
    <col min="13300" max="13300" width="7.5" style="16" customWidth="1"/>
    <col min="13301" max="13301" width="55.19921875" style="16" customWidth="1"/>
    <col min="13302" max="13302" width="16.09765625" style="16" customWidth="1"/>
    <col min="13303" max="13318" width="0" style="16" hidden="1" customWidth="1"/>
    <col min="13319" max="13319" width="11.3984375" style="16" customWidth="1"/>
    <col min="13320" max="13320" width="14.8984375" style="16" customWidth="1"/>
    <col min="13321" max="13324" width="0" style="16" hidden="1" customWidth="1"/>
    <col min="13325" max="13555" width="9" style="16"/>
    <col min="13556" max="13556" width="7.5" style="16" customWidth="1"/>
    <col min="13557" max="13557" width="55.19921875" style="16" customWidth="1"/>
    <col min="13558" max="13558" width="16.09765625" style="16" customWidth="1"/>
    <col min="13559" max="13574" width="0" style="16" hidden="1" customWidth="1"/>
    <col min="13575" max="13575" width="11.3984375" style="16" customWidth="1"/>
    <col min="13576" max="13576" width="14.8984375" style="16" customWidth="1"/>
    <col min="13577" max="13580" width="0" style="16" hidden="1" customWidth="1"/>
    <col min="13581" max="13811" width="9" style="16"/>
    <col min="13812" max="13812" width="7.5" style="16" customWidth="1"/>
    <col min="13813" max="13813" width="55.19921875" style="16" customWidth="1"/>
    <col min="13814" max="13814" width="16.09765625" style="16" customWidth="1"/>
    <col min="13815" max="13830" width="0" style="16" hidden="1" customWidth="1"/>
    <col min="13831" max="13831" width="11.3984375" style="16" customWidth="1"/>
    <col min="13832" max="13832" width="14.8984375" style="16" customWidth="1"/>
    <col min="13833" max="13836" width="0" style="16" hidden="1" customWidth="1"/>
    <col min="13837" max="14067" width="9" style="16"/>
    <col min="14068" max="14068" width="7.5" style="16" customWidth="1"/>
    <col min="14069" max="14069" width="55.19921875" style="16" customWidth="1"/>
    <col min="14070" max="14070" width="16.09765625" style="16" customWidth="1"/>
    <col min="14071" max="14086" width="0" style="16" hidden="1" customWidth="1"/>
    <col min="14087" max="14087" width="11.3984375" style="16" customWidth="1"/>
    <col min="14088" max="14088" width="14.8984375" style="16" customWidth="1"/>
    <col min="14089" max="14092" width="0" style="16" hidden="1" customWidth="1"/>
    <col min="14093" max="14323" width="9" style="16"/>
    <col min="14324" max="14324" width="7.5" style="16" customWidth="1"/>
    <col min="14325" max="14325" width="55.19921875" style="16" customWidth="1"/>
    <col min="14326" max="14326" width="16.09765625" style="16" customWidth="1"/>
    <col min="14327" max="14342" width="0" style="16" hidden="1" customWidth="1"/>
    <col min="14343" max="14343" width="11.3984375" style="16" customWidth="1"/>
    <col min="14344" max="14344" width="14.8984375" style="16" customWidth="1"/>
    <col min="14345" max="14348" width="0" style="16" hidden="1" customWidth="1"/>
    <col min="14349" max="14579" width="9" style="16"/>
    <col min="14580" max="14580" width="7.5" style="16" customWidth="1"/>
    <col min="14581" max="14581" width="55.19921875" style="16" customWidth="1"/>
    <col min="14582" max="14582" width="16.09765625" style="16" customWidth="1"/>
    <col min="14583" max="14598" width="0" style="16" hidden="1" customWidth="1"/>
    <col min="14599" max="14599" width="11.3984375" style="16" customWidth="1"/>
    <col min="14600" max="14600" width="14.8984375" style="16" customWidth="1"/>
    <col min="14601" max="14604" width="0" style="16" hidden="1" customWidth="1"/>
    <col min="14605" max="14835" width="9" style="16"/>
    <col min="14836" max="14836" width="7.5" style="16" customWidth="1"/>
    <col min="14837" max="14837" width="55.19921875" style="16" customWidth="1"/>
    <col min="14838" max="14838" width="16.09765625" style="16" customWidth="1"/>
    <col min="14839" max="14854" width="0" style="16" hidden="1" customWidth="1"/>
    <col min="14855" max="14855" width="11.3984375" style="16" customWidth="1"/>
    <col min="14856" max="14856" width="14.8984375" style="16" customWidth="1"/>
    <col min="14857" max="14860" width="0" style="16" hidden="1" customWidth="1"/>
    <col min="14861" max="15091" width="9" style="16"/>
    <col min="15092" max="15092" width="7.5" style="16" customWidth="1"/>
    <col min="15093" max="15093" width="55.19921875" style="16" customWidth="1"/>
    <col min="15094" max="15094" width="16.09765625" style="16" customWidth="1"/>
    <col min="15095" max="15110" width="0" style="16" hidden="1" customWidth="1"/>
    <col min="15111" max="15111" width="11.3984375" style="16" customWidth="1"/>
    <col min="15112" max="15112" width="14.8984375" style="16" customWidth="1"/>
    <col min="15113" max="15116" width="0" style="16" hidden="1" customWidth="1"/>
    <col min="15117" max="15347" width="9" style="16"/>
    <col min="15348" max="15348" width="7.5" style="16" customWidth="1"/>
    <col min="15349" max="15349" width="55.19921875" style="16" customWidth="1"/>
    <col min="15350" max="15350" width="16.09765625" style="16" customWidth="1"/>
    <col min="15351" max="15366" width="0" style="16" hidden="1" customWidth="1"/>
    <col min="15367" max="15367" width="11.3984375" style="16" customWidth="1"/>
    <col min="15368" max="15368" width="14.8984375" style="16" customWidth="1"/>
    <col min="15369" max="15372" width="0" style="16" hidden="1" customWidth="1"/>
    <col min="15373" max="15603" width="9" style="16"/>
    <col min="15604" max="15604" width="7.5" style="16" customWidth="1"/>
    <col min="15605" max="15605" width="55.19921875" style="16" customWidth="1"/>
    <col min="15606" max="15606" width="16.09765625" style="16" customWidth="1"/>
    <col min="15607" max="15622" width="0" style="16" hidden="1" customWidth="1"/>
    <col min="15623" max="15623" width="11.3984375" style="16" customWidth="1"/>
    <col min="15624" max="15624" width="14.8984375" style="16" customWidth="1"/>
    <col min="15625" max="15628" width="0" style="16" hidden="1" customWidth="1"/>
    <col min="15629" max="15859" width="9" style="16"/>
    <col min="15860" max="15860" width="7.5" style="16" customWidth="1"/>
    <col min="15861" max="15861" width="55.19921875" style="16" customWidth="1"/>
    <col min="15862" max="15862" width="16.09765625" style="16" customWidth="1"/>
    <col min="15863" max="15878" width="0" style="16" hidden="1" customWidth="1"/>
    <col min="15879" max="15879" width="11.3984375" style="16" customWidth="1"/>
    <col min="15880" max="15880" width="14.8984375" style="16" customWidth="1"/>
    <col min="15881" max="15884" width="0" style="16" hidden="1" customWidth="1"/>
    <col min="15885" max="16115" width="9" style="16"/>
    <col min="16116" max="16116" width="7.5" style="16" customWidth="1"/>
    <col min="16117" max="16117" width="55.19921875" style="16" customWidth="1"/>
    <col min="16118" max="16118" width="16.09765625" style="16" customWidth="1"/>
    <col min="16119" max="16134" width="0" style="16" hidden="1" customWidth="1"/>
    <col min="16135" max="16135" width="11.3984375" style="16" customWidth="1"/>
    <col min="16136" max="16136" width="14.8984375" style="16" customWidth="1"/>
    <col min="16137" max="16140" width="0" style="16" hidden="1" customWidth="1"/>
    <col min="16141" max="16384" width="9" style="16"/>
  </cols>
  <sheetData>
    <row r="1" spans="1:36" ht="15.75" customHeight="1">
      <c r="A1" s="451" t="s">
        <v>482</v>
      </c>
      <c r="B1" s="15"/>
      <c r="C1" s="15"/>
      <c r="D1" s="15"/>
      <c r="E1" s="51"/>
      <c r="F1" s="15"/>
      <c r="G1" s="515"/>
      <c r="H1" s="515"/>
      <c r="I1" s="515"/>
      <c r="J1" s="515"/>
      <c r="K1" s="515"/>
      <c r="L1" s="515"/>
      <c r="M1" s="515"/>
      <c r="N1" s="15"/>
    </row>
    <row r="2" spans="1:36" ht="25.5" customHeight="1">
      <c r="A2" s="688" t="s">
        <v>471</v>
      </c>
      <c r="B2" s="688"/>
      <c r="C2" s="688"/>
      <c r="D2" s="688"/>
      <c r="E2" s="688"/>
      <c r="F2" s="688"/>
      <c r="G2" s="688"/>
      <c r="H2" s="688"/>
      <c r="I2" s="688"/>
      <c r="J2" s="688"/>
      <c r="K2" s="688"/>
      <c r="L2" s="688"/>
      <c r="M2" s="688"/>
      <c r="N2" s="688"/>
    </row>
    <row r="3" spans="1:36" ht="25.5" customHeight="1">
      <c r="A3" s="690" t="str">
        <f>'04-VỐN ĐTPT CTMT'!A3:O3</f>
        <v>(Kèm theo Báo cáo số 899/BC-UBND, ngày 28 háng 11 năm 2022 của UBND huyện Tuần Giáo)</v>
      </c>
      <c r="B3" s="691"/>
      <c r="C3" s="691"/>
      <c r="D3" s="691"/>
      <c r="E3" s="691"/>
      <c r="F3" s="691"/>
      <c r="G3" s="691"/>
      <c r="H3" s="691"/>
      <c r="I3" s="691"/>
      <c r="J3" s="691"/>
      <c r="K3" s="691"/>
      <c r="L3" s="691"/>
      <c r="M3" s="691"/>
      <c r="N3" s="691"/>
    </row>
    <row r="4" spans="1:36" ht="17.25" customHeight="1">
      <c r="B4" s="517"/>
      <c r="C4" s="517"/>
      <c r="D4" s="518"/>
      <c r="E4" s="58"/>
      <c r="F4" s="518"/>
      <c r="G4" s="692" t="s">
        <v>44</v>
      </c>
      <c r="H4" s="692"/>
      <c r="I4" s="692"/>
      <c r="J4" s="692"/>
      <c r="K4" s="692"/>
      <c r="L4" s="692"/>
      <c r="M4" s="692"/>
      <c r="N4" s="692"/>
    </row>
    <row r="5" spans="1:36" s="15" customFormat="1" ht="33" customHeight="1">
      <c r="A5" s="693" t="s">
        <v>49</v>
      </c>
      <c r="B5" s="693" t="s">
        <v>43</v>
      </c>
      <c r="C5" s="693" t="s">
        <v>27</v>
      </c>
      <c r="D5" s="693" t="s">
        <v>87</v>
      </c>
      <c r="E5" s="702" t="s">
        <v>493</v>
      </c>
      <c r="F5" s="703"/>
      <c r="G5" s="704"/>
      <c r="H5" s="696" t="s">
        <v>81</v>
      </c>
      <c r="I5" s="697"/>
      <c r="J5" s="696" t="s">
        <v>82</v>
      </c>
      <c r="K5" s="697"/>
      <c r="L5" s="698" t="s">
        <v>469</v>
      </c>
      <c r="M5" s="698" t="s">
        <v>246</v>
      </c>
      <c r="N5" s="693" t="s">
        <v>8</v>
      </c>
      <c r="AA5" s="16"/>
      <c r="AB5" s="16"/>
      <c r="AC5" s="16"/>
      <c r="AD5" s="16"/>
    </row>
    <row r="6" spans="1:36" s="15" customFormat="1" ht="33" customHeight="1">
      <c r="A6" s="694"/>
      <c r="B6" s="694"/>
      <c r="C6" s="694"/>
      <c r="D6" s="694"/>
      <c r="E6" s="705"/>
      <c r="F6" s="706"/>
      <c r="G6" s="707"/>
      <c r="H6" s="701" t="s">
        <v>366</v>
      </c>
      <c r="I6" s="701" t="s">
        <v>85</v>
      </c>
      <c r="J6" s="701" t="s">
        <v>19</v>
      </c>
      <c r="K6" s="701" t="s">
        <v>86</v>
      </c>
      <c r="L6" s="699"/>
      <c r="M6" s="699"/>
      <c r="N6" s="694"/>
      <c r="AA6" s="16"/>
      <c r="AB6" s="16"/>
      <c r="AC6" s="16"/>
      <c r="AD6" s="16"/>
    </row>
    <row r="7" spans="1:36" s="15" customFormat="1" ht="9.75" customHeight="1">
      <c r="A7" s="695"/>
      <c r="B7" s="695"/>
      <c r="C7" s="695"/>
      <c r="D7" s="695"/>
      <c r="E7" s="708"/>
      <c r="F7" s="709"/>
      <c r="G7" s="710"/>
      <c r="H7" s="701"/>
      <c r="I7" s="701"/>
      <c r="J7" s="701"/>
      <c r="K7" s="701"/>
      <c r="L7" s="700"/>
      <c r="M7" s="700"/>
      <c r="N7" s="695"/>
      <c r="AA7" s="16"/>
      <c r="AB7" s="16"/>
      <c r="AC7" s="16"/>
      <c r="AD7" s="16"/>
    </row>
    <row r="8" spans="1:36" s="519" customFormat="1" ht="21.75" customHeight="1">
      <c r="A8" s="471" t="s">
        <v>50</v>
      </c>
      <c r="B8" s="471" t="s">
        <v>51</v>
      </c>
      <c r="C8" s="471" t="s">
        <v>52</v>
      </c>
      <c r="D8" s="471" t="s">
        <v>53</v>
      </c>
      <c r="E8" s="554" t="s">
        <v>88</v>
      </c>
      <c r="F8" s="472" t="s">
        <v>491</v>
      </c>
      <c r="G8" s="472" t="s">
        <v>492</v>
      </c>
      <c r="H8" s="471" t="s">
        <v>89</v>
      </c>
      <c r="I8" s="471" t="s">
        <v>90</v>
      </c>
      <c r="J8" s="471" t="s">
        <v>91</v>
      </c>
      <c r="K8" s="471" t="s">
        <v>92</v>
      </c>
      <c r="L8" s="471" t="s">
        <v>93</v>
      </c>
      <c r="M8" s="471" t="s">
        <v>237</v>
      </c>
      <c r="N8" s="471" t="s">
        <v>251</v>
      </c>
    </row>
    <row r="9" spans="1:36" s="15" customFormat="1" ht="25.5" customHeight="1">
      <c r="A9" s="17"/>
      <c r="B9" s="17" t="s">
        <v>54</v>
      </c>
      <c r="C9" s="17"/>
      <c r="D9" s="117">
        <f t="shared" ref="D9:M9" si="0">D18+D28+D32</f>
        <v>44550</v>
      </c>
      <c r="E9" s="94">
        <f>E18+E28+E32</f>
        <v>20078.991999999998</v>
      </c>
      <c r="F9" s="453">
        <f>F18+F28+F32</f>
        <v>18000</v>
      </c>
      <c r="G9" s="453">
        <f t="shared" si="0"/>
        <v>2078.9920000000002</v>
      </c>
      <c r="H9" s="117">
        <f t="shared" si="0"/>
        <v>8458.6880000000001</v>
      </c>
      <c r="I9" s="117">
        <f t="shared" si="0"/>
        <v>18206.106</v>
      </c>
      <c r="J9" s="117">
        <f t="shared" si="0"/>
        <v>8678.9920000000002</v>
      </c>
      <c r="K9" s="117">
        <f t="shared" si="0"/>
        <v>18265.873</v>
      </c>
      <c r="L9" s="117">
        <f t="shared" si="0"/>
        <v>8678.9920000000002</v>
      </c>
      <c r="M9" s="117">
        <f t="shared" si="0"/>
        <v>21175</v>
      </c>
      <c r="N9" s="454"/>
      <c r="O9" s="520">
        <f t="shared" ref="O9:O27" si="1">+D9-K9</f>
        <v>26284.127</v>
      </c>
      <c r="P9" s="520">
        <f t="shared" ref="P9:P27" si="2">+E9-J9</f>
        <v>11399.999999999998</v>
      </c>
      <c r="Q9" s="520">
        <f t="shared" ref="Q9:Q27" si="3">-I9-K9</f>
        <v>-36471.978999999999</v>
      </c>
      <c r="R9" s="520">
        <f t="shared" ref="R9:R27" si="4">+E9-L9</f>
        <v>11399.999999999998</v>
      </c>
      <c r="S9" s="520">
        <f t="shared" ref="S9:S27" si="5">+L9-J9</f>
        <v>0</v>
      </c>
      <c r="T9" s="520">
        <f t="shared" ref="T9:T27" si="6">+D9-K9-S9</f>
        <v>26284.127</v>
      </c>
      <c r="U9" s="144">
        <f t="shared" ref="U9:U27" si="7">+L9-J9</f>
        <v>0</v>
      </c>
      <c r="V9" s="144">
        <f t="shared" ref="V9:V27" si="8">+D9-L9-U9</f>
        <v>35871.008000000002</v>
      </c>
      <c r="W9" s="144">
        <f t="shared" ref="W9:W27" si="9">+E9-J9</f>
        <v>11399.999999999998</v>
      </c>
      <c r="X9" s="144">
        <f t="shared" ref="X9:X27" si="10">+E9-L9</f>
        <v>11399.999999999998</v>
      </c>
      <c r="Y9" s="144">
        <f t="shared" ref="Y9:Y27" si="11">+I9-K9</f>
        <v>-59.766999999999825</v>
      </c>
      <c r="Z9" s="144"/>
      <c r="AA9" s="521">
        <f t="shared" ref="AA9:AA36" si="12">+E9-J9</f>
        <v>11399.999999999998</v>
      </c>
      <c r="AB9" s="521">
        <f t="shared" ref="AB9:AB36" si="13">+D9-K9</f>
        <v>26284.127</v>
      </c>
      <c r="AC9" s="521">
        <f t="shared" ref="AC9:AC36" si="14">+L9-J9</f>
        <v>0</v>
      </c>
      <c r="AD9" s="521">
        <f t="shared" ref="AD9:AD36" si="15">+D9-(K9+AC9)</f>
        <v>26284.127</v>
      </c>
      <c r="AF9" s="144">
        <f>+L9-J9</f>
        <v>0</v>
      </c>
      <c r="AG9" s="144">
        <f>+K9+AF9</f>
        <v>18265.873</v>
      </c>
      <c r="AH9" s="144">
        <f>+D9-AG9</f>
        <v>26284.127</v>
      </c>
      <c r="AI9" s="144">
        <f>+E9+L9</f>
        <v>28757.983999999997</v>
      </c>
      <c r="AJ9" s="144">
        <f>+I9-K9</f>
        <v>-59.766999999999825</v>
      </c>
    </row>
    <row r="10" spans="1:36" s="15" customFormat="1" ht="33" hidden="1" customHeight="1">
      <c r="A10" s="17" t="s">
        <v>23</v>
      </c>
      <c r="B10" s="18" t="s">
        <v>55</v>
      </c>
      <c r="C10" s="18"/>
      <c r="D10" s="117">
        <f t="shared" ref="D10:N10" si="16">D11+D18</f>
        <v>27750</v>
      </c>
      <c r="E10" s="94">
        <f t="shared" si="16"/>
        <v>14760</v>
      </c>
      <c r="F10" s="453"/>
      <c r="G10" s="453">
        <f t="shared" si="16"/>
        <v>0</v>
      </c>
      <c r="H10" s="117">
        <f t="shared" si="16"/>
        <v>6454.7</v>
      </c>
      <c r="I10" s="117">
        <f t="shared" si="16"/>
        <v>6454.7</v>
      </c>
      <c r="J10" s="117">
        <f t="shared" si="16"/>
        <v>5280</v>
      </c>
      <c r="K10" s="117">
        <f t="shared" si="16"/>
        <v>5280</v>
      </c>
      <c r="L10" s="117">
        <f t="shared" si="16"/>
        <v>5280</v>
      </c>
      <c r="M10" s="117">
        <f t="shared" si="16"/>
        <v>17512</v>
      </c>
      <c r="N10" s="454">
        <f t="shared" si="16"/>
        <v>0</v>
      </c>
      <c r="O10" s="520">
        <f t="shared" si="1"/>
        <v>22470</v>
      </c>
      <c r="P10" s="520">
        <f t="shared" si="2"/>
        <v>9480</v>
      </c>
      <c r="Q10" s="520">
        <f t="shared" si="3"/>
        <v>-11734.7</v>
      </c>
      <c r="R10" s="520">
        <f t="shared" si="4"/>
        <v>9480</v>
      </c>
      <c r="S10" s="520">
        <f t="shared" si="5"/>
        <v>0</v>
      </c>
      <c r="T10" s="520">
        <f t="shared" si="6"/>
        <v>22470</v>
      </c>
      <c r="U10" s="144">
        <f t="shared" si="7"/>
        <v>0</v>
      </c>
      <c r="V10" s="144">
        <f t="shared" si="8"/>
        <v>22470</v>
      </c>
      <c r="W10" s="144">
        <f t="shared" si="9"/>
        <v>9480</v>
      </c>
      <c r="X10" s="144">
        <f t="shared" si="10"/>
        <v>9480</v>
      </c>
      <c r="Y10" s="144">
        <f t="shared" si="11"/>
        <v>1174.6999999999998</v>
      </c>
      <c r="AA10" s="521">
        <f t="shared" si="12"/>
        <v>9480</v>
      </c>
      <c r="AB10" s="521">
        <f t="shared" si="13"/>
        <v>22470</v>
      </c>
      <c r="AC10" s="521">
        <f t="shared" si="14"/>
        <v>0</v>
      </c>
      <c r="AD10" s="521">
        <f t="shared" si="15"/>
        <v>22470</v>
      </c>
      <c r="AF10" s="144">
        <f t="shared" ref="AF10:AF32" si="17">+L10-J10</f>
        <v>0</v>
      </c>
      <c r="AG10" s="144">
        <f t="shared" ref="AG10:AG32" si="18">+K10+AF10</f>
        <v>5280</v>
      </c>
      <c r="AH10" s="144">
        <f t="shared" ref="AH10:AH32" si="19">+D10-AG10</f>
        <v>22470</v>
      </c>
      <c r="AI10" s="144">
        <f t="shared" ref="AI10:AI31" si="20">+E10+L10</f>
        <v>20040</v>
      </c>
      <c r="AJ10" s="144">
        <f t="shared" ref="AJ10:AJ32" si="21">+I10-K10</f>
        <v>1174.6999999999998</v>
      </c>
    </row>
    <row r="11" spans="1:36" s="15" customFormat="1" ht="33" hidden="1" customHeight="1">
      <c r="A11" s="17" t="s">
        <v>28</v>
      </c>
      <c r="B11" s="18" t="s">
        <v>56</v>
      </c>
      <c r="C11" s="18"/>
      <c r="D11" s="117">
        <f t="shared" ref="D11:L11" si="22">SUM(D12:D17)</f>
        <v>0</v>
      </c>
      <c r="E11" s="94">
        <f t="shared" si="22"/>
        <v>0</v>
      </c>
      <c r="F11" s="453"/>
      <c r="G11" s="453">
        <f t="shared" si="22"/>
        <v>0</v>
      </c>
      <c r="H11" s="117">
        <f t="shared" si="22"/>
        <v>0</v>
      </c>
      <c r="I11" s="117">
        <f t="shared" si="22"/>
        <v>0</v>
      </c>
      <c r="J11" s="117">
        <f t="shared" si="22"/>
        <v>0</v>
      </c>
      <c r="K11" s="117">
        <f t="shared" si="22"/>
        <v>0</v>
      </c>
      <c r="L11" s="117">
        <f t="shared" si="22"/>
        <v>0</v>
      </c>
      <c r="M11" s="117"/>
      <c r="N11" s="454">
        <f>SUM(N12:N17)</f>
        <v>0</v>
      </c>
      <c r="O11" s="520">
        <f t="shared" si="1"/>
        <v>0</v>
      </c>
      <c r="P11" s="520">
        <f t="shared" si="2"/>
        <v>0</v>
      </c>
      <c r="Q11" s="520">
        <f t="shared" si="3"/>
        <v>0</v>
      </c>
      <c r="R11" s="520">
        <f t="shared" si="4"/>
        <v>0</v>
      </c>
      <c r="S11" s="520">
        <f t="shared" si="5"/>
        <v>0</v>
      </c>
      <c r="T11" s="520">
        <f t="shared" si="6"/>
        <v>0</v>
      </c>
      <c r="U11" s="144">
        <f t="shared" si="7"/>
        <v>0</v>
      </c>
      <c r="V11" s="144">
        <f t="shared" si="8"/>
        <v>0</v>
      </c>
      <c r="W11" s="144">
        <f t="shared" si="9"/>
        <v>0</v>
      </c>
      <c r="X11" s="144">
        <f t="shared" si="10"/>
        <v>0</v>
      </c>
      <c r="Y11" s="144">
        <f t="shared" si="11"/>
        <v>0</v>
      </c>
      <c r="AA11" s="521">
        <f t="shared" si="12"/>
        <v>0</v>
      </c>
      <c r="AB11" s="521">
        <f t="shared" si="13"/>
        <v>0</v>
      </c>
      <c r="AC11" s="521">
        <f t="shared" si="14"/>
        <v>0</v>
      </c>
      <c r="AD11" s="521">
        <f t="shared" si="15"/>
        <v>0</v>
      </c>
      <c r="AF11" s="144">
        <f t="shared" si="17"/>
        <v>0</v>
      </c>
      <c r="AG11" s="144">
        <f t="shared" si="18"/>
        <v>0</v>
      </c>
      <c r="AH11" s="144">
        <f t="shared" si="19"/>
        <v>0</v>
      </c>
      <c r="AI11" s="144">
        <f t="shared" si="20"/>
        <v>0</v>
      </c>
      <c r="AJ11" s="144">
        <f t="shared" si="21"/>
        <v>0</v>
      </c>
    </row>
    <row r="12" spans="1:36" ht="33" hidden="1" customHeight="1">
      <c r="A12" s="522">
        <v>1</v>
      </c>
      <c r="B12" s="9" t="s">
        <v>57</v>
      </c>
      <c r="C12" s="10" t="s">
        <v>30</v>
      </c>
      <c r="D12" s="99"/>
      <c r="E12" s="508"/>
      <c r="F12" s="458"/>
      <c r="G12" s="458"/>
      <c r="H12" s="456"/>
      <c r="I12" s="456"/>
      <c r="J12" s="456"/>
      <c r="K12" s="456"/>
      <c r="L12" s="456"/>
      <c r="M12" s="456"/>
      <c r="N12" s="523"/>
      <c r="O12" s="520">
        <f t="shared" si="1"/>
        <v>0</v>
      </c>
      <c r="P12" s="520">
        <f t="shared" si="2"/>
        <v>0</v>
      </c>
      <c r="Q12" s="520">
        <f t="shared" si="3"/>
        <v>0</v>
      </c>
      <c r="R12" s="520">
        <f t="shared" si="4"/>
        <v>0</v>
      </c>
      <c r="S12" s="520">
        <f t="shared" si="5"/>
        <v>0</v>
      </c>
      <c r="T12" s="520">
        <f t="shared" si="6"/>
        <v>0</v>
      </c>
      <c r="U12" s="144">
        <f t="shared" si="7"/>
        <v>0</v>
      </c>
      <c r="V12" s="144">
        <f t="shared" si="8"/>
        <v>0</v>
      </c>
      <c r="W12" s="144">
        <f t="shared" si="9"/>
        <v>0</v>
      </c>
      <c r="X12" s="144">
        <f t="shared" si="10"/>
        <v>0</v>
      </c>
      <c r="Y12" s="144">
        <f t="shared" si="11"/>
        <v>0</v>
      </c>
      <c r="AA12" s="521">
        <f t="shared" si="12"/>
        <v>0</v>
      </c>
      <c r="AB12" s="521">
        <f t="shared" si="13"/>
        <v>0</v>
      </c>
      <c r="AC12" s="521">
        <f t="shared" si="14"/>
        <v>0</v>
      </c>
      <c r="AD12" s="521">
        <f t="shared" si="15"/>
        <v>0</v>
      </c>
      <c r="AF12" s="144">
        <f t="shared" si="17"/>
        <v>0</v>
      </c>
      <c r="AG12" s="144">
        <f t="shared" si="18"/>
        <v>0</v>
      </c>
      <c r="AH12" s="144">
        <f t="shared" si="19"/>
        <v>0</v>
      </c>
      <c r="AI12" s="144">
        <f t="shared" si="20"/>
        <v>0</v>
      </c>
      <c r="AJ12" s="144">
        <f t="shared" si="21"/>
        <v>0</v>
      </c>
    </row>
    <row r="13" spans="1:36" ht="33" hidden="1" customHeight="1">
      <c r="A13" s="20">
        <v>2</v>
      </c>
      <c r="B13" s="524" t="s">
        <v>59</v>
      </c>
      <c r="C13" s="10" t="s">
        <v>30</v>
      </c>
      <c r="D13" s="99"/>
      <c r="E13" s="508"/>
      <c r="F13" s="458"/>
      <c r="G13" s="458"/>
      <c r="H13" s="456"/>
      <c r="I13" s="456"/>
      <c r="J13" s="456"/>
      <c r="K13" s="456"/>
      <c r="L13" s="456"/>
      <c r="M13" s="456"/>
      <c r="N13" s="523"/>
      <c r="O13" s="520">
        <f t="shared" si="1"/>
        <v>0</v>
      </c>
      <c r="P13" s="520">
        <f t="shared" si="2"/>
        <v>0</v>
      </c>
      <c r="Q13" s="520">
        <f t="shared" si="3"/>
        <v>0</v>
      </c>
      <c r="R13" s="520">
        <f t="shared" si="4"/>
        <v>0</v>
      </c>
      <c r="S13" s="520">
        <f t="shared" si="5"/>
        <v>0</v>
      </c>
      <c r="T13" s="520">
        <f t="shared" si="6"/>
        <v>0</v>
      </c>
      <c r="U13" s="144">
        <f t="shared" si="7"/>
        <v>0</v>
      </c>
      <c r="V13" s="144">
        <f t="shared" si="8"/>
        <v>0</v>
      </c>
      <c r="W13" s="144">
        <f t="shared" si="9"/>
        <v>0</v>
      </c>
      <c r="X13" s="144">
        <f t="shared" si="10"/>
        <v>0</v>
      </c>
      <c r="Y13" s="144">
        <f t="shared" si="11"/>
        <v>0</v>
      </c>
      <c r="AA13" s="521">
        <f t="shared" si="12"/>
        <v>0</v>
      </c>
      <c r="AB13" s="521">
        <f t="shared" si="13"/>
        <v>0</v>
      </c>
      <c r="AC13" s="521">
        <f t="shared" si="14"/>
        <v>0</v>
      </c>
      <c r="AD13" s="521">
        <f t="shared" si="15"/>
        <v>0</v>
      </c>
      <c r="AF13" s="144">
        <f t="shared" si="17"/>
        <v>0</v>
      </c>
      <c r="AG13" s="144">
        <f t="shared" si="18"/>
        <v>0</v>
      </c>
      <c r="AH13" s="144">
        <f t="shared" si="19"/>
        <v>0</v>
      </c>
      <c r="AI13" s="144">
        <f t="shared" si="20"/>
        <v>0</v>
      </c>
      <c r="AJ13" s="144">
        <f t="shared" si="21"/>
        <v>0</v>
      </c>
    </row>
    <row r="14" spans="1:36" s="15" customFormat="1" ht="33" hidden="1" customHeight="1">
      <c r="A14" s="20">
        <v>3</v>
      </c>
      <c r="B14" s="524" t="s">
        <v>61</v>
      </c>
      <c r="C14" s="10" t="s">
        <v>30</v>
      </c>
      <c r="D14" s="99"/>
      <c r="E14" s="508"/>
      <c r="F14" s="458"/>
      <c r="G14" s="458"/>
      <c r="H14" s="456"/>
      <c r="I14" s="456"/>
      <c r="J14" s="456"/>
      <c r="K14" s="456"/>
      <c r="L14" s="456"/>
      <c r="M14" s="456"/>
      <c r="N14" s="523"/>
      <c r="O14" s="520">
        <f t="shared" si="1"/>
        <v>0</v>
      </c>
      <c r="P14" s="520">
        <f t="shared" si="2"/>
        <v>0</v>
      </c>
      <c r="Q14" s="520">
        <f t="shared" si="3"/>
        <v>0</v>
      </c>
      <c r="R14" s="520">
        <f t="shared" si="4"/>
        <v>0</v>
      </c>
      <c r="S14" s="520">
        <f t="shared" si="5"/>
        <v>0</v>
      </c>
      <c r="T14" s="520">
        <f t="shared" si="6"/>
        <v>0</v>
      </c>
      <c r="U14" s="144">
        <f t="shared" si="7"/>
        <v>0</v>
      </c>
      <c r="V14" s="144">
        <f t="shared" si="8"/>
        <v>0</v>
      </c>
      <c r="W14" s="144">
        <f t="shared" si="9"/>
        <v>0</v>
      </c>
      <c r="X14" s="144">
        <f t="shared" si="10"/>
        <v>0</v>
      </c>
      <c r="Y14" s="144">
        <f t="shared" si="11"/>
        <v>0</v>
      </c>
      <c r="AA14" s="521">
        <f t="shared" si="12"/>
        <v>0</v>
      </c>
      <c r="AB14" s="521">
        <f t="shared" si="13"/>
        <v>0</v>
      </c>
      <c r="AC14" s="521">
        <f t="shared" si="14"/>
        <v>0</v>
      </c>
      <c r="AD14" s="521">
        <f t="shared" si="15"/>
        <v>0</v>
      </c>
      <c r="AF14" s="144">
        <f t="shared" si="17"/>
        <v>0</v>
      </c>
      <c r="AG14" s="144">
        <f t="shared" si="18"/>
        <v>0</v>
      </c>
      <c r="AH14" s="144">
        <f t="shared" si="19"/>
        <v>0</v>
      </c>
      <c r="AI14" s="144">
        <f t="shared" si="20"/>
        <v>0</v>
      </c>
      <c r="AJ14" s="144">
        <f t="shared" si="21"/>
        <v>0</v>
      </c>
    </row>
    <row r="15" spans="1:36" s="15" customFormat="1" ht="33" hidden="1" customHeight="1">
      <c r="A15" s="20">
        <v>4</v>
      </c>
      <c r="B15" s="524" t="s">
        <v>62</v>
      </c>
      <c r="C15" s="10" t="s">
        <v>36</v>
      </c>
      <c r="D15" s="99"/>
      <c r="E15" s="508"/>
      <c r="F15" s="458"/>
      <c r="G15" s="458"/>
      <c r="H15" s="456"/>
      <c r="I15" s="456"/>
      <c r="J15" s="456"/>
      <c r="K15" s="456"/>
      <c r="L15" s="456"/>
      <c r="M15" s="456"/>
      <c r="N15" s="523"/>
      <c r="O15" s="520">
        <f t="shared" si="1"/>
        <v>0</v>
      </c>
      <c r="P15" s="520">
        <f t="shared" si="2"/>
        <v>0</v>
      </c>
      <c r="Q15" s="520">
        <f t="shared" si="3"/>
        <v>0</v>
      </c>
      <c r="R15" s="520">
        <f t="shared" si="4"/>
        <v>0</v>
      </c>
      <c r="S15" s="520">
        <f t="shared" si="5"/>
        <v>0</v>
      </c>
      <c r="T15" s="520">
        <f t="shared" si="6"/>
        <v>0</v>
      </c>
      <c r="U15" s="144">
        <f t="shared" si="7"/>
        <v>0</v>
      </c>
      <c r="V15" s="144">
        <f t="shared" si="8"/>
        <v>0</v>
      </c>
      <c r="W15" s="144">
        <f t="shared" si="9"/>
        <v>0</v>
      </c>
      <c r="X15" s="144">
        <f t="shared" si="10"/>
        <v>0</v>
      </c>
      <c r="Y15" s="144">
        <f t="shared" si="11"/>
        <v>0</v>
      </c>
      <c r="AA15" s="521">
        <f t="shared" si="12"/>
        <v>0</v>
      </c>
      <c r="AB15" s="521">
        <f t="shared" si="13"/>
        <v>0</v>
      </c>
      <c r="AC15" s="521">
        <f t="shared" si="14"/>
        <v>0</v>
      </c>
      <c r="AD15" s="521">
        <f t="shared" si="15"/>
        <v>0</v>
      </c>
      <c r="AF15" s="144">
        <f t="shared" si="17"/>
        <v>0</v>
      </c>
      <c r="AG15" s="144">
        <f t="shared" si="18"/>
        <v>0</v>
      </c>
      <c r="AH15" s="144">
        <f t="shared" si="19"/>
        <v>0</v>
      </c>
      <c r="AI15" s="144">
        <f t="shared" si="20"/>
        <v>0</v>
      </c>
      <c r="AJ15" s="144">
        <f t="shared" si="21"/>
        <v>0</v>
      </c>
    </row>
    <row r="16" spans="1:36" s="15" customFormat="1" ht="33" hidden="1" customHeight="1">
      <c r="A16" s="20">
        <v>5</v>
      </c>
      <c r="B16" s="524" t="s">
        <v>63</v>
      </c>
      <c r="C16" s="10" t="s">
        <v>30</v>
      </c>
      <c r="D16" s="99"/>
      <c r="E16" s="508"/>
      <c r="F16" s="458"/>
      <c r="G16" s="458"/>
      <c r="H16" s="456"/>
      <c r="I16" s="456"/>
      <c r="J16" s="456"/>
      <c r="K16" s="456"/>
      <c r="L16" s="456"/>
      <c r="M16" s="456"/>
      <c r="N16" s="523"/>
      <c r="O16" s="520">
        <f t="shared" si="1"/>
        <v>0</v>
      </c>
      <c r="P16" s="520">
        <f t="shared" si="2"/>
        <v>0</v>
      </c>
      <c r="Q16" s="520">
        <f t="shared" si="3"/>
        <v>0</v>
      </c>
      <c r="R16" s="520">
        <f t="shared" si="4"/>
        <v>0</v>
      </c>
      <c r="S16" s="520">
        <f t="shared" si="5"/>
        <v>0</v>
      </c>
      <c r="T16" s="520">
        <f t="shared" si="6"/>
        <v>0</v>
      </c>
      <c r="U16" s="144">
        <f t="shared" si="7"/>
        <v>0</v>
      </c>
      <c r="V16" s="144">
        <f t="shared" si="8"/>
        <v>0</v>
      </c>
      <c r="W16" s="144">
        <f t="shared" si="9"/>
        <v>0</v>
      </c>
      <c r="X16" s="144">
        <f t="shared" si="10"/>
        <v>0</v>
      </c>
      <c r="Y16" s="144">
        <f t="shared" si="11"/>
        <v>0</v>
      </c>
      <c r="AA16" s="521">
        <f t="shared" si="12"/>
        <v>0</v>
      </c>
      <c r="AB16" s="521">
        <f t="shared" si="13"/>
        <v>0</v>
      </c>
      <c r="AC16" s="521">
        <f t="shared" si="14"/>
        <v>0</v>
      </c>
      <c r="AD16" s="521">
        <f t="shared" si="15"/>
        <v>0</v>
      </c>
      <c r="AF16" s="144">
        <f t="shared" si="17"/>
        <v>0</v>
      </c>
      <c r="AG16" s="144">
        <f t="shared" si="18"/>
        <v>0</v>
      </c>
      <c r="AH16" s="144">
        <f t="shared" si="19"/>
        <v>0</v>
      </c>
      <c r="AI16" s="144">
        <f t="shared" si="20"/>
        <v>0</v>
      </c>
      <c r="AJ16" s="144">
        <f t="shared" si="21"/>
        <v>0</v>
      </c>
    </row>
    <row r="17" spans="1:36" ht="33" hidden="1" customHeight="1">
      <c r="A17" s="48">
        <v>6</v>
      </c>
      <c r="B17" s="525" t="s">
        <v>64</v>
      </c>
      <c r="C17" s="49" t="s">
        <v>65</v>
      </c>
      <c r="D17" s="99"/>
      <c r="E17" s="508"/>
      <c r="F17" s="458"/>
      <c r="G17" s="458"/>
      <c r="H17" s="456"/>
      <c r="I17" s="456"/>
      <c r="J17" s="456"/>
      <c r="K17" s="456"/>
      <c r="L17" s="456"/>
      <c r="M17" s="456"/>
      <c r="N17" s="523"/>
      <c r="O17" s="520">
        <f t="shared" si="1"/>
        <v>0</v>
      </c>
      <c r="P17" s="520">
        <f t="shared" si="2"/>
        <v>0</v>
      </c>
      <c r="Q17" s="520">
        <f t="shared" si="3"/>
        <v>0</v>
      </c>
      <c r="R17" s="520">
        <f t="shared" si="4"/>
        <v>0</v>
      </c>
      <c r="S17" s="520">
        <f t="shared" si="5"/>
        <v>0</v>
      </c>
      <c r="T17" s="520">
        <f t="shared" si="6"/>
        <v>0</v>
      </c>
      <c r="U17" s="144">
        <f t="shared" si="7"/>
        <v>0</v>
      </c>
      <c r="V17" s="144">
        <f t="shared" si="8"/>
        <v>0</v>
      </c>
      <c r="W17" s="144">
        <f t="shared" si="9"/>
        <v>0</v>
      </c>
      <c r="X17" s="144">
        <f t="shared" si="10"/>
        <v>0</v>
      </c>
      <c r="Y17" s="144">
        <f t="shared" si="11"/>
        <v>0</v>
      </c>
      <c r="AA17" s="521">
        <f t="shared" si="12"/>
        <v>0</v>
      </c>
      <c r="AB17" s="521">
        <f t="shared" si="13"/>
        <v>0</v>
      </c>
      <c r="AC17" s="521">
        <f t="shared" si="14"/>
        <v>0</v>
      </c>
      <c r="AD17" s="521">
        <f t="shared" si="15"/>
        <v>0</v>
      </c>
      <c r="AF17" s="144">
        <f t="shared" si="17"/>
        <v>0</v>
      </c>
      <c r="AG17" s="144">
        <f t="shared" si="18"/>
        <v>0</v>
      </c>
      <c r="AH17" s="144">
        <f t="shared" si="19"/>
        <v>0</v>
      </c>
      <c r="AI17" s="144">
        <f t="shared" si="20"/>
        <v>0</v>
      </c>
      <c r="AJ17" s="144">
        <f t="shared" si="21"/>
        <v>0</v>
      </c>
    </row>
    <row r="18" spans="1:36" s="531" customFormat="1" ht="24.75" customHeight="1">
      <c r="A18" s="526" t="s">
        <v>28</v>
      </c>
      <c r="B18" s="527" t="s">
        <v>66</v>
      </c>
      <c r="C18" s="528"/>
      <c r="D18" s="117">
        <f>SUM(D19:D27)</f>
        <v>27750</v>
      </c>
      <c r="E18" s="94">
        <f t="shared" ref="E18:M18" si="23">SUM(E19:E27)</f>
        <v>14760</v>
      </c>
      <c r="F18" s="453">
        <f t="shared" si="23"/>
        <v>14760</v>
      </c>
      <c r="G18" s="453">
        <f t="shared" si="23"/>
        <v>0</v>
      </c>
      <c r="H18" s="117">
        <f t="shared" si="23"/>
        <v>6454.7</v>
      </c>
      <c r="I18" s="117">
        <f t="shared" si="23"/>
        <v>6454.7</v>
      </c>
      <c r="J18" s="117">
        <f t="shared" si="23"/>
        <v>5280</v>
      </c>
      <c r="K18" s="117">
        <f t="shared" si="23"/>
        <v>5280</v>
      </c>
      <c r="L18" s="117">
        <f t="shared" si="23"/>
        <v>5280</v>
      </c>
      <c r="M18" s="117">
        <f t="shared" si="23"/>
        <v>17512</v>
      </c>
      <c r="N18" s="454"/>
      <c r="O18" s="529">
        <f t="shared" si="1"/>
        <v>22470</v>
      </c>
      <c r="P18" s="529">
        <f t="shared" si="2"/>
        <v>9480</v>
      </c>
      <c r="Q18" s="529">
        <f t="shared" si="3"/>
        <v>-11734.7</v>
      </c>
      <c r="R18" s="529">
        <f t="shared" si="4"/>
        <v>9480</v>
      </c>
      <c r="S18" s="529">
        <f t="shared" si="5"/>
        <v>0</v>
      </c>
      <c r="T18" s="529">
        <f t="shared" si="6"/>
        <v>22470</v>
      </c>
      <c r="U18" s="530">
        <f t="shared" si="7"/>
        <v>0</v>
      </c>
      <c r="V18" s="530">
        <f t="shared" si="8"/>
        <v>22470</v>
      </c>
      <c r="W18" s="530">
        <f t="shared" si="9"/>
        <v>9480</v>
      </c>
      <c r="X18" s="530">
        <f t="shared" si="10"/>
        <v>9480</v>
      </c>
      <c r="Y18" s="530">
        <f t="shared" si="11"/>
        <v>1174.6999999999998</v>
      </c>
      <c r="AA18" s="521">
        <f t="shared" si="12"/>
        <v>9480</v>
      </c>
      <c r="AB18" s="521">
        <f t="shared" si="13"/>
        <v>22470</v>
      </c>
      <c r="AC18" s="521">
        <f t="shared" si="14"/>
        <v>0</v>
      </c>
      <c r="AD18" s="521">
        <f t="shared" si="15"/>
        <v>22470</v>
      </c>
      <c r="AF18" s="144">
        <f t="shared" si="17"/>
        <v>0</v>
      </c>
      <c r="AG18" s="144">
        <f t="shared" si="18"/>
        <v>5280</v>
      </c>
      <c r="AH18" s="144">
        <f t="shared" si="19"/>
        <v>22470</v>
      </c>
      <c r="AI18" s="144">
        <f t="shared" si="20"/>
        <v>20040</v>
      </c>
      <c r="AJ18" s="144">
        <f t="shared" si="21"/>
        <v>1174.6999999999998</v>
      </c>
    </row>
    <row r="19" spans="1:36" s="15" customFormat="1" ht="31.2">
      <c r="A19" s="48">
        <v>1</v>
      </c>
      <c r="B19" s="524" t="s">
        <v>67</v>
      </c>
      <c r="C19" s="20" t="s">
        <v>30</v>
      </c>
      <c r="D19" s="99">
        <v>4600</v>
      </c>
      <c r="E19" s="97">
        <f>SUM(F19:G19)</f>
        <v>3260</v>
      </c>
      <c r="F19" s="455">
        <v>3260</v>
      </c>
      <c r="G19" s="458"/>
      <c r="H19" s="99">
        <f>409+288</f>
        <v>697</v>
      </c>
      <c r="I19" s="456">
        <f>H19</f>
        <v>697</v>
      </c>
      <c r="J19" s="163">
        <v>947</v>
      </c>
      <c r="K19" s="456">
        <f t="shared" ref="K19:K27" si="24">J19</f>
        <v>947</v>
      </c>
      <c r="L19" s="456">
        <f t="shared" ref="L19:L27" si="25">K19</f>
        <v>947</v>
      </c>
      <c r="M19" s="456">
        <f>D19-K19-130</f>
        <v>3523</v>
      </c>
      <c r="N19" s="532"/>
      <c r="O19" s="520">
        <f t="shared" si="1"/>
        <v>3653</v>
      </c>
      <c r="P19" s="520">
        <f t="shared" si="2"/>
        <v>2313</v>
      </c>
      <c r="Q19" s="520">
        <f t="shared" si="3"/>
        <v>-1644</v>
      </c>
      <c r="R19" s="520">
        <f t="shared" si="4"/>
        <v>2313</v>
      </c>
      <c r="S19" s="520">
        <f t="shared" si="5"/>
        <v>0</v>
      </c>
      <c r="T19" s="520">
        <f t="shared" si="6"/>
        <v>3653</v>
      </c>
      <c r="U19" s="144">
        <f t="shared" si="7"/>
        <v>0</v>
      </c>
      <c r="V19" s="144">
        <f t="shared" si="8"/>
        <v>3653</v>
      </c>
      <c r="W19" s="144">
        <f t="shared" si="9"/>
        <v>2313</v>
      </c>
      <c r="X19" s="144">
        <f t="shared" si="10"/>
        <v>2313</v>
      </c>
      <c r="Y19" s="144">
        <f t="shared" si="11"/>
        <v>-250</v>
      </c>
      <c r="AA19" s="521">
        <f t="shared" si="12"/>
        <v>2313</v>
      </c>
      <c r="AB19" s="521">
        <f t="shared" si="13"/>
        <v>3653</v>
      </c>
      <c r="AC19" s="521">
        <f t="shared" si="14"/>
        <v>0</v>
      </c>
      <c r="AD19" s="521">
        <f t="shared" si="15"/>
        <v>3653</v>
      </c>
      <c r="AE19" s="688"/>
      <c r="AF19" s="144">
        <f t="shared" si="17"/>
        <v>0</v>
      </c>
      <c r="AG19" s="144">
        <f t="shared" si="18"/>
        <v>947</v>
      </c>
      <c r="AH19" s="144">
        <f t="shared" si="19"/>
        <v>3653</v>
      </c>
      <c r="AI19" s="144">
        <f t="shared" si="20"/>
        <v>4207</v>
      </c>
      <c r="AJ19" s="144">
        <f t="shared" si="21"/>
        <v>-250</v>
      </c>
    </row>
    <row r="20" spans="1:36" s="15" customFormat="1" ht="31.2">
      <c r="A20" s="48">
        <v>2</v>
      </c>
      <c r="B20" s="524" t="s">
        <v>68</v>
      </c>
      <c r="C20" s="20" t="s">
        <v>37</v>
      </c>
      <c r="D20" s="99">
        <v>3600</v>
      </c>
      <c r="E20" s="97">
        <f t="shared" ref="E20:E31" si="26">SUM(F20:G20)</f>
        <v>1550</v>
      </c>
      <c r="F20" s="455">
        <v>1550</v>
      </c>
      <c r="G20" s="458"/>
      <c r="H20" s="99">
        <f>246+1304</f>
        <v>1550</v>
      </c>
      <c r="I20" s="456">
        <f>H20</f>
        <v>1550</v>
      </c>
      <c r="J20" s="163">
        <v>500</v>
      </c>
      <c r="K20" s="456">
        <f t="shared" si="24"/>
        <v>500</v>
      </c>
      <c r="L20" s="456">
        <f t="shared" si="25"/>
        <v>500</v>
      </c>
      <c r="M20" s="456">
        <f>D20-K20-260</f>
        <v>2840</v>
      </c>
      <c r="N20" s="532"/>
      <c r="O20" s="520">
        <f t="shared" si="1"/>
        <v>3100</v>
      </c>
      <c r="P20" s="520">
        <f t="shared" si="2"/>
        <v>1050</v>
      </c>
      <c r="Q20" s="520">
        <f t="shared" si="3"/>
        <v>-2050</v>
      </c>
      <c r="R20" s="520">
        <f t="shared" si="4"/>
        <v>1050</v>
      </c>
      <c r="S20" s="520">
        <f t="shared" si="5"/>
        <v>0</v>
      </c>
      <c r="T20" s="520">
        <f t="shared" si="6"/>
        <v>3100</v>
      </c>
      <c r="U20" s="144">
        <f t="shared" si="7"/>
        <v>0</v>
      </c>
      <c r="V20" s="144">
        <f t="shared" si="8"/>
        <v>3100</v>
      </c>
      <c r="W20" s="144">
        <f t="shared" si="9"/>
        <v>1050</v>
      </c>
      <c r="X20" s="144">
        <f t="shared" si="10"/>
        <v>1050</v>
      </c>
      <c r="Y20" s="144">
        <f t="shared" si="11"/>
        <v>1050</v>
      </c>
      <c r="AA20" s="521">
        <f t="shared" si="12"/>
        <v>1050</v>
      </c>
      <c r="AB20" s="521">
        <f t="shared" si="13"/>
        <v>3100</v>
      </c>
      <c r="AC20" s="521">
        <f t="shared" si="14"/>
        <v>0</v>
      </c>
      <c r="AD20" s="521">
        <f t="shared" si="15"/>
        <v>3100</v>
      </c>
      <c r="AE20" s="688"/>
      <c r="AF20" s="144">
        <f t="shared" si="17"/>
        <v>0</v>
      </c>
      <c r="AG20" s="144">
        <f t="shared" si="18"/>
        <v>500</v>
      </c>
      <c r="AH20" s="144">
        <f t="shared" si="19"/>
        <v>3100</v>
      </c>
      <c r="AI20" s="144">
        <f t="shared" si="20"/>
        <v>2050</v>
      </c>
      <c r="AJ20" s="144">
        <f t="shared" si="21"/>
        <v>1050</v>
      </c>
    </row>
    <row r="21" spans="1:36" s="15" customFormat="1" ht="27" customHeight="1">
      <c r="A21" s="48">
        <v>3</v>
      </c>
      <c r="B21" s="524" t="s">
        <v>69</v>
      </c>
      <c r="C21" s="20" t="s">
        <v>39</v>
      </c>
      <c r="D21" s="99">
        <v>4500</v>
      </c>
      <c r="E21" s="97">
        <f t="shared" si="26"/>
        <v>2050</v>
      </c>
      <c r="F21" s="455">
        <v>2050</v>
      </c>
      <c r="G21" s="458"/>
      <c r="H21" s="99">
        <v>244</v>
      </c>
      <c r="I21" s="456">
        <f t="shared" ref="I21:I27" si="27">H21</f>
        <v>244</v>
      </c>
      <c r="J21" s="163">
        <v>236</v>
      </c>
      <c r="K21" s="456">
        <f t="shared" si="24"/>
        <v>236</v>
      </c>
      <c r="L21" s="456">
        <f t="shared" si="25"/>
        <v>236</v>
      </c>
      <c r="M21" s="456">
        <v>2408</v>
      </c>
      <c r="N21" s="532"/>
      <c r="O21" s="520">
        <f t="shared" si="1"/>
        <v>4264</v>
      </c>
      <c r="P21" s="520">
        <f t="shared" si="2"/>
        <v>1814</v>
      </c>
      <c r="Q21" s="520">
        <f t="shared" si="3"/>
        <v>-480</v>
      </c>
      <c r="R21" s="520">
        <f t="shared" si="4"/>
        <v>1814</v>
      </c>
      <c r="S21" s="520">
        <f t="shared" si="5"/>
        <v>0</v>
      </c>
      <c r="T21" s="520">
        <f t="shared" si="6"/>
        <v>4264</v>
      </c>
      <c r="U21" s="144">
        <f t="shared" si="7"/>
        <v>0</v>
      </c>
      <c r="V21" s="144">
        <f t="shared" si="8"/>
        <v>4264</v>
      </c>
      <c r="W21" s="144">
        <f t="shared" si="9"/>
        <v>1814</v>
      </c>
      <c r="X21" s="144">
        <f t="shared" si="10"/>
        <v>1814</v>
      </c>
      <c r="Y21" s="144">
        <f t="shared" si="11"/>
        <v>8</v>
      </c>
      <c r="AA21" s="521">
        <f t="shared" si="12"/>
        <v>1814</v>
      </c>
      <c r="AB21" s="521">
        <f t="shared" si="13"/>
        <v>4264</v>
      </c>
      <c r="AC21" s="521">
        <f t="shared" si="14"/>
        <v>0</v>
      </c>
      <c r="AD21" s="521">
        <f t="shared" si="15"/>
        <v>4264</v>
      </c>
      <c r="AE21" s="688"/>
      <c r="AF21" s="144">
        <f t="shared" si="17"/>
        <v>0</v>
      </c>
      <c r="AG21" s="144">
        <f t="shared" si="18"/>
        <v>236</v>
      </c>
      <c r="AH21" s="144">
        <f t="shared" si="19"/>
        <v>4264</v>
      </c>
      <c r="AI21" s="144">
        <f t="shared" si="20"/>
        <v>2286</v>
      </c>
      <c r="AJ21" s="144">
        <f t="shared" si="21"/>
        <v>8</v>
      </c>
    </row>
    <row r="22" spans="1:36" s="15" customFormat="1" ht="27" customHeight="1">
      <c r="A22" s="48">
        <v>4</v>
      </c>
      <c r="B22" s="524" t="s">
        <v>70</v>
      </c>
      <c r="C22" s="20" t="s">
        <v>41</v>
      </c>
      <c r="D22" s="99">
        <v>3000</v>
      </c>
      <c r="E22" s="97">
        <f t="shared" si="26"/>
        <v>1500</v>
      </c>
      <c r="F22" s="455">
        <v>1500</v>
      </c>
      <c r="G22" s="458"/>
      <c r="H22" s="99">
        <v>222</v>
      </c>
      <c r="I22" s="456">
        <f t="shared" si="27"/>
        <v>222</v>
      </c>
      <c r="J22" s="163">
        <v>250</v>
      </c>
      <c r="K22" s="456">
        <f t="shared" si="24"/>
        <v>250</v>
      </c>
      <c r="L22" s="456">
        <f t="shared" si="25"/>
        <v>250</v>
      </c>
      <c r="M22" s="456">
        <f>D22-K22-20</f>
        <v>2730</v>
      </c>
      <c r="N22" s="532"/>
      <c r="O22" s="520">
        <f t="shared" si="1"/>
        <v>2750</v>
      </c>
      <c r="P22" s="520">
        <f t="shared" si="2"/>
        <v>1250</v>
      </c>
      <c r="Q22" s="520">
        <f t="shared" si="3"/>
        <v>-472</v>
      </c>
      <c r="R22" s="520">
        <f t="shared" si="4"/>
        <v>1250</v>
      </c>
      <c r="S22" s="520">
        <f t="shared" si="5"/>
        <v>0</v>
      </c>
      <c r="T22" s="520">
        <f t="shared" si="6"/>
        <v>2750</v>
      </c>
      <c r="U22" s="144">
        <f t="shared" si="7"/>
        <v>0</v>
      </c>
      <c r="V22" s="144">
        <f t="shared" si="8"/>
        <v>2750</v>
      </c>
      <c r="W22" s="144">
        <f t="shared" si="9"/>
        <v>1250</v>
      </c>
      <c r="X22" s="144">
        <f t="shared" si="10"/>
        <v>1250</v>
      </c>
      <c r="Y22" s="144">
        <f t="shared" si="11"/>
        <v>-28</v>
      </c>
      <c r="AA22" s="521">
        <f t="shared" si="12"/>
        <v>1250</v>
      </c>
      <c r="AB22" s="521">
        <f t="shared" si="13"/>
        <v>2750</v>
      </c>
      <c r="AC22" s="521">
        <f t="shared" si="14"/>
        <v>0</v>
      </c>
      <c r="AD22" s="521">
        <f t="shared" si="15"/>
        <v>2750</v>
      </c>
      <c r="AE22" s="688"/>
      <c r="AF22" s="144">
        <f t="shared" si="17"/>
        <v>0</v>
      </c>
      <c r="AG22" s="144">
        <f t="shared" si="18"/>
        <v>250</v>
      </c>
      <c r="AH22" s="144">
        <f t="shared" si="19"/>
        <v>2750</v>
      </c>
      <c r="AI22" s="144">
        <f t="shared" si="20"/>
        <v>1750</v>
      </c>
      <c r="AJ22" s="144">
        <f t="shared" si="21"/>
        <v>-28</v>
      </c>
    </row>
    <row r="23" spans="1:36" s="15" customFormat="1" ht="27" customHeight="1">
      <c r="A23" s="48">
        <v>5</v>
      </c>
      <c r="B23" s="524" t="s">
        <v>71</v>
      </c>
      <c r="C23" s="20" t="s">
        <v>42</v>
      </c>
      <c r="D23" s="99">
        <v>2100</v>
      </c>
      <c r="E23" s="97">
        <f t="shared" si="26"/>
        <v>1500</v>
      </c>
      <c r="F23" s="455">
        <v>1500</v>
      </c>
      <c r="G23" s="458"/>
      <c r="H23" s="99">
        <f>145.6+1354.4</f>
        <v>1500</v>
      </c>
      <c r="I23" s="456">
        <f>H23</f>
        <v>1500</v>
      </c>
      <c r="J23" s="163">
        <v>1000</v>
      </c>
      <c r="K23" s="456">
        <f t="shared" si="24"/>
        <v>1000</v>
      </c>
      <c r="L23" s="456">
        <f t="shared" si="25"/>
        <v>1000</v>
      </c>
      <c r="M23" s="456">
        <f>D23-K23-31</f>
        <v>1069</v>
      </c>
      <c r="N23" s="532"/>
      <c r="O23" s="520">
        <f t="shared" si="1"/>
        <v>1100</v>
      </c>
      <c r="P23" s="520">
        <f t="shared" si="2"/>
        <v>500</v>
      </c>
      <c r="Q23" s="520">
        <f t="shared" si="3"/>
        <v>-2500</v>
      </c>
      <c r="R23" s="520">
        <f t="shared" si="4"/>
        <v>500</v>
      </c>
      <c r="S23" s="520">
        <f t="shared" si="5"/>
        <v>0</v>
      </c>
      <c r="T23" s="520">
        <f t="shared" si="6"/>
        <v>1100</v>
      </c>
      <c r="U23" s="144">
        <f t="shared" si="7"/>
        <v>0</v>
      </c>
      <c r="V23" s="144">
        <f t="shared" si="8"/>
        <v>1100</v>
      </c>
      <c r="W23" s="144">
        <f t="shared" si="9"/>
        <v>500</v>
      </c>
      <c r="X23" s="144">
        <f t="shared" si="10"/>
        <v>500</v>
      </c>
      <c r="Y23" s="144">
        <f t="shared" si="11"/>
        <v>500</v>
      </c>
      <c r="AA23" s="521">
        <f t="shared" si="12"/>
        <v>500</v>
      </c>
      <c r="AB23" s="521">
        <f t="shared" si="13"/>
        <v>1100</v>
      </c>
      <c r="AC23" s="521">
        <f t="shared" si="14"/>
        <v>0</v>
      </c>
      <c r="AD23" s="521">
        <f t="shared" si="15"/>
        <v>1100</v>
      </c>
      <c r="AE23" s="688"/>
      <c r="AF23" s="144">
        <f t="shared" si="17"/>
        <v>0</v>
      </c>
      <c r="AG23" s="144">
        <f t="shared" si="18"/>
        <v>1000</v>
      </c>
      <c r="AH23" s="144">
        <f t="shared" si="19"/>
        <v>1100</v>
      </c>
      <c r="AI23" s="144">
        <f t="shared" si="20"/>
        <v>2500</v>
      </c>
      <c r="AJ23" s="144">
        <f t="shared" si="21"/>
        <v>500</v>
      </c>
    </row>
    <row r="24" spans="1:36" ht="27" customHeight="1">
      <c r="A24" s="48">
        <v>6</v>
      </c>
      <c r="B24" s="524" t="s">
        <v>72</v>
      </c>
      <c r="C24" s="20" t="s">
        <v>40</v>
      </c>
      <c r="D24" s="99">
        <v>1800</v>
      </c>
      <c r="E24" s="97">
        <f t="shared" si="26"/>
        <v>1500</v>
      </c>
      <c r="F24" s="455">
        <v>1500</v>
      </c>
      <c r="G24" s="458"/>
      <c r="H24" s="99">
        <v>1533</v>
      </c>
      <c r="I24" s="456">
        <f>H24</f>
        <v>1533</v>
      </c>
      <c r="J24" s="163">
        <v>1300</v>
      </c>
      <c r="K24" s="456">
        <f t="shared" si="24"/>
        <v>1300</v>
      </c>
      <c r="L24" s="456">
        <f t="shared" si="25"/>
        <v>1300</v>
      </c>
      <c r="M24" s="456">
        <v>255</v>
      </c>
      <c r="N24" s="532"/>
      <c r="O24" s="520">
        <f t="shared" si="1"/>
        <v>500</v>
      </c>
      <c r="P24" s="520">
        <f t="shared" si="2"/>
        <v>200</v>
      </c>
      <c r="Q24" s="520">
        <f t="shared" si="3"/>
        <v>-2833</v>
      </c>
      <c r="R24" s="520">
        <f t="shared" si="4"/>
        <v>200</v>
      </c>
      <c r="S24" s="520">
        <f t="shared" si="5"/>
        <v>0</v>
      </c>
      <c r="T24" s="520">
        <f t="shared" si="6"/>
        <v>500</v>
      </c>
      <c r="U24" s="144">
        <f t="shared" si="7"/>
        <v>0</v>
      </c>
      <c r="V24" s="144">
        <f t="shared" si="8"/>
        <v>500</v>
      </c>
      <c r="W24" s="144">
        <f t="shared" si="9"/>
        <v>200</v>
      </c>
      <c r="X24" s="144">
        <f t="shared" si="10"/>
        <v>200</v>
      </c>
      <c r="Y24" s="144">
        <f t="shared" si="11"/>
        <v>233</v>
      </c>
      <c r="AA24" s="521">
        <f t="shared" si="12"/>
        <v>200</v>
      </c>
      <c r="AB24" s="521">
        <f t="shared" si="13"/>
        <v>500</v>
      </c>
      <c r="AC24" s="521">
        <f t="shared" si="14"/>
        <v>0</v>
      </c>
      <c r="AD24" s="521">
        <f t="shared" si="15"/>
        <v>500</v>
      </c>
      <c r="AE24" s="688"/>
      <c r="AF24" s="144">
        <f t="shared" si="17"/>
        <v>0</v>
      </c>
      <c r="AG24" s="144">
        <f t="shared" si="18"/>
        <v>1300</v>
      </c>
      <c r="AH24" s="144">
        <f t="shared" si="19"/>
        <v>500</v>
      </c>
      <c r="AI24" s="144">
        <f t="shared" si="20"/>
        <v>2800</v>
      </c>
      <c r="AJ24" s="144">
        <f t="shared" si="21"/>
        <v>233</v>
      </c>
    </row>
    <row r="25" spans="1:36" ht="27" customHeight="1">
      <c r="A25" s="48">
        <v>7</v>
      </c>
      <c r="B25" s="525" t="s">
        <v>73</v>
      </c>
      <c r="C25" s="20" t="s">
        <v>40</v>
      </c>
      <c r="D25" s="99">
        <v>1050</v>
      </c>
      <c r="E25" s="97">
        <f t="shared" si="26"/>
        <v>800</v>
      </c>
      <c r="F25" s="455">
        <v>800</v>
      </c>
      <c r="G25" s="458"/>
      <c r="H25" s="99">
        <f>255+61.7</f>
        <v>316.7</v>
      </c>
      <c r="I25" s="456">
        <f t="shared" si="27"/>
        <v>316.7</v>
      </c>
      <c r="J25" s="163">
        <v>675</v>
      </c>
      <c r="K25" s="456">
        <f t="shared" si="24"/>
        <v>675</v>
      </c>
      <c r="L25" s="456">
        <f t="shared" si="25"/>
        <v>675</v>
      </c>
      <c r="M25" s="456">
        <v>199</v>
      </c>
      <c r="N25" s="532"/>
      <c r="O25" s="520">
        <f t="shared" si="1"/>
        <v>375</v>
      </c>
      <c r="P25" s="520">
        <f t="shared" si="2"/>
        <v>125</v>
      </c>
      <c r="Q25" s="520">
        <f t="shared" si="3"/>
        <v>-991.7</v>
      </c>
      <c r="R25" s="520">
        <f t="shared" si="4"/>
        <v>125</v>
      </c>
      <c r="S25" s="520">
        <f t="shared" si="5"/>
        <v>0</v>
      </c>
      <c r="T25" s="520">
        <f t="shared" si="6"/>
        <v>375</v>
      </c>
      <c r="U25" s="144">
        <f t="shared" si="7"/>
        <v>0</v>
      </c>
      <c r="V25" s="144">
        <f t="shared" si="8"/>
        <v>375</v>
      </c>
      <c r="W25" s="144">
        <f t="shared" si="9"/>
        <v>125</v>
      </c>
      <c r="X25" s="144">
        <f t="shared" si="10"/>
        <v>125</v>
      </c>
      <c r="Y25" s="144">
        <f t="shared" si="11"/>
        <v>-358.3</v>
      </c>
      <c r="AA25" s="521">
        <f t="shared" si="12"/>
        <v>125</v>
      </c>
      <c r="AB25" s="521">
        <f t="shared" si="13"/>
        <v>375</v>
      </c>
      <c r="AC25" s="521">
        <f t="shared" si="14"/>
        <v>0</v>
      </c>
      <c r="AD25" s="521">
        <f t="shared" si="15"/>
        <v>375</v>
      </c>
      <c r="AE25" s="688"/>
      <c r="AF25" s="144">
        <f t="shared" si="17"/>
        <v>0</v>
      </c>
      <c r="AG25" s="144">
        <f t="shared" si="18"/>
        <v>675</v>
      </c>
      <c r="AH25" s="144">
        <f t="shared" si="19"/>
        <v>375</v>
      </c>
      <c r="AI25" s="144">
        <f t="shared" si="20"/>
        <v>1475</v>
      </c>
      <c r="AJ25" s="144">
        <f t="shared" si="21"/>
        <v>-358.3</v>
      </c>
    </row>
    <row r="26" spans="1:36" ht="27" customHeight="1">
      <c r="A26" s="48">
        <v>8</v>
      </c>
      <c r="B26" s="525" t="s">
        <v>475</v>
      </c>
      <c r="C26" s="20" t="s">
        <v>75</v>
      </c>
      <c r="D26" s="99">
        <v>3600</v>
      </c>
      <c r="E26" s="97">
        <f t="shared" si="26"/>
        <v>1500</v>
      </c>
      <c r="F26" s="455">
        <v>1500</v>
      </c>
      <c r="G26" s="458"/>
      <c r="H26" s="99">
        <v>242</v>
      </c>
      <c r="I26" s="456">
        <f t="shared" si="27"/>
        <v>242</v>
      </c>
      <c r="J26" s="163">
        <v>242</v>
      </c>
      <c r="K26" s="456">
        <f t="shared" si="24"/>
        <v>242</v>
      </c>
      <c r="L26" s="456">
        <f t="shared" si="25"/>
        <v>242</v>
      </c>
      <c r="M26" s="456">
        <v>2091</v>
      </c>
      <c r="N26" s="532"/>
      <c r="O26" s="520">
        <f t="shared" si="1"/>
        <v>3358</v>
      </c>
      <c r="P26" s="520">
        <f t="shared" si="2"/>
        <v>1258</v>
      </c>
      <c r="Q26" s="520">
        <f t="shared" si="3"/>
        <v>-484</v>
      </c>
      <c r="R26" s="520">
        <f t="shared" si="4"/>
        <v>1258</v>
      </c>
      <c r="S26" s="520">
        <f t="shared" si="5"/>
        <v>0</v>
      </c>
      <c r="T26" s="520">
        <f t="shared" si="6"/>
        <v>3358</v>
      </c>
      <c r="U26" s="144">
        <f t="shared" si="7"/>
        <v>0</v>
      </c>
      <c r="V26" s="144">
        <f t="shared" si="8"/>
        <v>3358</v>
      </c>
      <c r="W26" s="144">
        <f t="shared" si="9"/>
        <v>1258</v>
      </c>
      <c r="X26" s="144">
        <f t="shared" si="10"/>
        <v>1258</v>
      </c>
      <c r="Y26" s="144">
        <f t="shared" si="11"/>
        <v>0</v>
      </c>
      <c r="AA26" s="521">
        <f t="shared" si="12"/>
        <v>1258</v>
      </c>
      <c r="AB26" s="521">
        <f t="shared" si="13"/>
        <v>3358</v>
      </c>
      <c r="AC26" s="521">
        <f t="shared" si="14"/>
        <v>0</v>
      </c>
      <c r="AD26" s="521">
        <f t="shared" si="15"/>
        <v>3358</v>
      </c>
      <c r="AE26" s="688"/>
      <c r="AF26" s="144">
        <f t="shared" si="17"/>
        <v>0</v>
      </c>
      <c r="AG26" s="144">
        <f t="shared" si="18"/>
        <v>242</v>
      </c>
      <c r="AH26" s="144">
        <f t="shared" si="19"/>
        <v>3358</v>
      </c>
      <c r="AI26" s="144">
        <f t="shared" si="20"/>
        <v>1742</v>
      </c>
      <c r="AJ26" s="144">
        <f t="shared" si="21"/>
        <v>0</v>
      </c>
    </row>
    <row r="27" spans="1:36" ht="27" customHeight="1">
      <c r="A27" s="48">
        <v>9</v>
      </c>
      <c r="B27" s="525" t="s">
        <v>76</v>
      </c>
      <c r="C27" s="20" t="s">
        <v>30</v>
      </c>
      <c r="D27" s="99">
        <v>3500</v>
      </c>
      <c r="E27" s="97">
        <f t="shared" si="26"/>
        <v>1100</v>
      </c>
      <c r="F27" s="455">
        <v>1100</v>
      </c>
      <c r="G27" s="458"/>
      <c r="H27" s="99">
        <v>150</v>
      </c>
      <c r="I27" s="456">
        <f t="shared" si="27"/>
        <v>150</v>
      </c>
      <c r="J27" s="163">
        <v>130</v>
      </c>
      <c r="K27" s="456">
        <f t="shared" si="24"/>
        <v>130</v>
      </c>
      <c r="L27" s="456">
        <f t="shared" si="25"/>
        <v>130</v>
      </c>
      <c r="M27" s="456">
        <v>2397</v>
      </c>
      <c r="N27" s="532"/>
      <c r="O27" s="520">
        <f t="shared" si="1"/>
        <v>3370</v>
      </c>
      <c r="P27" s="520">
        <f t="shared" si="2"/>
        <v>970</v>
      </c>
      <c r="Q27" s="520">
        <f t="shared" si="3"/>
        <v>-280</v>
      </c>
      <c r="R27" s="520">
        <f t="shared" si="4"/>
        <v>970</v>
      </c>
      <c r="S27" s="520">
        <f t="shared" si="5"/>
        <v>0</v>
      </c>
      <c r="T27" s="520">
        <f t="shared" si="6"/>
        <v>3370</v>
      </c>
      <c r="U27" s="144">
        <f t="shared" si="7"/>
        <v>0</v>
      </c>
      <c r="V27" s="144">
        <f t="shared" si="8"/>
        <v>3370</v>
      </c>
      <c r="W27" s="144">
        <f t="shared" si="9"/>
        <v>970</v>
      </c>
      <c r="X27" s="144">
        <f t="shared" si="10"/>
        <v>970</v>
      </c>
      <c r="Y27" s="144">
        <f t="shared" si="11"/>
        <v>20</v>
      </c>
      <c r="AA27" s="521">
        <f t="shared" si="12"/>
        <v>970</v>
      </c>
      <c r="AB27" s="521">
        <f t="shared" si="13"/>
        <v>3370</v>
      </c>
      <c r="AC27" s="521">
        <f t="shared" si="14"/>
        <v>0</v>
      </c>
      <c r="AD27" s="521">
        <f t="shared" si="15"/>
        <v>3370</v>
      </c>
      <c r="AE27" s="688"/>
      <c r="AF27" s="144">
        <f t="shared" si="17"/>
        <v>0</v>
      </c>
      <c r="AG27" s="144">
        <f t="shared" si="18"/>
        <v>130</v>
      </c>
      <c r="AH27" s="144">
        <f t="shared" si="19"/>
        <v>3370</v>
      </c>
      <c r="AI27" s="144">
        <f t="shared" si="20"/>
        <v>1230</v>
      </c>
      <c r="AJ27" s="144">
        <f t="shared" si="21"/>
        <v>20</v>
      </c>
    </row>
    <row r="28" spans="1:36" s="15" customFormat="1" ht="27" customHeight="1">
      <c r="A28" s="21" t="s">
        <v>28</v>
      </c>
      <c r="B28" s="111" t="s">
        <v>56</v>
      </c>
      <c r="C28" s="533"/>
      <c r="D28" s="117">
        <f t="shared" ref="D28:M28" si="28">SUM(D29:D31)</f>
        <v>16800</v>
      </c>
      <c r="E28" s="94">
        <f>SUM(E29:E31)</f>
        <v>2078.9920000000002</v>
      </c>
      <c r="F28" s="453">
        <f>SUM(F29:F31)</f>
        <v>0</v>
      </c>
      <c r="G28" s="453">
        <f t="shared" si="28"/>
        <v>2078.9920000000002</v>
      </c>
      <c r="H28" s="117">
        <f t="shared" si="28"/>
        <v>2003.9880000000001</v>
      </c>
      <c r="I28" s="117">
        <f t="shared" si="28"/>
        <v>11751.405999999999</v>
      </c>
      <c r="J28" s="117">
        <f t="shared" si="28"/>
        <v>2078.9920000000002</v>
      </c>
      <c r="K28" s="117">
        <f t="shared" si="28"/>
        <v>12985.873</v>
      </c>
      <c r="L28" s="117">
        <f t="shared" si="28"/>
        <v>2078.9920000000002</v>
      </c>
      <c r="M28" s="117">
        <f t="shared" si="28"/>
        <v>3663</v>
      </c>
      <c r="N28" s="534"/>
      <c r="O28" s="520"/>
      <c r="P28" s="520"/>
      <c r="Q28" s="520"/>
      <c r="R28" s="520"/>
      <c r="S28" s="520"/>
      <c r="T28" s="520"/>
      <c r="U28" s="144"/>
      <c r="V28" s="144"/>
      <c r="W28" s="144"/>
      <c r="X28" s="144"/>
      <c r="Y28" s="144"/>
      <c r="AA28" s="521">
        <f>+E28-J28</f>
        <v>0</v>
      </c>
      <c r="AB28" s="521">
        <f t="shared" si="13"/>
        <v>3814.1270000000004</v>
      </c>
      <c r="AC28" s="521">
        <f t="shared" si="14"/>
        <v>0</v>
      </c>
      <c r="AD28" s="521">
        <f t="shared" si="15"/>
        <v>3814.1270000000004</v>
      </c>
      <c r="AF28" s="144">
        <f t="shared" si="17"/>
        <v>0</v>
      </c>
      <c r="AG28" s="144">
        <f t="shared" si="18"/>
        <v>12985.873</v>
      </c>
      <c r="AH28" s="144">
        <f t="shared" si="19"/>
        <v>3814.1270000000004</v>
      </c>
      <c r="AI28" s="144">
        <f t="shared" si="20"/>
        <v>4157.9840000000004</v>
      </c>
      <c r="AJ28" s="144">
        <f t="shared" si="21"/>
        <v>-1234.4670000000006</v>
      </c>
    </row>
    <row r="29" spans="1:36" ht="27" customHeight="1">
      <c r="A29" s="48">
        <v>10</v>
      </c>
      <c r="B29" s="129" t="s">
        <v>63</v>
      </c>
      <c r="C29" s="20" t="s">
        <v>30</v>
      </c>
      <c r="D29" s="99">
        <v>6600</v>
      </c>
      <c r="E29" s="97">
        <f t="shared" si="26"/>
        <v>75.004000000000005</v>
      </c>
      <c r="F29" s="455"/>
      <c r="G29" s="458">
        <v>75.004000000000005</v>
      </c>
      <c r="H29" s="456"/>
      <c r="I29" s="456">
        <v>6475.2389999999996</v>
      </c>
      <c r="J29" s="456">
        <f>E29</f>
        <v>75.004000000000005</v>
      </c>
      <c r="K29" s="456">
        <v>6475.2389999999996</v>
      </c>
      <c r="L29" s="456">
        <f>E29</f>
        <v>75.004000000000005</v>
      </c>
      <c r="M29" s="535"/>
      <c r="N29" s="532" t="s">
        <v>233</v>
      </c>
      <c r="O29" s="520">
        <f>+D29-K29</f>
        <v>124.76100000000042</v>
      </c>
      <c r="P29" s="520"/>
      <c r="Q29" s="520">
        <f>-I29-K29</f>
        <v>-12950.477999999999</v>
      </c>
      <c r="R29" s="520"/>
      <c r="S29" s="520"/>
      <c r="T29" s="520"/>
      <c r="U29" s="144"/>
      <c r="V29" s="144"/>
      <c r="W29" s="144"/>
      <c r="X29" s="144"/>
      <c r="Y29" s="144">
        <f t="shared" ref="Y29:Y36" si="29">+I29-K29</f>
        <v>0</v>
      </c>
      <c r="Z29" s="689"/>
      <c r="AA29" s="521">
        <f t="shared" si="12"/>
        <v>0</v>
      </c>
      <c r="AB29" s="521">
        <f t="shared" si="13"/>
        <v>124.76100000000042</v>
      </c>
      <c r="AC29" s="521">
        <f t="shared" si="14"/>
        <v>0</v>
      </c>
      <c r="AD29" s="521">
        <f t="shared" si="15"/>
        <v>124.76100000000042</v>
      </c>
      <c r="AF29" s="144">
        <f t="shared" si="17"/>
        <v>0</v>
      </c>
      <c r="AG29" s="144">
        <f t="shared" si="18"/>
        <v>6475.2389999999996</v>
      </c>
      <c r="AH29" s="144">
        <f t="shared" si="19"/>
        <v>124.76100000000042</v>
      </c>
      <c r="AI29" s="144">
        <f t="shared" si="20"/>
        <v>150.00800000000001</v>
      </c>
      <c r="AJ29" s="144">
        <f t="shared" si="21"/>
        <v>0</v>
      </c>
    </row>
    <row r="30" spans="1:36" ht="27" customHeight="1">
      <c r="A30" s="48">
        <v>11</v>
      </c>
      <c r="B30" s="129" t="s">
        <v>59</v>
      </c>
      <c r="C30" s="20" t="s">
        <v>30</v>
      </c>
      <c r="D30" s="99">
        <v>5200</v>
      </c>
      <c r="E30" s="97">
        <f t="shared" si="26"/>
        <v>202</v>
      </c>
      <c r="F30" s="455"/>
      <c r="G30" s="458">
        <v>202</v>
      </c>
      <c r="H30" s="456">
        <v>202</v>
      </c>
      <c r="I30" s="456">
        <v>3164.7370000000001</v>
      </c>
      <c r="J30" s="456">
        <f>E30</f>
        <v>202</v>
      </c>
      <c r="K30" s="456">
        <f>3252+J30</f>
        <v>3454</v>
      </c>
      <c r="L30" s="456">
        <f>E30</f>
        <v>202</v>
      </c>
      <c r="M30" s="456">
        <v>1765</v>
      </c>
      <c r="N30" s="532"/>
      <c r="O30" s="520">
        <f>+D30-K30</f>
        <v>1746</v>
      </c>
      <c r="P30" s="520"/>
      <c r="Q30" s="520">
        <f>-I30-K30</f>
        <v>-6618.7370000000001</v>
      </c>
      <c r="R30" s="520"/>
      <c r="S30" s="520"/>
      <c r="T30" s="520"/>
      <c r="U30" s="144"/>
      <c r="V30" s="144"/>
      <c r="W30" s="144"/>
      <c r="X30" s="144"/>
      <c r="Y30" s="144">
        <f t="shared" si="29"/>
        <v>-289.26299999999992</v>
      </c>
      <c r="Z30" s="689"/>
      <c r="AA30" s="521">
        <f t="shared" si="12"/>
        <v>0</v>
      </c>
      <c r="AB30" s="521">
        <f t="shared" si="13"/>
        <v>1746</v>
      </c>
      <c r="AC30" s="521">
        <f t="shared" si="14"/>
        <v>0</v>
      </c>
      <c r="AD30" s="521">
        <f t="shared" si="15"/>
        <v>1746</v>
      </c>
      <c r="AF30" s="144">
        <f t="shared" si="17"/>
        <v>0</v>
      </c>
      <c r="AG30" s="144">
        <f t="shared" si="18"/>
        <v>3454</v>
      </c>
      <c r="AH30" s="144">
        <f t="shared" si="19"/>
        <v>1746</v>
      </c>
      <c r="AI30" s="144">
        <f t="shared" si="20"/>
        <v>404</v>
      </c>
      <c r="AJ30" s="144">
        <f t="shared" si="21"/>
        <v>-289.26299999999992</v>
      </c>
    </row>
    <row r="31" spans="1:36" ht="27" customHeight="1">
      <c r="A31" s="48">
        <v>12</v>
      </c>
      <c r="B31" s="129" t="s">
        <v>61</v>
      </c>
      <c r="C31" s="20" t="s">
        <v>30</v>
      </c>
      <c r="D31" s="99">
        <v>5000</v>
      </c>
      <c r="E31" s="97">
        <f t="shared" si="26"/>
        <v>1801.9880000000001</v>
      </c>
      <c r="F31" s="455"/>
      <c r="G31" s="458">
        <v>1801.9880000000001</v>
      </c>
      <c r="H31" s="456">
        <v>1801.9880000000001</v>
      </c>
      <c r="I31" s="456">
        <f>309.442+1801.988</f>
        <v>2111.4300000000003</v>
      </c>
      <c r="J31" s="456">
        <f>E31</f>
        <v>1801.9880000000001</v>
      </c>
      <c r="K31" s="456">
        <f>1254.646+J31</f>
        <v>3056.634</v>
      </c>
      <c r="L31" s="456">
        <f>E31</f>
        <v>1801.9880000000001</v>
      </c>
      <c r="M31" s="456">
        <v>1898</v>
      </c>
      <c r="N31" s="532"/>
      <c r="O31" s="520">
        <f>+D31-K31</f>
        <v>1943.366</v>
      </c>
      <c r="P31" s="520">
        <f>+E31-J31</f>
        <v>0</v>
      </c>
      <c r="Q31" s="520">
        <f>-I31-K31</f>
        <v>-5168.0640000000003</v>
      </c>
      <c r="R31" s="520">
        <f>+E31-L31</f>
        <v>0</v>
      </c>
      <c r="S31" s="520">
        <f>+L31-J31</f>
        <v>0</v>
      </c>
      <c r="T31" s="520">
        <f>+D31-K31-S31</f>
        <v>1943.366</v>
      </c>
      <c r="U31" s="144">
        <f>+L31-J31</f>
        <v>0</v>
      </c>
      <c r="V31" s="144">
        <f>+D31-L31-U31</f>
        <v>3198.0119999999997</v>
      </c>
      <c r="W31" s="144">
        <f t="shared" ref="W31:W36" si="30">+E31-J31</f>
        <v>0</v>
      </c>
      <c r="X31" s="144">
        <f t="shared" ref="X31:X36" si="31">+E31-L31</f>
        <v>0</v>
      </c>
      <c r="Y31" s="144">
        <f t="shared" si="29"/>
        <v>-945.20399999999972</v>
      </c>
      <c r="Z31" s="689"/>
      <c r="AA31" s="521">
        <f t="shared" si="12"/>
        <v>0</v>
      </c>
      <c r="AB31" s="521">
        <f t="shared" si="13"/>
        <v>1943.366</v>
      </c>
      <c r="AC31" s="521">
        <f t="shared" si="14"/>
        <v>0</v>
      </c>
      <c r="AD31" s="521">
        <f t="shared" si="15"/>
        <v>1943.366</v>
      </c>
      <c r="AE31" s="16" t="s">
        <v>476</v>
      </c>
      <c r="AF31" s="144">
        <f t="shared" si="17"/>
        <v>0</v>
      </c>
      <c r="AG31" s="144">
        <f t="shared" si="18"/>
        <v>3056.634</v>
      </c>
      <c r="AH31" s="144">
        <f t="shared" si="19"/>
        <v>1943.366</v>
      </c>
      <c r="AI31" s="144">
        <f t="shared" si="20"/>
        <v>3603.9760000000001</v>
      </c>
      <c r="AJ31" s="144">
        <f t="shared" si="21"/>
        <v>-945.20399999999972</v>
      </c>
    </row>
    <row r="32" spans="1:36" s="15" customFormat="1" ht="101.25" customHeight="1">
      <c r="A32" s="533" t="s">
        <v>28</v>
      </c>
      <c r="B32" s="23" t="s">
        <v>77</v>
      </c>
      <c r="C32" s="8"/>
      <c r="D32" s="117"/>
      <c r="E32" s="94">
        <f>F32</f>
        <v>3240</v>
      </c>
      <c r="F32" s="453">
        <v>3240</v>
      </c>
      <c r="G32" s="453"/>
      <c r="H32" s="117"/>
      <c r="I32" s="117"/>
      <c r="J32" s="117">
        <v>1320</v>
      </c>
      <c r="K32" s="117"/>
      <c r="L32" s="117">
        <v>1320</v>
      </c>
      <c r="M32" s="117"/>
      <c r="N32" s="536" t="s">
        <v>511</v>
      </c>
      <c r="O32" s="520">
        <f>+D32-K32</f>
        <v>0</v>
      </c>
      <c r="P32" s="520">
        <f>+E32-J32</f>
        <v>1920</v>
      </c>
      <c r="Q32" s="520">
        <f>-I32-K32</f>
        <v>0</v>
      </c>
      <c r="R32" s="520">
        <f>+E32-L32</f>
        <v>1920</v>
      </c>
      <c r="S32" s="520">
        <f>+L32-J32</f>
        <v>0</v>
      </c>
      <c r="T32" s="520">
        <f>+D32-K32-S32</f>
        <v>0</v>
      </c>
      <c r="U32" s="144">
        <f>+L32-J32</f>
        <v>0</v>
      </c>
      <c r="V32" s="144"/>
      <c r="W32" s="144">
        <f t="shared" si="30"/>
        <v>1920</v>
      </c>
      <c r="X32" s="144">
        <f t="shared" si="31"/>
        <v>1920</v>
      </c>
      <c r="Y32" s="144">
        <f t="shared" si="29"/>
        <v>0</v>
      </c>
      <c r="AA32" s="521">
        <f t="shared" si="12"/>
        <v>1920</v>
      </c>
      <c r="AB32" s="521">
        <f t="shared" si="13"/>
        <v>0</v>
      </c>
      <c r="AC32" s="521">
        <f t="shared" si="14"/>
        <v>0</v>
      </c>
      <c r="AD32" s="521">
        <f t="shared" si="15"/>
        <v>0</v>
      </c>
      <c r="AF32" s="144">
        <f t="shared" si="17"/>
        <v>0</v>
      </c>
      <c r="AG32" s="144">
        <f t="shared" si="18"/>
        <v>0</v>
      </c>
      <c r="AH32" s="144">
        <f t="shared" si="19"/>
        <v>0</v>
      </c>
      <c r="AI32" s="144">
        <f>+E32+L32</f>
        <v>4560</v>
      </c>
      <c r="AJ32" s="144">
        <f t="shared" si="21"/>
        <v>0</v>
      </c>
    </row>
    <row r="33" spans="1:30" s="15" customFormat="1" ht="33" hidden="1" customHeight="1">
      <c r="A33" s="17" t="s">
        <v>94</v>
      </c>
      <c r="B33" s="18" t="s">
        <v>247</v>
      </c>
      <c r="C33" s="10"/>
      <c r="D33" s="537"/>
      <c r="E33" s="596"/>
      <c r="F33" s="537"/>
      <c r="G33" s="538"/>
      <c r="H33" s="538"/>
      <c r="I33" s="538"/>
      <c r="J33" s="538"/>
      <c r="K33" s="538"/>
      <c r="L33" s="538"/>
      <c r="M33" s="539">
        <v>59010</v>
      </c>
      <c r="N33" s="19"/>
      <c r="U33" s="144">
        <f>+L33-J33</f>
        <v>0</v>
      </c>
      <c r="V33" s="144">
        <f>+D33-L33-U33</f>
        <v>0</v>
      </c>
      <c r="W33" s="144">
        <f t="shared" si="30"/>
        <v>0</v>
      </c>
      <c r="X33" s="144">
        <f t="shared" si="31"/>
        <v>0</v>
      </c>
      <c r="Y33" s="144">
        <f t="shared" si="29"/>
        <v>0</v>
      </c>
      <c r="AA33" s="521">
        <f t="shared" si="12"/>
        <v>0</v>
      </c>
      <c r="AB33" s="521">
        <f t="shared" si="13"/>
        <v>0</v>
      </c>
      <c r="AC33" s="521">
        <f t="shared" si="14"/>
        <v>0</v>
      </c>
      <c r="AD33" s="521">
        <f t="shared" si="15"/>
        <v>0</v>
      </c>
    </row>
    <row r="34" spans="1:30" s="15" customFormat="1" ht="33" hidden="1" customHeight="1">
      <c r="A34" s="20">
        <v>1</v>
      </c>
      <c r="B34" s="524" t="s">
        <v>78</v>
      </c>
      <c r="C34" s="10" t="s">
        <v>30</v>
      </c>
      <c r="D34" s="540">
        <v>3400</v>
      </c>
      <c r="E34" s="597"/>
      <c r="F34" s="540"/>
      <c r="G34" s="541" t="e">
        <f>#REF!</f>
        <v>#REF!</v>
      </c>
      <c r="H34" s="541"/>
      <c r="I34" s="541"/>
      <c r="J34" s="541"/>
      <c r="K34" s="541"/>
      <c r="L34" s="541"/>
      <c r="M34" s="541"/>
      <c r="N34" s="10" t="s">
        <v>60</v>
      </c>
      <c r="U34" s="144">
        <f>+L34-J34</f>
        <v>0</v>
      </c>
      <c r="V34" s="144">
        <f>+D34-L34-U34</f>
        <v>3400</v>
      </c>
      <c r="W34" s="144">
        <f t="shared" si="30"/>
        <v>0</v>
      </c>
      <c r="X34" s="144">
        <f t="shared" si="31"/>
        <v>0</v>
      </c>
      <c r="Y34" s="144">
        <f t="shared" si="29"/>
        <v>0</v>
      </c>
      <c r="AA34" s="521">
        <f t="shared" si="12"/>
        <v>0</v>
      </c>
      <c r="AB34" s="521">
        <f t="shared" si="13"/>
        <v>3400</v>
      </c>
      <c r="AC34" s="521">
        <f t="shared" si="14"/>
        <v>0</v>
      </c>
      <c r="AD34" s="521">
        <f t="shared" si="15"/>
        <v>3400</v>
      </c>
    </row>
    <row r="35" spans="1:30" s="15" customFormat="1" ht="33" hidden="1" customHeight="1">
      <c r="A35" s="20">
        <v>2</v>
      </c>
      <c r="B35" s="524" t="s">
        <v>79</v>
      </c>
      <c r="C35" s="10" t="s">
        <v>30</v>
      </c>
      <c r="D35" s="540">
        <v>3700</v>
      </c>
      <c r="E35" s="597"/>
      <c r="F35" s="540"/>
      <c r="G35" s="541" t="e">
        <f>#REF!-0.1</f>
        <v>#REF!</v>
      </c>
      <c r="H35" s="541"/>
      <c r="I35" s="541"/>
      <c r="J35" s="541"/>
      <c r="K35" s="541"/>
      <c r="L35" s="541"/>
      <c r="M35" s="541"/>
      <c r="N35" s="10" t="s">
        <v>58</v>
      </c>
      <c r="U35" s="144">
        <f>+L35-J35</f>
        <v>0</v>
      </c>
      <c r="V35" s="144">
        <f>+D35-L35-U35</f>
        <v>3700</v>
      </c>
      <c r="W35" s="144">
        <f t="shared" si="30"/>
        <v>0</v>
      </c>
      <c r="X35" s="144">
        <f t="shared" si="31"/>
        <v>0</v>
      </c>
      <c r="Y35" s="144">
        <f t="shared" si="29"/>
        <v>0</v>
      </c>
      <c r="AA35" s="521">
        <f t="shared" si="12"/>
        <v>0</v>
      </c>
      <c r="AB35" s="521">
        <f t="shared" si="13"/>
        <v>3700</v>
      </c>
      <c r="AC35" s="521">
        <f t="shared" si="14"/>
        <v>0</v>
      </c>
      <c r="AD35" s="521">
        <f t="shared" si="15"/>
        <v>3700</v>
      </c>
    </row>
    <row r="36" spans="1:30" ht="16.2" thickBot="1">
      <c r="A36" s="83"/>
      <c r="B36" s="542"/>
      <c r="C36" s="542"/>
      <c r="D36" s="543"/>
      <c r="E36" s="598"/>
      <c r="F36" s="543"/>
      <c r="G36" s="544"/>
      <c r="H36" s="544"/>
      <c r="I36" s="544"/>
      <c r="J36" s="544"/>
      <c r="K36" s="544"/>
      <c r="L36" s="544"/>
      <c r="M36" s="544"/>
      <c r="N36" s="545"/>
      <c r="V36" s="144">
        <f>+D36-L36-U36</f>
        <v>0</v>
      </c>
      <c r="W36" s="144">
        <f t="shared" si="30"/>
        <v>0</v>
      </c>
      <c r="X36" s="144">
        <f t="shared" si="31"/>
        <v>0</v>
      </c>
      <c r="Y36" s="144">
        <f t="shared" si="29"/>
        <v>0</v>
      </c>
      <c r="AA36" s="521">
        <f t="shared" si="12"/>
        <v>0</v>
      </c>
      <c r="AB36" s="521">
        <f t="shared" si="13"/>
        <v>0</v>
      </c>
      <c r="AC36" s="521">
        <f t="shared" si="14"/>
        <v>0</v>
      </c>
      <c r="AD36" s="521">
        <f t="shared" si="15"/>
        <v>0</v>
      </c>
    </row>
    <row r="37" spans="1:30" ht="16.2" thickTop="1"/>
    <row r="38" spans="1:30" ht="40.5" customHeight="1">
      <c r="C38" s="689"/>
      <c r="D38" s="689"/>
      <c r="E38" s="56"/>
      <c r="F38" s="516"/>
      <c r="N38" s="549"/>
    </row>
    <row r="39" spans="1:30">
      <c r="N39" s="549"/>
    </row>
  </sheetData>
  <mergeCells count="20">
    <mergeCell ref="I6:I7"/>
    <mergeCell ref="J6:J7"/>
    <mergeCell ref="K6:K7"/>
    <mergeCell ref="E5:G7"/>
    <mergeCell ref="AE19:AE27"/>
    <mergeCell ref="Z29:Z31"/>
    <mergeCell ref="C38:D38"/>
    <mergeCell ref="A2:N2"/>
    <mergeCell ref="A3:N3"/>
    <mergeCell ref="G4:N4"/>
    <mergeCell ref="A5:A7"/>
    <mergeCell ref="B5:B7"/>
    <mergeCell ref="C5:C7"/>
    <mergeCell ref="N5:N7"/>
    <mergeCell ref="D5:D7"/>
    <mergeCell ref="H5:I5"/>
    <mergeCell ref="J5:K5"/>
    <mergeCell ref="L5:L7"/>
    <mergeCell ref="M5:M7"/>
    <mergeCell ref="H6:H7"/>
  </mergeCells>
  <pageMargins left="0.39370078740157499" right="0" top="0.74803149606299202" bottom="0" header="0.31496062992126" footer="0.31496062992126"/>
  <pageSetup paperSize="9" scale="7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M374"/>
  <sheetViews>
    <sheetView view="pageBreakPreview" zoomScale="70" zoomScaleNormal="85" zoomScaleSheetLayoutView="70" workbookViewId="0">
      <pane ySplit="8" topLeftCell="A9" activePane="bottomLeft" state="frozen"/>
      <selection pane="bottomLeft" activeCell="M13" sqref="M13"/>
    </sheetView>
  </sheetViews>
  <sheetFormatPr defaultRowHeight="15.6"/>
  <cols>
    <col min="1" max="1" width="7.19921875" style="44" customWidth="1"/>
    <col min="2" max="2" width="77.5" style="36" customWidth="1"/>
    <col min="3" max="3" width="10.69921875" style="336" customWidth="1"/>
    <col min="4" max="8" width="10.69921875" style="38" customWidth="1"/>
    <col min="9" max="9" width="12.3984375" style="38" customWidth="1"/>
    <col min="10" max="10" width="11.09765625" style="38" customWidth="1"/>
    <col min="11" max="11" width="26.5" style="39" customWidth="1"/>
    <col min="12" max="12" width="9" style="25"/>
    <col min="13" max="13" width="12.19921875" style="25" customWidth="1"/>
    <col min="14" max="242" width="9" style="25"/>
    <col min="243" max="243" width="6.19921875" style="25" customWidth="1"/>
    <col min="244" max="244" width="40.3984375" style="25" customWidth="1"/>
    <col min="245" max="245" width="12.5" style="25" customWidth="1"/>
    <col min="246" max="258" width="0" style="25" hidden="1" customWidth="1"/>
    <col min="259" max="260" width="16" style="25" customWidth="1"/>
    <col min="261" max="262" width="13.8984375" style="25" customWidth="1"/>
    <col min="263" max="263" width="11.09765625" style="25" customWidth="1"/>
    <col min="264" max="264" width="11.19921875" style="25" customWidth="1"/>
    <col min="265" max="265" width="11.69921875" style="25" bestFit="1" customWidth="1"/>
    <col min="266" max="498" width="9" style="25"/>
    <col min="499" max="499" width="6.19921875" style="25" customWidth="1"/>
    <col min="500" max="500" width="40.3984375" style="25" customWidth="1"/>
    <col min="501" max="501" width="12.5" style="25" customWidth="1"/>
    <col min="502" max="514" width="0" style="25" hidden="1" customWidth="1"/>
    <col min="515" max="516" width="16" style="25" customWidth="1"/>
    <col min="517" max="518" width="13.8984375" style="25" customWidth="1"/>
    <col min="519" max="519" width="11.09765625" style="25" customWidth="1"/>
    <col min="520" max="520" width="11.19921875" style="25" customWidth="1"/>
    <col min="521" max="521" width="11.69921875" style="25" bestFit="1" customWidth="1"/>
    <col min="522" max="754" width="9" style="25"/>
    <col min="755" max="755" width="6.19921875" style="25" customWidth="1"/>
    <col min="756" max="756" width="40.3984375" style="25" customWidth="1"/>
    <col min="757" max="757" width="12.5" style="25" customWidth="1"/>
    <col min="758" max="770" width="0" style="25" hidden="1" customWidth="1"/>
    <col min="771" max="772" width="16" style="25" customWidth="1"/>
    <col min="773" max="774" width="13.8984375" style="25" customWidth="1"/>
    <col min="775" max="775" width="11.09765625" style="25" customWidth="1"/>
    <col min="776" max="776" width="11.19921875" style="25" customWidth="1"/>
    <col min="777" max="777" width="11.69921875" style="25" bestFit="1" customWidth="1"/>
    <col min="778" max="1010" width="9" style="25"/>
    <col min="1011" max="1011" width="6.19921875" style="25" customWidth="1"/>
    <col min="1012" max="1012" width="40.3984375" style="25" customWidth="1"/>
    <col min="1013" max="1013" width="12.5" style="25" customWidth="1"/>
    <col min="1014" max="1026" width="0" style="25" hidden="1" customWidth="1"/>
    <col min="1027" max="1028" width="16" style="25" customWidth="1"/>
    <col min="1029" max="1030" width="13.8984375" style="25" customWidth="1"/>
    <col min="1031" max="1031" width="11.09765625" style="25" customWidth="1"/>
    <col min="1032" max="1032" width="11.19921875" style="25" customWidth="1"/>
    <col min="1033" max="1033" width="11.69921875" style="25" bestFit="1" customWidth="1"/>
    <col min="1034" max="1266" width="9" style="25"/>
    <col min="1267" max="1267" width="6.19921875" style="25" customWidth="1"/>
    <col min="1268" max="1268" width="40.3984375" style="25" customWidth="1"/>
    <col min="1269" max="1269" width="12.5" style="25" customWidth="1"/>
    <col min="1270" max="1282" width="0" style="25" hidden="1" customWidth="1"/>
    <col min="1283" max="1284" width="16" style="25" customWidth="1"/>
    <col min="1285" max="1286" width="13.8984375" style="25" customWidth="1"/>
    <col min="1287" max="1287" width="11.09765625" style="25" customWidth="1"/>
    <col min="1288" max="1288" width="11.19921875" style="25" customWidth="1"/>
    <col min="1289" max="1289" width="11.69921875" style="25" bestFit="1" customWidth="1"/>
    <col min="1290" max="1522" width="9" style="25"/>
    <col min="1523" max="1523" width="6.19921875" style="25" customWidth="1"/>
    <col min="1524" max="1524" width="40.3984375" style="25" customWidth="1"/>
    <col min="1525" max="1525" width="12.5" style="25" customWidth="1"/>
    <col min="1526" max="1538" width="0" style="25" hidden="1" customWidth="1"/>
    <col min="1539" max="1540" width="16" style="25" customWidth="1"/>
    <col min="1541" max="1542" width="13.8984375" style="25" customWidth="1"/>
    <col min="1543" max="1543" width="11.09765625" style="25" customWidth="1"/>
    <col min="1544" max="1544" width="11.19921875" style="25" customWidth="1"/>
    <col min="1545" max="1545" width="11.69921875" style="25" bestFit="1" customWidth="1"/>
    <col min="1546" max="1778" width="9" style="25"/>
    <col min="1779" max="1779" width="6.19921875" style="25" customWidth="1"/>
    <col min="1780" max="1780" width="40.3984375" style="25" customWidth="1"/>
    <col min="1781" max="1781" width="12.5" style="25" customWidth="1"/>
    <col min="1782" max="1794" width="0" style="25" hidden="1" customWidth="1"/>
    <col min="1795" max="1796" width="16" style="25" customWidth="1"/>
    <col min="1797" max="1798" width="13.8984375" style="25" customWidth="1"/>
    <col min="1799" max="1799" width="11.09765625" style="25" customWidth="1"/>
    <col min="1800" max="1800" width="11.19921875" style="25" customWidth="1"/>
    <col min="1801" max="1801" width="11.69921875" style="25" bestFit="1" customWidth="1"/>
    <col min="1802" max="2034" width="9" style="25"/>
    <col min="2035" max="2035" width="6.19921875" style="25" customWidth="1"/>
    <col min="2036" max="2036" width="40.3984375" style="25" customWidth="1"/>
    <col min="2037" max="2037" width="12.5" style="25" customWidth="1"/>
    <col min="2038" max="2050" width="0" style="25" hidden="1" customWidth="1"/>
    <col min="2051" max="2052" width="16" style="25" customWidth="1"/>
    <col min="2053" max="2054" width="13.8984375" style="25" customWidth="1"/>
    <col min="2055" max="2055" width="11.09765625" style="25" customWidth="1"/>
    <col min="2056" max="2056" width="11.19921875" style="25" customWidth="1"/>
    <col min="2057" max="2057" width="11.69921875" style="25" bestFit="1" customWidth="1"/>
    <col min="2058" max="2290" width="9" style="25"/>
    <col min="2291" max="2291" width="6.19921875" style="25" customWidth="1"/>
    <col min="2292" max="2292" width="40.3984375" style="25" customWidth="1"/>
    <col min="2293" max="2293" width="12.5" style="25" customWidth="1"/>
    <col min="2294" max="2306" width="0" style="25" hidden="1" customWidth="1"/>
    <col min="2307" max="2308" width="16" style="25" customWidth="1"/>
    <col min="2309" max="2310" width="13.8984375" style="25" customWidth="1"/>
    <col min="2311" max="2311" width="11.09765625" style="25" customWidth="1"/>
    <col min="2312" max="2312" width="11.19921875" style="25" customWidth="1"/>
    <col min="2313" max="2313" width="11.69921875" style="25" bestFit="1" customWidth="1"/>
    <col min="2314" max="2546" width="9" style="25"/>
    <col min="2547" max="2547" width="6.19921875" style="25" customWidth="1"/>
    <col min="2548" max="2548" width="40.3984375" style="25" customWidth="1"/>
    <col min="2549" max="2549" width="12.5" style="25" customWidth="1"/>
    <col min="2550" max="2562" width="0" style="25" hidden="1" customWidth="1"/>
    <col min="2563" max="2564" width="16" style="25" customWidth="1"/>
    <col min="2565" max="2566" width="13.8984375" style="25" customWidth="1"/>
    <col min="2567" max="2567" width="11.09765625" style="25" customWidth="1"/>
    <col min="2568" max="2568" width="11.19921875" style="25" customWidth="1"/>
    <col min="2569" max="2569" width="11.69921875" style="25" bestFit="1" customWidth="1"/>
    <col min="2570" max="2802" width="9" style="25"/>
    <col min="2803" max="2803" width="6.19921875" style="25" customWidth="1"/>
    <col min="2804" max="2804" width="40.3984375" style="25" customWidth="1"/>
    <col min="2805" max="2805" width="12.5" style="25" customWidth="1"/>
    <col min="2806" max="2818" width="0" style="25" hidden="1" customWidth="1"/>
    <col min="2819" max="2820" width="16" style="25" customWidth="1"/>
    <col min="2821" max="2822" width="13.8984375" style="25" customWidth="1"/>
    <col min="2823" max="2823" width="11.09765625" style="25" customWidth="1"/>
    <col min="2824" max="2824" width="11.19921875" style="25" customWidth="1"/>
    <col min="2825" max="2825" width="11.69921875" style="25" bestFit="1" customWidth="1"/>
    <col min="2826" max="3058" width="9" style="25"/>
    <col min="3059" max="3059" width="6.19921875" style="25" customWidth="1"/>
    <col min="3060" max="3060" width="40.3984375" style="25" customWidth="1"/>
    <col min="3061" max="3061" width="12.5" style="25" customWidth="1"/>
    <col min="3062" max="3074" width="0" style="25" hidden="1" customWidth="1"/>
    <col min="3075" max="3076" width="16" style="25" customWidth="1"/>
    <col min="3077" max="3078" width="13.8984375" style="25" customWidth="1"/>
    <col min="3079" max="3079" width="11.09765625" style="25" customWidth="1"/>
    <col min="3080" max="3080" width="11.19921875" style="25" customWidth="1"/>
    <col min="3081" max="3081" width="11.69921875" style="25" bestFit="1" customWidth="1"/>
    <col min="3082" max="3314" width="9" style="25"/>
    <col min="3315" max="3315" width="6.19921875" style="25" customWidth="1"/>
    <col min="3316" max="3316" width="40.3984375" style="25" customWidth="1"/>
    <col min="3317" max="3317" width="12.5" style="25" customWidth="1"/>
    <col min="3318" max="3330" width="0" style="25" hidden="1" customWidth="1"/>
    <col min="3331" max="3332" width="16" style="25" customWidth="1"/>
    <col min="3333" max="3334" width="13.8984375" style="25" customWidth="1"/>
    <col min="3335" max="3335" width="11.09765625" style="25" customWidth="1"/>
    <col min="3336" max="3336" width="11.19921875" style="25" customWidth="1"/>
    <col min="3337" max="3337" width="11.69921875" style="25" bestFit="1" customWidth="1"/>
    <col min="3338" max="3570" width="9" style="25"/>
    <col min="3571" max="3571" width="6.19921875" style="25" customWidth="1"/>
    <col min="3572" max="3572" width="40.3984375" style="25" customWidth="1"/>
    <col min="3573" max="3573" width="12.5" style="25" customWidth="1"/>
    <col min="3574" max="3586" width="0" style="25" hidden="1" customWidth="1"/>
    <col min="3587" max="3588" width="16" style="25" customWidth="1"/>
    <col min="3589" max="3590" width="13.8984375" style="25" customWidth="1"/>
    <col min="3591" max="3591" width="11.09765625" style="25" customWidth="1"/>
    <col min="3592" max="3592" width="11.19921875" style="25" customWidth="1"/>
    <col min="3593" max="3593" width="11.69921875" style="25" bestFit="1" customWidth="1"/>
    <col min="3594" max="3826" width="9" style="25"/>
    <col min="3827" max="3827" width="6.19921875" style="25" customWidth="1"/>
    <col min="3828" max="3828" width="40.3984375" style="25" customWidth="1"/>
    <col min="3829" max="3829" width="12.5" style="25" customWidth="1"/>
    <col min="3830" max="3842" width="0" style="25" hidden="1" customWidth="1"/>
    <col min="3843" max="3844" width="16" style="25" customWidth="1"/>
    <col min="3845" max="3846" width="13.8984375" style="25" customWidth="1"/>
    <col min="3847" max="3847" width="11.09765625" style="25" customWidth="1"/>
    <col min="3848" max="3848" width="11.19921875" style="25" customWidth="1"/>
    <col min="3849" max="3849" width="11.69921875" style="25" bestFit="1" customWidth="1"/>
    <col min="3850" max="4082" width="9" style="25"/>
    <col min="4083" max="4083" width="6.19921875" style="25" customWidth="1"/>
    <col min="4084" max="4084" width="40.3984375" style="25" customWidth="1"/>
    <col min="4085" max="4085" width="12.5" style="25" customWidth="1"/>
    <col min="4086" max="4098" width="0" style="25" hidden="1" customWidth="1"/>
    <col min="4099" max="4100" width="16" style="25" customWidth="1"/>
    <col min="4101" max="4102" width="13.8984375" style="25" customWidth="1"/>
    <col min="4103" max="4103" width="11.09765625" style="25" customWidth="1"/>
    <col min="4104" max="4104" width="11.19921875" style="25" customWidth="1"/>
    <col min="4105" max="4105" width="11.69921875" style="25" bestFit="1" customWidth="1"/>
    <col min="4106" max="4338" width="9" style="25"/>
    <col min="4339" max="4339" width="6.19921875" style="25" customWidth="1"/>
    <col min="4340" max="4340" width="40.3984375" style="25" customWidth="1"/>
    <col min="4341" max="4341" width="12.5" style="25" customWidth="1"/>
    <col min="4342" max="4354" width="0" style="25" hidden="1" customWidth="1"/>
    <col min="4355" max="4356" width="16" style="25" customWidth="1"/>
    <col min="4357" max="4358" width="13.8984375" style="25" customWidth="1"/>
    <col min="4359" max="4359" width="11.09765625" style="25" customWidth="1"/>
    <col min="4360" max="4360" width="11.19921875" style="25" customWidth="1"/>
    <col min="4361" max="4361" width="11.69921875" style="25" bestFit="1" customWidth="1"/>
    <col min="4362" max="4594" width="9" style="25"/>
    <col min="4595" max="4595" width="6.19921875" style="25" customWidth="1"/>
    <col min="4596" max="4596" width="40.3984375" style="25" customWidth="1"/>
    <col min="4597" max="4597" width="12.5" style="25" customWidth="1"/>
    <col min="4598" max="4610" width="0" style="25" hidden="1" customWidth="1"/>
    <col min="4611" max="4612" width="16" style="25" customWidth="1"/>
    <col min="4613" max="4614" width="13.8984375" style="25" customWidth="1"/>
    <col min="4615" max="4615" width="11.09765625" style="25" customWidth="1"/>
    <col min="4616" max="4616" width="11.19921875" style="25" customWidth="1"/>
    <col min="4617" max="4617" width="11.69921875" style="25" bestFit="1" customWidth="1"/>
    <col min="4618" max="4850" width="9" style="25"/>
    <col min="4851" max="4851" width="6.19921875" style="25" customWidth="1"/>
    <col min="4852" max="4852" width="40.3984375" style="25" customWidth="1"/>
    <col min="4853" max="4853" width="12.5" style="25" customWidth="1"/>
    <col min="4854" max="4866" width="0" style="25" hidden="1" customWidth="1"/>
    <col min="4867" max="4868" width="16" style="25" customWidth="1"/>
    <col min="4869" max="4870" width="13.8984375" style="25" customWidth="1"/>
    <col min="4871" max="4871" width="11.09765625" style="25" customWidth="1"/>
    <col min="4872" max="4872" width="11.19921875" style="25" customWidth="1"/>
    <col min="4873" max="4873" width="11.69921875" style="25" bestFit="1" customWidth="1"/>
    <col min="4874" max="5106" width="9" style="25"/>
    <col min="5107" max="5107" width="6.19921875" style="25" customWidth="1"/>
    <col min="5108" max="5108" width="40.3984375" style="25" customWidth="1"/>
    <col min="5109" max="5109" width="12.5" style="25" customWidth="1"/>
    <col min="5110" max="5122" width="0" style="25" hidden="1" customWidth="1"/>
    <col min="5123" max="5124" width="16" style="25" customWidth="1"/>
    <col min="5125" max="5126" width="13.8984375" style="25" customWidth="1"/>
    <col min="5127" max="5127" width="11.09765625" style="25" customWidth="1"/>
    <col min="5128" max="5128" width="11.19921875" style="25" customWidth="1"/>
    <col min="5129" max="5129" width="11.69921875" style="25" bestFit="1" customWidth="1"/>
    <col min="5130" max="5362" width="9" style="25"/>
    <col min="5363" max="5363" width="6.19921875" style="25" customWidth="1"/>
    <col min="5364" max="5364" width="40.3984375" style="25" customWidth="1"/>
    <col min="5365" max="5365" width="12.5" style="25" customWidth="1"/>
    <col min="5366" max="5378" width="0" style="25" hidden="1" customWidth="1"/>
    <col min="5379" max="5380" width="16" style="25" customWidth="1"/>
    <col min="5381" max="5382" width="13.8984375" style="25" customWidth="1"/>
    <col min="5383" max="5383" width="11.09765625" style="25" customWidth="1"/>
    <col min="5384" max="5384" width="11.19921875" style="25" customWidth="1"/>
    <col min="5385" max="5385" width="11.69921875" style="25" bestFit="1" customWidth="1"/>
    <col min="5386" max="5618" width="9" style="25"/>
    <col min="5619" max="5619" width="6.19921875" style="25" customWidth="1"/>
    <col min="5620" max="5620" width="40.3984375" style="25" customWidth="1"/>
    <col min="5621" max="5621" width="12.5" style="25" customWidth="1"/>
    <col min="5622" max="5634" width="0" style="25" hidden="1" customWidth="1"/>
    <col min="5635" max="5636" width="16" style="25" customWidth="1"/>
    <col min="5637" max="5638" width="13.8984375" style="25" customWidth="1"/>
    <col min="5639" max="5639" width="11.09765625" style="25" customWidth="1"/>
    <col min="5640" max="5640" width="11.19921875" style="25" customWidth="1"/>
    <col min="5641" max="5641" width="11.69921875" style="25" bestFit="1" customWidth="1"/>
    <col min="5642" max="5874" width="9" style="25"/>
    <col min="5875" max="5875" width="6.19921875" style="25" customWidth="1"/>
    <col min="5876" max="5876" width="40.3984375" style="25" customWidth="1"/>
    <col min="5877" max="5877" width="12.5" style="25" customWidth="1"/>
    <col min="5878" max="5890" width="0" style="25" hidden="1" customWidth="1"/>
    <col min="5891" max="5892" width="16" style="25" customWidth="1"/>
    <col min="5893" max="5894" width="13.8984375" style="25" customWidth="1"/>
    <col min="5895" max="5895" width="11.09765625" style="25" customWidth="1"/>
    <col min="5896" max="5896" width="11.19921875" style="25" customWidth="1"/>
    <col min="5897" max="5897" width="11.69921875" style="25" bestFit="1" customWidth="1"/>
    <col min="5898" max="6130" width="9" style="25"/>
    <col min="6131" max="6131" width="6.19921875" style="25" customWidth="1"/>
    <col min="6132" max="6132" width="40.3984375" style="25" customWidth="1"/>
    <col min="6133" max="6133" width="12.5" style="25" customWidth="1"/>
    <col min="6134" max="6146" width="0" style="25" hidden="1" customWidth="1"/>
    <col min="6147" max="6148" width="16" style="25" customWidth="1"/>
    <col min="6149" max="6150" width="13.8984375" style="25" customWidth="1"/>
    <col min="6151" max="6151" width="11.09765625" style="25" customWidth="1"/>
    <col min="6152" max="6152" width="11.19921875" style="25" customWidth="1"/>
    <col min="6153" max="6153" width="11.69921875" style="25" bestFit="1" customWidth="1"/>
    <col min="6154" max="6386" width="9" style="25"/>
    <col min="6387" max="6387" width="6.19921875" style="25" customWidth="1"/>
    <col min="6388" max="6388" width="40.3984375" style="25" customWidth="1"/>
    <col min="6389" max="6389" width="12.5" style="25" customWidth="1"/>
    <col min="6390" max="6402" width="0" style="25" hidden="1" customWidth="1"/>
    <col min="6403" max="6404" width="16" style="25" customWidth="1"/>
    <col min="6405" max="6406" width="13.8984375" style="25" customWidth="1"/>
    <col min="6407" max="6407" width="11.09765625" style="25" customWidth="1"/>
    <col min="6408" max="6408" width="11.19921875" style="25" customWidth="1"/>
    <col min="6409" max="6409" width="11.69921875" style="25" bestFit="1" customWidth="1"/>
    <col min="6410" max="6642" width="9" style="25"/>
    <col min="6643" max="6643" width="6.19921875" style="25" customWidth="1"/>
    <col min="6644" max="6644" width="40.3984375" style="25" customWidth="1"/>
    <col min="6645" max="6645" width="12.5" style="25" customWidth="1"/>
    <col min="6646" max="6658" width="0" style="25" hidden="1" customWidth="1"/>
    <col min="6659" max="6660" width="16" style="25" customWidth="1"/>
    <col min="6661" max="6662" width="13.8984375" style="25" customWidth="1"/>
    <col min="6663" max="6663" width="11.09765625" style="25" customWidth="1"/>
    <col min="6664" max="6664" width="11.19921875" style="25" customWidth="1"/>
    <col min="6665" max="6665" width="11.69921875" style="25" bestFit="1" customWidth="1"/>
    <col min="6666" max="6898" width="9" style="25"/>
    <col min="6899" max="6899" width="6.19921875" style="25" customWidth="1"/>
    <col min="6900" max="6900" width="40.3984375" style="25" customWidth="1"/>
    <col min="6901" max="6901" width="12.5" style="25" customWidth="1"/>
    <col min="6902" max="6914" width="0" style="25" hidden="1" customWidth="1"/>
    <col min="6915" max="6916" width="16" style="25" customWidth="1"/>
    <col min="6917" max="6918" width="13.8984375" style="25" customWidth="1"/>
    <col min="6919" max="6919" width="11.09765625" style="25" customWidth="1"/>
    <col min="6920" max="6920" width="11.19921875" style="25" customWidth="1"/>
    <col min="6921" max="6921" width="11.69921875" style="25" bestFit="1" customWidth="1"/>
    <col min="6922" max="7154" width="9" style="25"/>
    <col min="7155" max="7155" width="6.19921875" style="25" customWidth="1"/>
    <col min="7156" max="7156" width="40.3984375" style="25" customWidth="1"/>
    <col min="7157" max="7157" width="12.5" style="25" customWidth="1"/>
    <col min="7158" max="7170" width="0" style="25" hidden="1" customWidth="1"/>
    <col min="7171" max="7172" width="16" style="25" customWidth="1"/>
    <col min="7173" max="7174" width="13.8984375" style="25" customWidth="1"/>
    <col min="7175" max="7175" width="11.09765625" style="25" customWidth="1"/>
    <col min="7176" max="7176" width="11.19921875" style="25" customWidth="1"/>
    <col min="7177" max="7177" width="11.69921875" style="25" bestFit="1" customWidth="1"/>
    <col min="7178" max="7410" width="9" style="25"/>
    <col min="7411" max="7411" width="6.19921875" style="25" customWidth="1"/>
    <col min="7412" max="7412" width="40.3984375" style="25" customWidth="1"/>
    <col min="7413" max="7413" width="12.5" style="25" customWidth="1"/>
    <col min="7414" max="7426" width="0" style="25" hidden="1" customWidth="1"/>
    <col min="7427" max="7428" width="16" style="25" customWidth="1"/>
    <col min="7429" max="7430" width="13.8984375" style="25" customWidth="1"/>
    <col min="7431" max="7431" width="11.09765625" style="25" customWidth="1"/>
    <col min="7432" max="7432" width="11.19921875" style="25" customWidth="1"/>
    <col min="7433" max="7433" width="11.69921875" style="25" bestFit="1" customWidth="1"/>
    <col min="7434" max="7666" width="9" style="25"/>
    <col min="7667" max="7667" width="6.19921875" style="25" customWidth="1"/>
    <col min="7668" max="7668" width="40.3984375" style="25" customWidth="1"/>
    <col min="7669" max="7669" width="12.5" style="25" customWidth="1"/>
    <col min="7670" max="7682" width="0" style="25" hidden="1" customWidth="1"/>
    <col min="7683" max="7684" width="16" style="25" customWidth="1"/>
    <col min="7685" max="7686" width="13.8984375" style="25" customWidth="1"/>
    <col min="7687" max="7687" width="11.09765625" style="25" customWidth="1"/>
    <col min="7688" max="7688" width="11.19921875" style="25" customWidth="1"/>
    <col min="7689" max="7689" width="11.69921875" style="25" bestFit="1" customWidth="1"/>
    <col min="7690" max="7922" width="9" style="25"/>
    <col min="7923" max="7923" width="6.19921875" style="25" customWidth="1"/>
    <col min="7924" max="7924" width="40.3984375" style="25" customWidth="1"/>
    <col min="7925" max="7925" width="12.5" style="25" customWidth="1"/>
    <col min="7926" max="7938" width="0" style="25" hidden="1" customWidth="1"/>
    <col min="7939" max="7940" width="16" style="25" customWidth="1"/>
    <col min="7941" max="7942" width="13.8984375" style="25" customWidth="1"/>
    <col min="7943" max="7943" width="11.09765625" style="25" customWidth="1"/>
    <col min="7944" max="7944" width="11.19921875" style="25" customWidth="1"/>
    <col min="7945" max="7945" width="11.69921875" style="25" bestFit="1" customWidth="1"/>
    <col min="7946" max="8178" width="9" style="25"/>
    <col min="8179" max="8179" width="6.19921875" style="25" customWidth="1"/>
    <col min="8180" max="8180" width="40.3984375" style="25" customWidth="1"/>
    <col min="8181" max="8181" width="12.5" style="25" customWidth="1"/>
    <col min="8182" max="8194" width="0" style="25" hidden="1" customWidth="1"/>
    <col min="8195" max="8196" width="16" style="25" customWidth="1"/>
    <col min="8197" max="8198" width="13.8984375" style="25" customWidth="1"/>
    <col min="8199" max="8199" width="11.09765625" style="25" customWidth="1"/>
    <col min="8200" max="8200" width="11.19921875" style="25" customWidth="1"/>
    <col min="8201" max="8201" width="11.69921875" style="25" bestFit="1" customWidth="1"/>
    <col min="8202" max="8434" width="9" style="25"/>
    <col min="8435" max="8435" width="6.19921875" style="25" customWidth="1"/>
    <col min="8436" max="8436" width="40.3984375" style="25" customWidth="1"/>
    <col min="8437" max="8437" width="12.5" style="25" customWidth="1"/>
    <col min="8438" max="8450" width="0" style="25" hidden="1" customWidth="1"/>
    <col min="8451" max="8452" width="16" style="25" customWidth="1"/>
    <col min="8453" max="8454" width="13.8984375" style="25" customWidth="1"/>
    <col min="8455" max="8455" width="11.09765625" style="25" customWidth="1"/>
    <col min="8456" max="8456" width="11.19921875" style="25" customWidth="1"/>
    <col min="8457" max="8457" width="11.69921875" style="25" bestFit="1" customWidth="1"/>
    <col min="8458" max="8690" width="9" style="25"/>
    <col min="8691" max="8691" width="6.19921875" style="25" customWidth="1"/>
    <col min="8692" max="8692" width="40.3984375" style="25" customWidth="1"/>
    <col min="8693" max="8693" width="12.5" style="25" customWidth="1"/>
    <col min="8694" max="8706" width="0" style="25" hidden="1" customWidth="1"/>
    <col min="8707" max="8708" width="16" style="25" customWidth="1"/>
    <col min="8709" max="8710" width="13.8984375" style="25" customWidth="1"/>
    <col min="8711" max="8711" width="11.09765625" style="25" customWidth="1"/>
    <col min="8712" max="8712" width="11.19921875" style="25" customWidth="1"/>
    <col min="8713" max="8713" width="11.69921875" style="25" bestFit="1" customWidth="1"/>
    <col min="8714" max="8946" width="9" style="25"/>
    <col min="8947" max="8947" width="6.19921875" style="25" customWidth="1"/>
    <col min="8948" max="8948" width="40.3984375" style="25" customWidth="1"/>
    <col min="8949" max="8949" width="12.5" style="25" customWidth="1"/>
    <col min="8950" max="8962" width="0" style="25" hidden="1" customWidth="1"/>
    <col min="8963" max="8964" width="16" style="25" customWidth="1"/>
    <col min="8965" max="8966" width="13.8984375" style="25" customWidth="1"/>
    <col min="8967" max="8967" width="11.09765625" style="25" customWidth="1"/>
    <col min="8968" max="8968" width="11.19921875" style="25" customWidth="1"/>
    <col min="8969" max="8969" width="11.69921875" style="25" bestFit="1" customWidth="1"/>
    <col min="8970" max="9202" width="9" style="25"/>
    <col min="9203" max="9203" width="6.19921875" style="25" customWidth="1"/>
    <col min="9204" max="9204" width="40.3984375" style="25" customWidth="1"/>
    <col min="9205" max="9205" width="12.5" style="25" customWidth="1"/>
    <col min="9206" max="9218" width="0" style="25" hidden="1" customWidth="1"/>
    <col min="9219" max="9220" width="16" style="25" customWidth="1"/>
    <col min="9221" max="9222" width="13.8984375" style="25" customWidth="1"/>
    <col min="9223" max="9223" width="11.09765625" style="25" customWidth="1"/>
    <col min="9224" max="9224" width="11.19921875" style="25" customWidth="1"/>
    <col min="9225" max="9225" width="11.69921875" style="25" bestFit="1" customWidth="1"/>
    <col min="9226" max="9458" width="9" style="25"/>
    <col min="9459" max="9459" width="6.19921875" style="25" customWidth="1"/>
    <col min="9460" max="9460" width="40.3984375" style="25" customWidth="1"/>
    <col min="9461" max="9461" width="12.5" style="25" customWidth="1"/>
    <col min="9462" max="9474" width="0" style="25" hidden="1" customWidth="1"/>
    <col min="9475" max="9476" width="16" style="25" customWidth="1"/>
    <col min="9477" max="9478" width="13.8984375" style="25" customWidth="1"/>
    <col min="9479" max="9479" width="11.09765625" style="25" customWidth="1"/>
    <col min="9480" max="9480" width="11.19921875" style="25" customWidth="1"/>
    <col min="9481" max="9481" width="11.69921875" style="25" bestFit="1" customWidth="1"/>
    <col min="9482" max="9714" width="9" style="25"/>
    <col min="9715" max="9715" width="6.19921875" style="25" customWidth="1"/>
    <col min="9716" max="9716" width="40.3984375" style="25" customWidth="1"/>
    <col min="9717" max="9717" width="12.5" style="25" customWidth="1"/>
    <col min="9718" max="9730" width="0" style="25" hidden="1" customWidth="1"/>
    <col min="9731" max="9732" width="16" style="25" customWidth="1"/>
    <col min="9733" max="9734" width="13.8984375" style="25" customWidth="1"/>
    <col min="9735" max="9735" width="11.09765625" style="25" customWidth="1"/>
    <col min="9736" max="9736" width="11.19921875" style="25" customWidth="1"/>
    <col min="9737" max="9737" width="11.69921875" style="25" bestFit="1" customWidth="1"/>
    <col min="9738" max="9970" width="9" style="25"/>
    <col min="9971" max="9971" width="6.19921875" style="25" customWidth="1"/>
    <col min="9972" max="9972" width="40.3984375" style="25" customWidth="1"/>
    <col min="9973" max="9973" width="12.5" style="25" customWidth="1"/>
    <col min="9974" max="9986" width="0" style="25" hidden="1" customWidth="1"/>
    <col min="9987" max="9988" width="16" style="25" customWidth="1"/>
    <col min="9989" max="9990" width="13.8984375" style="25" customWidth="1"/>
    <col min="9991" max="9991" width="11.09765625" style="25" customWidth="1"/>
    <col min="9992" max="9992" width="11.19921875" style="25" customWidth="1"/>
    <col min="9993" max="9993" width="11.69921875" style="25" bestFit="1" customWidth="1"/>
    <col min="9994" max="10226" width="9" style="25"/>
    <col min="10227" max="10227" width="6.19921875" style="25" customWidth="1"/>
    <col min="10228" max="10228" width="40.3984375" style="25" customWidth="1"/>
    <col min="10229" max="10229" width="12.5" style="25" customWidth="1"/>
    <col min="10230" max="10242" width="0" style="25" hidden="1" customWidth="1"/>
    <col min="10243" max="10244" width="16" style="25" customWidth="1"/>
    <col min="10245" max="10246" width="13.8984375" style="25" customWidth="1"/>
    <col min="10247" max="10247" width="11.09765625" style="25" customWidth="1"/>
    <col min="10248" max="10248" width="11.19921875" style="25" customWidth="1"/>
    <col min="10249" max="10249" width="11.69921875" style="25" bestFit="1" customWidth="1"/>
    <col min="10250" max="10482" width="9" style="25"/>
    <col min="10483" max="10483" width="6.19921875" style="25" customWidth="1"/>
    <col min="10484" max="10484" width="40.3984375" style="25" customWidth="1"/>
    <col min="10485" max="10485" width="12.5" style="25" customWidth="1"/>
    <col min="10486" max="10498" width="0" style="25" hidden="1" customWidth="1"/>
    <col min="10499" max="10500" width="16" style="25" customWidth="1"/>
    <col min="10501" max="10502" width="13.8984375" style="25" customWidth="1"/>
    <col min="10503" max="10503" width="11.09765625" style="25" customWidth="1"/>
    <col min="10504" max="10504" width="11.19921875" style="25" customWidth="1"/>
    <col min="10505" max="10505" width="11.69921875" style="25" bestFit="1" customWidth="1"/>
    <col min="10506" max="10738" width="9" style="25"/>
    <col min="10739" max="10739" width="6.19921875" style="25" customWidth="1"/>
    <col min="10740" max="10740" width="40.3984375" style="25" customWidth="1"/>
    <col min="10741" max="10741" width="12.5" style="25" customWidth="1"/>
    <col min="10742" max="10754" width="0" style="25" hidden="1" customWidth="1"/>
    <col min="10755" max="10756" width="16" style="25" customWidth="1"/>
    <col min="10757" max="10758" width="13.8984375" style="25" customWidth="1"/>
    <col min="10759" max="10759" width="11.09765625" style="25" customWidth="1"/>
    <col min="10760" max="10760" width="11.19921875" style="25" customWidth="1"/>
    <col min="10761" max="10761" width="11.69921875" style="25" bestFit="1" customWidth="1"/>
    <col min="10762" max="10994" width="9" style="25"/>
    <col min="10995" max="10995" width="6.19921875" style="25" customWidth="1"/>
    <col min="10996" max="10996" width="40.3984375" style="25" customWidth="1"/>
    <col min="10997" max="10997" width="12.5" style="25" customWidth="1"/>
    <col min="10998" max="11010" width="0" style="25" hidden="1" customWidth="1"/>
    <col min="11011" max="11012" width="16" style="25" customWidth="1"/>
    <col min="11013" max="11014" width="13.8984375" style="25" customWidth="1"/>
    <col min="11015" max="11015" width="11.09765625" style="25" customWidth="1"/>
    <col min="11016" max="11016" width="11.19921875" style="25" customWidth="1"/>
    <col min="11017" max="11017" width="11.69921875" style="25" bestFit="1" customWidth="1"/>
    <col min="11018" max="11250" width="9" style="25"/>
    <col min="11251" max="11251" width="6.19921875" style="25" customWidth="1"/>
    <col min="11252" max="11252" width="40.3984375" style="25" customWidth="1"/>
    <col min="11253" max="11253" width="12.5" style="25" customWidth="1"/>
    <col min="11254" max="11266" width="0" style="25" hidden="1" customWidth="1"/>
    <col min="11267" max="11268" width="16" style="25" customWidth="1"/>
    <col min="11269" max="11270" width="13.8984375" style="25" customWidth="1"/>
    <col min="11271" max="11271" width="11.09765625" style="25" customWidth="1"/>
    <col min="11272" max="11272" width="11.19921875" style="25" customWidth="1"/>
    <col min="11273" max="11273" width="11.69921875" style="25" bestFit="1" customWidth="1"/>
    <col min="11274" max="11506" width="9" style="25"/>
    <col min="11507" max="11507" width="6.19921875" style="25" customWidth="1"/>
    <col min="11508" max="11508" width="40.3984375" style="25" customWidth="1"/>
    <col min="11509" max="11509" width="12.5" style="25" customWidth="1"/>
    <col min="11510" max="11522" width="0" style="25" hidden="1" customWidth="1"/>
    <col min="11523" max="11524" width="16" style="25" customWidth="1"/>
    <col min="11525" max="11526" width="13.8984375" style="25" customWidth="1"/>
    <col min="11527" max="11527" width="11.09765625" style="25" customWidth="1"/>
    <col min="11528" max="11528" width="11.19921875" style="25" customWidth="1"/>
    <col min="11529" max="11529" width="11.69921875" style="25" bestFit="1" customWidth="1"/>
    <col min="11530" max="11762" width="9" style="25"/>
    <col min="11763" max="11763" width="6.19921875" style="25" customWidth="1"/>
    <col min="11764" max="11764" width="40.3984375" style="25" customWidth="1"/>
    <col min="11765" max="11765" width="12.5" style="25" customWidth="1"/>
    <col min="11766" max="11778" width="0" style="25" hidden="1" customWidth="1"/>
    <col min="11779" max="11780" width="16" style="25" customWidth="1"/>
    <col min="11781" max="11782" width="13.8984375" style="25" customWidth="1"/>
    <col min="11783" max="11783" width="11.09765625" style="25" customWidth="1"/>
    <col min="11784" max="11784" width="11.19921875" style="25" customWidth="1"/>
    <col min="11785" max="11785" width="11.69921875" style="25" bestFit="1" customWidth="1"/>
    <col min="11786" max="12018" width="9" style="25"/>
    <col min="12019" max="12019" width="6.19921875" style="25" customWidth="1"/>
    <col min="12020" max="12020" width="40.3984375" style="25" customWidth="1"/>
    <col min="12021" max="12021" width="12.5" style="25" customWidth="1"/>
    <col min="12022" max="12034" width="0" style="25" hidden="1" customWidth="1"/>
    <col min="12035" max="12036" width="16" style="25" customWidth="1"/>
    <col min="12037" max="12038" width="13.8984375" style="25" customWidth="1"/>
    <col min="12039" max="12039" width="11.09765625" style="25" customWidth="1"/>
    <col min="12040" max="12040" width="11.19921875" style="25" customWidth="1"/>
    <col min="12041" max="12041" width="11.69921875" style="25" bestFit="1" customWidth="1"/>
    <col min="12042" max="12274" width="9" style="25"/>
    <col min="12275" max="12275" width="6.19921875" style="25" customWidth="1"/>
    <col min="12276" max="12276" width="40.3984375" style="25" customWidth="1"/>
    <col min="12277" max="12277" width="12.5" style="25" customWidth="1"/>
    <col min="12278" max="12290" width="0" style="25" hidden="1" customWidth="1"/>
    <col min="12291" max="12292" width="16" style="25" customWidth="1"/>
    <col min="12293" max="12294" width="13.8984375" style="25" customWidth="1"/>
    <col min="12295" max="12295" width="11.09765625" style="25" customWidth="1"/>
    <col min="12296" max="12296" width="11.19921875" style="25" customWidth="1"/>
    <col min="12297" max="12297" width="11.69921875" style="25" bestFit="1" customWidth="1"/>
    <col min="12298" max="12530" width="9" style="25"/>
    <col min="12531" max="12531" width="6.19921875" style="25" customWidth="1"/>
    <col min="12532" max="12532" width="40.3984375" style="25" customWidth="1"/>
    <col min="12533" max="12533" width="12.5" style="25" customWidth="1"/>
    <col min="12534" max="12546" width="0" style="25" hidden="1" customWidth="1"/>
    <col min="12547" max="12548" width="16" style="25" customWidth="1"/>
    <col min="12549" max="12550" width="13.8984375" style="25" customWidth="1"/>
    <col min="12551" max="12551" width="11.09765625" style="25" customWidth="1"/>
    <col min="12552" max="12552" width="11.19921875" style="25" customWidth="1"/>
    <col min="12553" max="12553" width="11.69921875" style="25" bestFit="1" customWidth="1"/>
    <col min="12554" max="12786" width="9" style="25"/>
    <col min="12787" max="12787" width="6.19921875" style="25" customWidth="1"/>
    <col min="12788" max="12788" width="40.3984375" style="25" customWidth="1"/>
    <col min="12789" max="12789" width="12.5" style="25" customWidth="1"/>
    <col min="12790" max="12802" width="0" style="25" hidden="1" customWidth="1"/>
    <col min="12803" max="12804" width="16" style="25" customWidth="1"/>
    <col min="12805" max="12806" width="13.8984375" style="25" customWidth="1"/>
    <col min="12807" max="12807" width="11.09765625" style="25" customWidth="1"/>
    <col min="12808" max="12808" width="11.19921875" style="25" customWidth="1"/>
    <col min="12809" max="12809" width="11.69921875" style="25" bestFit="1" customWidth="1"/>
    <col min="12810" max="13042" width="9" style="25"/>
    <col min="13043" max="13043" width="6.19921875" style="25" customWidth="1"/>
    <col min="13044" max="13044" width="40.3984375" style="25" customWidth="1"/>
    <col min="13045" max="13045" width="12.5" style="25" customWidth="1"/>
    <col min="13046" max="13058" width="0" style="25" hidden="1" customWidth="1"/>
    <col min="13059" max="13060" width="16" style="25" customWidth="1"/>
    <col min="13061" max="13062" width="13.8984375" style="25" customWidth="1"/>
    <col min="13063" max="13063" width="11.09765625" style="25" customWidth="1"/>
    <col min="13064" max="13064" width="11.19921875" style="25" customWidth="1"/>
    <col min="13065" max="13065" width="11.69921875" style="25" bestFit="1" customWidth="1"/>
    <col min="13066" max="13298" width="9" style="25"/>
    <col min="13299" max="13299" width="6.19921875" style="25" customWidth="1"/>
    <col min="13300" max="13300" width="40.3984375" style="25" customWidth="1"/>
    <col min="13301" max="13301" width="12.5" style="25" customWidth="1"/>
    <col min="13302" max="13314" width="0" style="25" hidden="1" customWidth="1"/>
    <col min="13315" max="13316" width="16" style="25" customWidth="1"/>
    <col min="13317" max="13318" width="13.8984375" style="25" customWidth="1"/>
    <col min="13319" max="13319" width="11.09765625" style="25" customWidth="1"/>
    <col min="13320" max="13320" width="11.19921875" style="25" customWidth="1"/>
    <col min="13321" max="13321" width="11.69921875" style="25" bestFit="1" customWidth="1"/>
    <col min="13322" max="13554" width="9" style="25"/>
    <col min="13555" max="13555" width="6.19921875" style="25" customWidth="1"/>
    <col min="13556" max="13556" width="40.3984375" style="25" customWidth="1"/>
    <col min="13557" max="13557" width="12.5" style="25" customWidth="1"/>
    <col min="13558" max="13570" width="0" style="25" hidden="1" customWidth="1"/>
    <col min="13571" max="13572" width="16" style="25" customWidth="1"/>
    <col min="13573" max="13574" width="13.8984375" style="25" customWidth="1"/>
    <col min="13575" max="13575" width="11.09765625" style="25" customWidth="1"/>
    <col min="13576" max="13576" width="11.19921875" style="25" customWidth="1"/>
    <col min="13577" max="13577" width="11.69921875" style="25" bestFit="1" customWidth="1"/>
    <col min="13578" max="13810" width="9" style="25"/>
    <col min="13811" max="13811" width="6.19921875" style="25" customWidth="1"/>
    <col min="13812" max="13812" width="40.3984375" style="25" customWidth="1"/>
    <col min="13813" max="13813" width="12.5" style="25" customWidth="1"/>
    <col min="13814" max="13826" width="0" style="25" hidden="1" customWidth="1"/>
    <col min="13827" max="13828" width="16" style="25" customWidth="1"/>
    <col min="13829" max="13830" width="13.8984375" style="25" customWidth="1"/>
    <col min="13831" max="13831" width="11.09765625" style="25" customWidth="1"/>
    <col min="13832" max="13832" width="11.19921875" style="25" customWidth="1"/>
    <col min="13833" max="13833" width="11.69921875" style="25" bestFit="1" customWidth="1"/>
    <col min="13834" max="14066" width="9" style="25"/>
    <col min="14067" max="14067" width="6.19921875" style="25" customWidth="1"/>
    <col min="14068" max="14068" width="40.3984375" style="25" customWidth="1"/>
    <col min="14069" max="14069" width="12.5" style="25" customWidth="1"/>
    <col min="14070" max="14082" width="0" style="25" hidden="1" customWidth="1"/>
    <col min="14083" max="14084" width="16" style="25" customWidth="1"/>
    <col min="14085" max="14086" width="13.8984375" style="25" customWidth="1"/>
    <col min="14087" max="14087" width="11.09765625" style="25" customWidth="1"/>
    <col min="14088" max="14088" width="11.19921875" style="25" customWidth="1"/>
    <col min="14089" max="14089" width="11.69921875" style="25" bestFit="1" customWidth="1"/>
    <col min="14090" max="14322" width="9" style="25"/>
    <col min="14323" max="14323" width="6.19921875" style="25" customWidth="1"/>
    <col min="14324" max="14324" width="40.3984375" style="25" customWidth="1"/>
    <col min="14325" max="14325" width="12.5" style="25" customWidth="1"/>
    <col min="14326" max="14338" width="0" style="25" hidden="1" customWidth="1"/>
    <col min="14339" max="14340" width="16" style="25" customWidth="1"/>
    <col min="14341" max="14342" width="13.8984375" style="25" customWidth="1"/>
    <col min="14343" max="14343" width="11.09765625" style="25" customWidth="1"/>
    <col min="14344" max="14344" width="11.19921875" style="25" customWidth="1"/>
    <col min="14345" max="14345" width="11.69921875" style="25" bestFit="1" customWidth="1"/>
    <col min="14346" max="14578" width="9" style="25"/>
    <col min="14579" max="14579" width="6.19921875" style="25" customWidth="1"/>
    <col min="14580" max="14580" width="40.3984375" style="25" customWidth="1"/>
    <col min="14581" max="14581" width="12.5" style="25" customWidth="1"/>
    <col min="14582" max="14594" width="0" style="25" hidden="1" customWidth="1"/>
    <col min="14595" max="14596" width="16" style="25" customWidth="1"/>
    <col min="14597" max="14598" width="13.8984375" style="25" customWidth="1"/>
    <col min="14599" max="14599" width="11.09765625" style="25" customWidth="1"/>
    <col min="14600" max="14600" width="11.19921875" style="25" customWidth="1"/>
    <col min="14601" max="14601" width="11.69921875" style="25" bestFit="1" customWidth="1"/>
    <col min="14602" max="14834" width="9" style="25"/>
    <col min="14835" max="14835" width="6.19921875" style="25" customWidth="1"/>
    <col min="14836" max="14836" width="40.3984375" style="25" customWidth="1"/>
    <col min="14837" max="14837" width="12.5" style="25" customWidth="1"/>
    <col min="14838" max="14850" width="0" style="25" hidden="1" customWidth="1"/>
    <col min="14851" max="14852" width="16" style="25" customWidth="1"/>
    <col min="14853" max="14854" width="13.8984375" style="25" customWidth="1"/>
    <col min="14855" max="14855" width="11.09765625" style="25" customWidth="1"/>
    <col min="14856" max="14856" width="11.19921875" style="25" customWidth="1"/>
    <col min="14857" max="14857" width="11.69921875" style="25" bestFit="1" customWidth="1"/>
    <col min="14858" max="15090" width="9" style="25"/>
    <col min="15091" max="15091" width="6.19921875" style="25" customWidth="1"/>
    <col min="15092" max="15092" width="40.3984375" style="25" customWidth="1"/>
    <col min="15093" max="15093" width="12.5" style="25" customWidth="1"/>
    <col min="15094" max="15106" width="0" style="25" hidden="1" customWidth="1"/>
    <col min="15107" max="15108" width="16" style="25" customWidth="1"/>
    <col min="15109" max="15110" width="13.8984375" style="25" customWidth="1"/>
    <col min="15111" max="15111" width="11.09765625" style="25" customWidth="1"/>
    <col min="15112" max="15112" width="11.19921875" style="25" customWidth="1"/>
    <col min="15113" max="15113" width="11.69921875" style="25" bestFit="1" customWidth="1"/>
    <col min="15114" max="15346" width="9" style="25"/>
    <col min="15347" max="15347" width="6.19921875" style="25" customWidth="1"/>
    <col min="15348" max="15348" width="40.3984375" style="25" customWidth="1"/>
    <col min="15349" max="15349" width="12.5" style="25" customWidth="1"/>
    <col min="15350" max="15362" width="0" style="25" hidden="1" customWidth="1"/>
    <col min="15363" max="15364" width="16" style="25" customWidth="1"/>
    <col min="15365" max="15366" width="13.8984375" style="25" customWidth="1"/>
    <col min="15367" max="15367" width="11.09765625" style="25" customWidth="1"/>
    <col min="15368" max="15368" width="11.19921875" style="25" customWidth="1"/>
    <col min="15369" max="15369" width="11.69921875" style="25" bestFit="1" customWidth="1"/>
    <col min="15370" max="15602" width="9" style="25"/>
    <col min="15603" max="15603" width="6.19921875" style="25" customWidth="1"/>
    <col min="15604" max="15604" width="40.3984375" style="25" customWidth="1"/>
    <col min="15605" max="15605" width="12.5" style="25" customWidth="1"/>
    <col min="15606" max="15618" width="0" style="25" hidden="1" customWidth="1"/>
    <col min="15619" max="15620" width="16" style="25" customWidth="1"/>
    <col min="15621" max="15622" width="13.8984375" style="25" customWidth="1"/>
    <col min="15623" max="15623" width="11.09765625" style="25" customWidth="1"/>
    <col min="15624" max="15624" width="11.19921875" style="25" customWidth="1"/>
    <col min="15625" max="15625" width="11.69921875" style="25" bestFit="1" customWidth="1"/>
    <col min="15626" max="15858" width="9" style="25"/>
    <col min="15859" max="15859" width="6.19921875" style="25" customWidth="1"/>
    <col min="15860" max="15860" width="40.3984375" style="25" customWidth="1"/>
    <col min="15861" max="15861" width="12.5" style="25" customWidth="1"/>
    <col min="15862" max="15874" width="0" style="25" hidden="1" customWidth="1"/>
    <col min="15875" max="15876" width="16" style="25" customWidth="1"/>
    <col min="15877" max="15878" width="13.8984375" style="25" customWidth="1"/>
    <col min="15879" max="15879" width="11.09765625" style="25" customWidth="1"/>
    <col min="15880" max="15880" width="11.19921875" style="25" customWidth="1"/>
    <col min="15881" max="15881" width="11.69921875" style="25" bestFit="1" customWidth="1"/>
    <col min="15882" max="16114" width="9" style="25"/>
    <col min="16115" max="16115" width="6.19921875" style="25" customWidth="1"/>
    <col min="16116" max="16116" width="40.3984375" style="25" customWidth="1"/>
    <col min="16117" max="16117" width="12.5" style="25" customWidth="1"/>
    <col min="16118" max="16130" width="0" style="25" hidden="1" customWidth="1"/>
    <col min="16131" max="16132" width="16" style="25" customWidth="1"/>
    <col min="16133" max="16134" width="13.8984375" style="25" customWidth="1"/>
    <col min="16135" max="16135" width="11.09765625" style="25" customWidth="1"/>
    <col min="16136" max="16136" width="11.19921875" style="25" customWidth="1"/>
    <col min="16137" max="16137" width="11.69921875" style="25" bestFit="1" customWidth="1"/>
    <col min="16138" max="16384" width="9" style="25"/>
  </cols>
  <sheetData>
    <row r="1" spans="1:13">
      <c r="A1" s="711" t="s">
        <v>422</v>
      </c>
      <c r="B1" s="711"/>
      <c r="C1" s="330"/>
      <c r="D1" s="24"/>
      <c r="E1" s="24"/>
      <c r="F1" s="24"/>
      <c r="G1" s="24"/>
      <c r="H1" s="24"/>
      <c r="I1" s="24"/>
      <c r="J1" s="24"/>
      <c r="K1" s="24"/>
    </row>
    <row r="2" spans="1:13">
      <c r="A2" s="661" t="s">
        <v>367</v>
      </c>
      <c r="B2" s="661"/>
      <c r="C2" s="661"/>
      <c r="D2" s="661"/>
      <c r="E2" s="661"/>
      <c r="F2" s="661"/>
      <c r="G2" s="661"/>
      <c r="H2" s="661"/>
      <c r="I2" s="661"/>
      <c r="J2" s="661"/>
      <c r="K2" s="661"/>
    </row>
    <row r="3" spans="1:13">
      <c r="A3" s="662" t="str">
        <f>'04-VỐN ĐTPT CTMT'!A3:O3</f>
        <v>(Kèm theo Báo cáo số 899/BC-UBND, ngày 28 háng 11 năm 2022 của UBND huyện Tuần Giáo)</v>
      </c>
      <c r="B3" s="662"/>
      <c r="C3" s="662"/>
      <c r="D3" s="662"/>
      <c r="E3" s="662"/>
      <c r="F3" s="662"/>
      <c r="G3" s="662"/>
      <c r="H3" s="662"/>
      <c r="I3" s="662"/>
      <c r="J3" s="662"/>
      <c r="K3" s="662"/>
    </row>
    <row r="4" spans="1:13">
      <c r="A4" s="663" t="s">
        <v>44</v>
      </c>
      <c r="B4" s="663"/>
      <c r="C4" s="663"/>
      <c r="D4" s="663"/>
      <c r="E4" s="663"/>
      <c r="F4" s="663"/>
      <c r="G4" s="663"/>
      <c r="H4" s="663"/>
      <c r="I4" s="663"/>
      <c r="J4" s="663"/>
      <c r="K4" s="663"/>
    </row>
    <row r="5" spans="1:13" s="26" customFormat="1" ht="18.75" customHeight="1">
      <c r="A5" s="664" t="s">
        <v>0</v>
      </c>
      <c r="B5" s="665" t="s">
        <v>80</v>
      </c>
      <c r="C5" s="665" t="s">
        <v>45</v>
      </c>
      <c r="D5" s="665"/>
      <c r="E5" s="665"/>
      <c r="F5" s="665" t="s">
        <v>359</v>
      </c>
      <c r="G5" s="665"/>
      <c r="H5" s="665"/>
      <c r="I5" s="658" t="s">
        <v>327</v>
      </c>
      <c r="J5" s="658" t="s">
        <v>245</v>
      </c>
      <c r="K5" s="665" t="s">
        <v>8</v>
      </c>
    </row>
    <row r="6" spans="1:13" s="26" customFormat="1" ht="15.75" customHeight="1">
      <c r="A6" s="664"/>
      <c r="B6" s="665"/>
      <c r="C6" s="665"/>
      <c r="D6" s="665"/>
      <c r="E6" s="665"/>
      <c r="F6" s="665"/>
      <c r="G6" s="665"/>
      <c r="H6" s="665"/>
      <c r="I6" s="659"/>
      <c r="J6" s="659"/>
      <c r="K6" s="665"/>
    </row>
    <row r="7" spans="1:13" s="26" customFormat="1" ht="15.75" customHeight="1">
      <c r="A7" s="664"/>
      <c r="B7" s="665"/>
      <c r="C7" s="712" t="s">
        <v>250</v>
      </c>
      <c r="D7" s="713" t="s">
        <v>299</v>
      </c>
      <c r="E7" s="713"/>
      <c r="F7" s="665" t="s">
        <v>250</v>
      </c>
      <c r="G7" s="713" t="s">
        <v>299</v>
      </c>
      <c r="H7" s="713"/>
      <c r="I7" s="659"/>
      <c r="J7" s="659"/>
      <c r="K7" s="665"/>
    </row>
    <row r="8" spans="1:13" s="26" customFormat="1" ht="31.5" customHeight="1">
      <c r="A8" s="664"/>
      <c r="B8" s="665"/>
      <c r="C8" s="712"/>
      <c r="D8" s="322" t="s">
        <v>368</v>
      </c>
      <c r="E8" s="322" t="s">
        <v>369</v>
      </c>
      <c r="F8" s="665"/>
      <c r="G8" s="322" t="s">
        <v>368</v>
      </c>
      <c r="H8" s="322" t="s">
        <v>369</v>
      </c>
      <c r="I8" s="660"/>
      <c r="J8" s="660"/>
      <c r="K8" s="665"/>
    </row>
    <row r="9" spans="1:13" s="369" customFormat="1" ht="17.25" customHeight="1">
      <c r="A9" s="371">
        <v>1</v>
      </c>
      <c r="B9" s="372">
        <v>2</v>
      </c>
      <c r="C9" s="373">
        <v>3</v>
      </c>
      <c r="D9" s="371">
        <v>4</v>
      </c>
      <c r="E9" s="371">
        <v>5</v>
      </c>
      <c r="F9" s="371">
        <v>6</v>
      </c>
      <c r="G9" s="371">
        <v>7</v>
      </c>
      <c r="H9" s="372">
        <v>8</v>
      </c>
      <c r="I9" s="371">
        <v>9</v>
      </c>
      <c r="J9" s="371">
        <v>10</v>
      </c>
      <c r="K9" s="372">
        <v>11</v>
      </c>
      <c r="M9" s="374"/>
    </row>
    <row r="10" spans="1:13" s="135" customFormat="1" ht="24.75" customHeight="1">
      <c r="A10" s="132"/>
      <c r="B10" s="133" t="s">
        <v>9</v>
      </c>
      <c r="C10" s="331">
        <f t="shared" ref="C10:H10" si="0">C11+C14+C32</f>
        <v>34620.5</v>
      </c>
      <c r="D10" s="331">
        <f t="shared" si="0"/>
        <v>33210</v>
      </c>
      <c r="E10" s="331">
        <f t="shared" si="0"/>
        <v>1410.5</v>
      </c>
      <c r="F10" s="327">
        <f t="shared" si="0"/>
        <v>0</v>
      </c>
      <c r="G10" s="317">
        <f t="shared" si="0"/>
        <v>0</v>
      </c>
      <c r="H10" s="317">
        <f t="shared" si="0"/>
        <v>0</v>
      </c>
      <c r="I10" s="155">
        <f>+F10/D10</f>
        <v>0</v>
      </c>
      <c r="J10" s="155"/>
      <c r="K10" s="156"/>
      <c r="L10" s="157"/>
      <c r="M10" s="26"/>
    </row>
    <row r="11" spans="1:13" s="33" customFormat="1" ht="23.25" customHeight="1">
      <c r="A11" s="323" t="s">
        <v>23</v>
      </c>
      <c r="B11" s="324" t="s">
        <v>380</v>
      </c>
      <c r="C11" s="332">
        <f>D11+E11</f>
        <v>430.5</v>
      </c>
      <c r="D11" s="317">
        <f>D12+D13</f>
        <v>410</v>
      </c>
      <c r="E11" s="317">
        <f>E12+E13</f>
        <v>20.5</v>
      </c>
      <c r="F11" s="327">
        <f>G11+H11</f>
        <v>0</v>
      </c>
      <c r="G11" s="317">
        <f>G12+G13</f>
        <v>0</v>
      </c>
      <c r="H11" s="317">
        <f>H12+H13</f>
        <v>0</v>
      </c>
      <c r="I11" s="225"/>
      <c r="J11" s="225"/>
      <c r="K11" s="320"/>
    </row>
    <row r="12" spans="1:13" ht="35.25" customHeight="1">
      <c r="A12" s="329" t="s">
        <v>375</v>
      </c>
      <c r="B12" s="315" t="s">
        <v>406</v>
      </c>
      <c r="C12" s="333">
        <f>D12+E12</f>
        <v>210</v>
      </c>
      <c r="D12" s="34">
        <v>200</v>
      </c>
      <c r="E12" s="34">
        <v>10</v>
      </c>
      <c r="F12" s="328">
        <f>G12+H12</f>
        <v>0</v>
      </c>
      <c r="G12" s="34"/>
      <c r="H12" s="34"/>
      <c r="I12" s="152"/>
      <c r="J12" s="152"/>
      <c r="K12" s="14"/>
    </row>
    <row r="13" spans="1:13" ht="62.4">
      <c r="A13" s="329" t="s">
        <v>375</v>
      </c>
      <c r="B13" s="315" t="s">
        <v>407</v>
      </c>
      <c r="C13" s="333">
        <f>D13+E13</f>
        <v>220.5</v>
      </c>
      <c r="D13" s="34">
        <v>210</v>
      </c>
      <c r="E13" s="34">
        <v>10.5</v>
      </c>
      <c r="F13" s="328">
        <f>G13+H13</f>
        <v>0</v>
      </c>
      <c r="G13" s="34"/>
      <c r="H13" s="34"/>
      <c r="I13" s="152"/>
      <c r="J13" s="152"/>
      <c r="K13" s="14"/>
    </row>
    <row r="14" spans="1:13" s="33" customFormat="1" ht="41.25" customHeight="1">
      <c r="A14" s="321" t="s">
        <v>46</v>
      </c>
      <c r="B14" s="224" t="s">
        <v>381</v>
      </c>
      <c r="C14" s="334">
        <f>D14+E14</f>
        <v>21125</v>
      </c>
      <c r="D14" s="327">
        <f>D15+D16+D18+D20+D23+D24+D25+D28</f>
        <v>20116</v>
      </c>
      <c r="E14" s="327">
        <f>E15+E16+E18+E20+E23+E24+E25+E28</f>
        <v>1009</v>
      </c>
      <c r="F14" s="327">
        <f>G14+H14</f>
        <v>0</v>
      </c>
      <c r="G14" s="327">
        <f>G15+G16+G18+G20+G23+G24+G25+G28</f>
        <v>0</v>
      </c>
      <c r="H14" s="327">
        <f>H15+H16+H18+H20+H23+H24+H25+H28</f>
        <v>0</v>
      </c>
      <c r="I14" s="225">
        <f>F14/D14</f>
        <v>0</v>
      </c>
      <c r="J14" s="225"/>
      <c r="K14" s="320"/>
    </row>
    <row r="15" spans="1:13" s="33" customFormat="1">
      <c r="A15" s="321">
        <v>1</v>
      </c>
      <c r="B15" s="224" t="s">
        <v>370</v>
      </c>
      <c r="C15" s="334">
        <f>D15+E15</f>
        <v>1038</v>
      </c>
      <c r="D15" s="317">
        <v>988</v>
      </c>
      <c r="E15" s="317">
        <v>50</v>
      </c>
      <c r="F15" s="327">
        <f>G15+H15</f>
        <v>0</v>
      </c>
      <c r="G15" s="317"/>
      <c r="H15" s="317"/>
      <c r="I15" s="225"/>
      <c r="J15" s="225"/>
      <c r="K15" s="320"/>
    </row>
    <row r="16" spans="1:13" s="33" customFormat="1" ht="31.2">
      <c r="A16" s="321">
        <v>2</v>
      </c>
      <c r="B16" s="224" t="s">
        <v>371</v>
      </c>
      <c r="C16" s="334">
        <f>C17</f>
        <v>5617</v>
      </c>
      <c r="D16" s="64">
        <f t="shared" ref="D16:E16" si="1">D17</f>
        <v>5349</v>
      </c>
      <c r="E16" s="64">
        <f t="shared" si="1"/>
        <v>268</v>
      </c>
      <c r="F16" s="64">
        <f>F17</f>
        <v>0</v>
      </c>
      <c r="G16" s="64">
        <f t="shared" ref="G16" si="2">G17</f>
        <v>0</v>
      </c>
      <c r="H16" s="64">
        <f t="shared" ref="H16" si="3">H17</f>
        <v>0</v>
      </c>
      <c r="I16" s="225"/>
      <c r="J16" s="225"/>
      <c r="K16" s="320"/>
    </row>
    <row r="17" spans="1:11" ht="31.2">
      <c r="A17" s="325" t="s">
        <v>375</v>
      </c>
      <c r="B17" s="30" t="s">
        <v>376</v>
      </c>
      <c r="C17" s="335">
        <f t="shared" ref="C17:C29" si="4">D17+E17</f>
        <v>5617</v>
      </c>
      <c r="D17" s="34">
        <v>5349</v>
      </c>
      <c r="E17" s="34">
        <v>268</v>
      </c>
      <c r="F17" s="63">
        <f t="shared" ref="F17:F29" si="5">G17+H17</f>
        <v>0</v>
      </c>
      <c r="G17" s="34"/>
      <c r="H17" s="34"/>
      <c r="I17" s="152"/>
      <c r="J17" s="152"/>
      <c r="K17" s="14"/>
    </row>
    <row r="18" spans="1:11" s="33" customFormat="1" ht="31.2">
      <c r="A18" s="321">
        <v>3</v>
      </c>
      <c r="B18" s="224" t="s">
        <v>372</v>
      </c>
      <c r="C18" s="334">
        <f t="shared" si="4"/>
        <v>2077</v>
      </c>
      <c r="D18" s="317">
        <f>D19</f>
        <v>1977</v>
      </c>
      <c r="E18" s="317">
        <f>E19</f>
        <v>100</v>
      </c>
      <c r="F18" s="327">
        <f t="shared" si="5"/>
        <v>0</v>
      </c>
      <c r="G18" s="317">
        <f>G19</f>
        <v>0</v>
      </c>
      <c r="H18" s="317">
        <f>H19</f>
        <v>0</v>
      </c>
      <c r="I18" s="225"/>
      <c r="J18" s="225"/>
      <c r="K18" s="320"/>
    </row>
    <row r="19" spans="1:11" ht="31.2">
      <c r="A19" s="325" t="s">
        <v>375</v>
      </c>
      <c r="B19" s="30" t="s">
        <v>377</v>
      </c>
      <c r="C19" s="335">
        <f t="shared" si="4"/>
        <v>2077</v>
      </c>
      <c r="D19" s="34">
        <v>1977</v>
      </c>
      <c r="E19" s="34">
        <v>100</v>
      </c>
      <c r="F19" s="328">
        <f t="shared" si="5"/>
        <v>0</v>
      </c>
      <c r="G19" s="34"/>
      <c r="H19" s="34"/>
      <c r="I19" s="152"/>
      <c r="J19" s="152"/>
      <c r="K19" s="14"/>
    </row>
    <row r="20" spans="1:11" s="33" customFormat="1">
      <c r="A20" s="321">
        <v>4</v>
      </c>
      <c r="B20" s="224" t="s">
        <v>373</v>
      </c>
      <c r="C20" s="334">
        <f t="shared" si="4"/>
        <v>5228</v>
      </c>
      <c r="D20" s="317">
        <f>D21+D22</f>
        <v>4979</v>
      </c>
      <c r="E20" s="317">
        <f>E21+E22</f>
        <v>249</v>
      </c>
      <c r="F20" s="327">
        <f t="shared" si="5"/>
        <v>0</v>
      </c>
      <c r="G20" s="317">
        <f>G21+G22</f>
        <v>0</v>
      </c>
      <c r="H20" s="317">
        <f>H21+H22</f>
        <v>0</v>
      </c>
      <c r="I20" s="225"/>
      <c r="J20" s="225"/>
      <c r="K20" s="320"/>
    </row>
    <row r="21" spans="1:11" ht="31.2">
      <c r="A21" s="325" t="s">
        <v>375</v>
      </c>
      <c r="B21" s="30" t="s">
        <v>378</v>
      </c>
      <c r="C21" s="335">
        <f t="shared" si="4"/>
        <v>583</v>
      </c>
      <c r="D21" s="34">
        <v>555</v>
      </c>
      <c r="E21" s="34">
        <v>28</v>
      </c>
      <c r="F21" s="328">
        <f t="shared" si="5"/>
        <v>0</v>
      </c>
      <c r="G21" s="34"/>
      <c r="H21" s="34"/>
      <c r="I21" s="152"/>
      <c r="J21" s="152"/>
      <c r="K21" s="14"/>
    </row>
    <row r="22" spans="1:11" ht="31.2">
      <c r="A22" s="325" t="s">
        <v>375</v>
      </c>
      <c r="B22" s="30" t="s">
        <v>379</v>
      </c>
      <c r="C22" s="335">
        <f t="shared" si="4"/>
        <v>4645</v>
      </c>
      <c r="D22" s="34">
        <v>4424</v>
      </c>
      <c r="E22" s="34">
        <v>221</v>
      </c>
      <c r="F22" s="328">
        <f t="shared" si="5"/>
        <v>0</v>
      </c>
      <c r="G22" s="34"/>
      <c r="H22" s="34"/>
      <c r="I22" s="152"/>
      <c r="J22" s="152"/>
      <c r="K22" s="14"/>
    </row>
    <row r="23" spans="1:11" s="33" customFormat="1" ht="31.2">
      <c r="A23" s="321">
        <v>5</v>
      </c>
      <c r="B23" s="224" t="s">
        <v>374</v>
      </c>
      <c r="C23" s="334">
        <f t="shared" si="4"/>
        <v>284</v>
      </c>
      <c r="D23" s="317">
        <v>270</v>
      </c>
      <c r="E23" s="317">
        <v>14</v>
      </c>
      <c r="F23" s="327">
        <f t="shared" si="5"/>
        <v>0</v>
      </c>
      <c r="G23" s="317"/>
      <c r="H23" s="317"/>
      <c r="I23" s="225"/>
      <c r="J23" s="225"/>
      <c r="K23" s="320"/>
    </row>
    <row r="24" spans="1:11" s="33" customFormat="1" ht="31.2">
      <c r="A24" s="321">
        <v>6</v>
      </c>
      <c r="B24" s="224" t="s">
        <v>382</v>
      </c>
      <c r="C24" s="334">
        <f t="shared" si="4"/>
        <v>1299</v>
      </c>
      <c r="D24" s="317">
        <v>1238</v>
      </c>
      <c r="E24" s="317">
        <v>61</v>
      </c>
      <c r="F24" s="327">
        <f t="shared" si="5"/>
        <v>0</v>
      </c>
      <c r="G24" s="317"/>
      <c r="H24" s="317"/>
      <c r="I24" s="225"/>
      <c r="J24" s="225"/>
      <c r="K24" s="320"/>
    </row>
    <row r="25" spans="1:11" s="33" customFormat="1" ht="31.2">
      <c r="A25" s="321">
        <v>7</v>
      </c>
      <c r="B25" s="224" t="s">
        <v>383</v>
      </c>
      <c r="C25" s="334">
        <f t="shared" si="4"/>
        <v>5218</v>
      </c>
      <c r="D25" s="317">
        <f>D26+D27</f>
        <v>4969</v>
      </c>
      <c r="E25" s="317">
        <f>E26+E27</f>
        <v>249</v>
      </c>
      <c r="F25" s="327">
        <f t="shared" si="5"/>
        <v>0</v>
      </c>
      <c r="G25" s="317">
        <f>G26+G27</f>
        <v>0</v>
      </c>
      <c r="H25" s="317">
        <f>H26+H27</f>
        <v>0</v>
      </c>
      <c r="I25" s="225"/>
      <c r="J25" s="225"/>
      <c r="K25" s="320"/>
    </row>
    <row r="26" spans="1:11" ht="31.2">
      <c r="A26" s="325" t="s">
        <v>375</v>
      </c>
      <c r="B26" s="30" t="s">
        <v>384</v>
      </c>
      <c r="C26" s="335">
        <f t="shared" si="4"/>
        <v>4964</v>
      </c>
      <c r="D26" s="34">
        <v>4727</v>
      </c>
      <c r="E26" s="34">
        <v>237</v>
      </c>
      <c r="F26" s="328">
        <f t="shared" si="5"/>
        <v>0</v>
      </c>
      <c r="G26" s="34"/>
      <c r="H26" s="34"/>
      <c r="I26" s="152"/>
      <c r="J26" s="152"/>
      <c r="K26" s="14" t="s">
        <v>433</v>
      </c>
    </row>
    <row r="27" spans="1:11" ht="31.2">
      <c r="A27" s="325" t="s">
        <v>375</v>
      </c>
      <c r="B27" s="30" t="s">
        <v>385</v>
      </c>
      <c r="C27" s="335">
        <f t="shared" si="4"/>
        <v>254</v>
      </c>
      <c r="D27" s="34">
        <v>242</v>
      </c>
      <c r="E27" s="34">
        <v>12</v>
      </c>
      <c r="F27" s="328">
        <f t="shared" si="5"/>
        <v>0</v>
      </c>
      <c r="G27" s="34"/>
      <c r="H27" s="34"/>
      <c r="I27" s="152"/>
      <c r="J27" s="152"/>
      <c r="K27" s="14"/>
    </row>
    <row r="28" spans="1:11" s="33" customFormat="1" ht="31.2">
      <c r="A28" s="326">
        <v>8</v>
      </c>
      <c r="B28" s="224" t="s">
        <v>386</v>
      </c>
      <c r="C28" s="334">
        <f t="shared" si="4"/>
        <v>364</v>
      </c>
      <c r="D28" s="317">
        <f>D29+D30+D31</f>
        <v>346</v>
      </c>
      <c r="E28" s="317">
        <f>E29+E30+E31</f>
        <v>18</v>
      </c>
      <c r="F28" s="327">
        <f t="shared" si="5"/>
        <v>0</v>
      </c>
      <c r="G28" s="317">
        <f>G29+G30+G31</f>
        <v>0</v>
      </c>
      <c r="H28" s="317">
        <f>H29+H30+H31</f>
        <v>0</v>
      </c>
      <c r="I28" s="225"/>
      <c r="J28" s="225"/>
      <c r="K28" s="320"/>
    </row>
    <row r="29" spans="1:11" ht="78">
      <c r="A29" s="325" t="s">
        <v>375</v>
      </c>
      <c r="B29" s="30" t="s">
        <v>387</v>
      </c>
      <c r="C29" s="335">
        <f t="shared" si="4"/>
        <v>170</v>
      </c>
      <c r="D29" s="34">
        <v>162</v>
      </c>
      <c r="E29" s="34">
        <v>8</v>
      </c>
      <c r="F29" s="328">
        <f t="shared" si="5"/>
        <v>0</v>
      </c>
      <c r="G29" s="34"/>
      <c r="H29" s="34"/>
      <c r="I29" s="152"/>
      <c r="J29" s="152"/>
      <c r="K29" s="14"/>
    </row>
    <row r="30" spans="1:11" ht="31.2">
      <c r="A30" s="325" t="s">
        <v>375</v>
      </c>
      <c r="B30" s="30" t="s">
        <v>388</v>
      </c>
      <c r="C30" s="335">
        <f t="shared" ref="C30:C31" si="6">D30+E30</f>
        <v>74</v>
      </c>
      <c r="D30" s="34">
        <v>70</v>
      </c>
      <c r="E30" s="34">
        <v>4</v>
      </c>
      <c r="F30" s="328">
        <f t="shared" ref="F30:F31" si="7">G30+H30</f>
        <v>0</v>
      </c>
      <c r="G30" s="34"/>
      <c r="H30" s="34"/>
      <c r="I30" s="152"/>
      <c r="J30" s="152"/>
      <c r="K30" s="14"/>
    </row>
    <row r="31" spans="1:11">
      <c r="A31" s="325" t="s">
        <v>375</v>
      </c>
      <c r="B31" s="30" t="s">
        <v>389</v>
      </c>
      <c r="C31" s="335">
        <f t="shared" si="6"/>
        <v>120</v>
      </c>
      <c r="D31" s="34">
        <v>114</v>
      </c>
      <c r="E31" s="34">
        <v>6</v>
      </c>
      <c r="F31" s="328">
        <f t="shared" si="7"/>
        <v>0</v>
      </c>
      <c r="G31" s="34"/>
      <c r="H31" s="34"/>
      <c r="I31" s="152"/>
      <c r="J31" s="152"/>
      <c r="K31" s="14"/>
    </row>
    <row r="32" spans="1:11" s="33" customFormat="1" ht="30" customHeight="1">
      <c r="A32" s="323" t="s">
        <v>94</v>
      </c>
      <c r="B32" s="324" t="s">
        <v>391</v>
      </c>
      <c r="C32" s="332">
        <f t="shared" ref="C32:C39" si="8">D32+E32</f>
        <v>13065</v>
      </c>
      <c r="D32" s="317">
        <f>D33+D35+D36+D38+D42+D45</f>
        <v>12684</v>
      </c>
      <c r="E32" s="317">
        <f>E33+E35+E36+E38+E42+E45</f>
        <v>381</v>
      </c>
      <c r="F32" s="327">
        <f t="shared" ref="F32:F39" si="9">G32+H32</f>
        <v>0</v>
      </c>
      <c r="G32" s="317">
        <f>G33+G35+G36+G38+G42+G45</f>
        <v>0</v>
      </c>
      <c r="H32" s="317">
        <f>H33+H35+H36+H38+H42+H45</f>
        <v>0</v>
      </c>
      <c r="I32" s="225"/>
      <c r="J32" s="225"/>
      <c r="K32" s="320"/>
    </row>
    <row r="33" spans="1:11" s="33" customFormat="1" ht="31.2">
      <c r="A33" s="323" t="s">
        <v>50</v>
      </c>
      <c r="B33" s="324" t="s">
        <v>390</v>
      </c>
      <c r="C33" s="332">
        <f t="shared" si="8"/>
        <v>2031</v>
      </c>
      <c r="D33" s="317">
        <f>D34</f>
        <v>1972</v>
      </c>
      <c r="E33" s="317">
        <f>E34</f>
        <v>59</v>
      </c>
      <c r="F33" s="327">
        <f t="shared" si="9"/>
        <v>0</v>
      </c>
      <c r="G33" s="317">
        <f>G34</f>
        <v>0</v>
      </c>
      <c r="H33" s="317">
        <f>H34</f>
        <v>0</v>
      </c>
      <c r="I33" s="225"/>
      <c r="J33" s="225"/>
      <c r="K33" s="320"/>
    </row>
    <row r="34" spans="1:11" ht="31.2">
      <c r="A34" s="329" t="s">
        <v>375</v>
      </c>
      <c r="B34" s="315" t="s">
        <v>392</v>
      </c>
      <c r="C34" s="333">
        <f t="shared" si="8"/>
        <v>2031</v>
      </c>
      <c r="D34" s="34">
        <v>1972</v>
      </c>
      <c r="E34" s="34">
        <v>59</v>
      </c>
      <c r="F34" s="327">
        <f t="shared" si="9"/>
        <v>0</v>
      </c>
      <c r="G34" s="34"/>
      <c r="H34" s="34"/>
      <c r="I34" s="152"/>
      <c r="J34" s="152"/>
      <c r="K34" s="14"/>
    </row>
    <row r="35" spans="1:11" s="33" customFormat="1">
      <c r="A35" s="323" t="s">
        <v>51</v>
      </c>
      <c r="B35" s="324" t="s">
        <v>393</v>
      </c>
      <c r="C35" s="332">
        <f t="shared" si="8"/>
        <v>4550</v>
      </c>
      <c r="D35" s="317">
        <v>4416</v>
      </c>
      <c r="E35" s="317">
        <v>134</v>
      </c>
      <c r="F35" s="327">
        <f t="shared" si="9"/>
        <v>0</v>
      </c>
      <c r="G35" s="317"/>
      <c r="H35" s="317"/>
      <c r="I35" s="225"/>
      <c r="J35" s="225"/>
      <c r="K35" s="320"/>
    </row>
    <row r="36" spans="1:11" s="33" customFormat="1">
      <c r="A36" s="323" t="s">
        <v>52</v>
      </c>
      <c r="B36" s="324" t="s">
        <v>394</v>
      </c>
      <c r="C36" s="332">
        <f t="shared" si="8"/>
        <v>1928</v>
      </c>
      <c r="D36" s="317">
        <f>D37</f>
        <v>1872</v>
      </c>
      <c r="E36" s="317">
        <f>E37</f>
        <v>56</v>
      </c>
      <c r="F36" s="327">
        <f t="shared" si="9"/>
        <v>0</v>
      </c>
      <c r="G36" s="317">
        <f>G37</f>
        <v>0</v>
      </c>
      <c r="H36" s="317">
        <f>H37</f>
        <v>0</v>
      </c>
      <c r="I36" s="225"/>
      <c r="J36" s="225"/>
      <c r="K36" s="320"/>
    </row>
    <row r="37" spans="1:11">
      <c r="A37" s="316"/>
      <c r="B37" s="315" t="s">
        <v>395</v>
      </c>
      <c r="C37" s="333">
        <f t="shared" si="8"/>
        <v>1928</v>
      </c>
      <c r="D37" s="34">
        <v>1872</v>
      </c>
      <c r="E37" s="34">
        <v>56</v>
      </c>
      <c r="F37" s="328">
        <f t="shared" si="9"/>
        <v>0</v>
      </c>
      <c r="G37" s="34"/>
      <c r="H37" s="34"/>
      <c r="I37" s="152"/>
      <c r="J37" s="152"/>
      <c r="K37" s="14"/>
    </row>
    <row r="38" spans="1:11" s="33" customFormat="1">
      <c r="A38" s="323" t="s">
        <v>53</v>
      </c>
      <c r="B38" s="324" t="s">
        <v>396</v>
      </c>
      <c r="C38" s="332">
        <f t="shared" si="8"/>
        <v>3080</v>
      </c>
      <c r="D38" s="317">
        <f>SUM(D39:D41)</f>
        <v>2991</v>
      </c>
      <c r="E38" s="317">
        <f>SUM(E39:E41)</f>
        <v>89</v>
      </c>
      <c r="F38" s="327">
        <f t="shared" si="9"/>
        <v>0</v>
      </c>
      <c r="G38" s="317">
        <f>SUM(G39:G41)</f>
        <v>0</v>
      </c>
      <c r="H38" s="317">
        <f>SUM(H39:H41)</f>
        <v>0</v>
      </c>
      <c r="I38" s="225"/>
      <c r="J38" s="225"/>
      <c r="K38" s="320"/>
    </row>
    <row r="39" spans="1:11">
      <c r="A39" s="329" t="s">
        <v>375</v>
      </c>
      <c r="B39" s="315" t="s">
        <v>397</v>
      </c>
      <c r="C39" s="333">
        <f t="shared" si="8"/>
        <v>2353</v>
      </c>
      <c r="D39" s="34">
        <v>2285</v>
      </c>
      <c r="E39" s="34">
        <v>68</v>
      </c>
      <c r="F39" s="328">
        <f t="shared" si="9"/>
        <v>0</v>
      </c>
      <c r="G39" s="34"/>
      <c r="H39" s="34"/>
      <c r="I39" s="152"/>
      <c r="J39" s="152"/>
      <c r="K39" s="14"/>
    </row>
    <row r="40" spans="1:11">
      <c r="A40" s="329" t="s">
        <v>375</v>
      </c>
      <c r="B40" s="315" t="s">
        <v>398</v>
      </c>
      <c r="C40" s="333">
        <f t="shared" ref="C40:C41" si="10">D40+E40</f>
        <v>284</v>
      </c>
      <c r="D40" s="34">
        <v>276</v>
      </c>
      <c r="E40" s="34">
        <v>8</v>
      </c>
      <c r="F40" s="328">
        <f t="shared" ref="F40:F41" si="11">G40+H40</f>
        <v>0</v>
      </c>
      <c r="G40" s="34"/>
      <c r="H40" s="34"/>
      <c r="I40" s="152"/>
      <c r="J40" s="152"/>
      <c r="K40" s="14"/>
    </row>
    <row r="41" spans="1:11">
      <c r="A41" s="329" t="s">
        <v>375</v>
      </c>
      <c r="B41" s="315" t="s">
        <v>399</v>
      </c>
      <c r="C41" s="333">
        <f t="shared" si="10"/>
        <v>443</v>
      </c>
      <c r="D41" s="34">
        <v>430</v>
      </c>
      <c r="E41" s="34">
        <v>13</v>
      </c>
      <c r="F41" s="327">
        <f t="shared" si="11"/>
        <v>0</v>
      </c>
      <c r="G41" s="34"/>
      <c r="H41" s="34"/>
      <c r="I41" s="152"/>
      <c r="J41" s="152"/>
      <c r="K41" s="14"/>
    </row>
    <row r="42" spans="1:11" s="33" customFormat="1">
      <c r="A42" s="323" t="s">
        <v>88</v>
      </c>
      <c r="B42" s="324" t="s">
        <v>400</v>
      </c>
      <c r="C42" s="332">
        <f t="shared" ref="C42:C47" si="12">D42+E42</f>
        <v>459</v>
      </c>
      <c r="D42" s="317">
        <f>D43+D44</f>
        <v>446</v>
      </c>
      <c r="E42" s="317">
        <f>E43+E44</f>
        <v>13</v>
      </c>
      <c r="F42" s="327">
        <f t="shared" ref="F42:F47" si="13">G42+H42</f>
        <v>0</v>
      </c>
      <c r="G42" s="317">
        <f>G43+G44</f>
        <v>0</v>
      </c>
      <c r="H42" s="317">
        <f>H43+H44</f>
        <v>0</v>
      </c>
      <c r="I42" s="225"/>
      <c r="J42" s="225"/>
      <c r="K42" s="320"/>
    </row>
    <row r="43" spans="1:11">
      <c r="A43" s="329" t="s">
        <v>375</v>
      </c>
      <c r="B43" s="315" t="s">
        <v>401</v>
      </c>
      <c r="C43" s="333">
        <f t="shared" si="12"/>
        <v>381</v>
      </c>
      <c r="D43" s="34">
        <v>370</v>
      </c>
      <c r="E43" s="34">
        <v>11</v>
      </c>
      <c r="F43" s="327">
        <f t="shared" si="13"/>
        <v>0</v>
      </c>
      <c r="G43" s="34"/>
      <c r="H43" s="34"/>
      <c r="I43" s="152"/>
      <c r="J43" s="152"/>
      <c r="K43" s="14"/>
    </row>
    <row r="44" spans="1:11">
      <c r="A44" s="329" t="s">
        <v>375</v>
      </c>
      <c r="B44" s="315" t="s">
        <v>402</v>
      </c>
      <c r="C44" s="333">
        <f t="shared" si="12"/>
        <v>78</v>
      </c>
      <c r="D44" s="34">
        <v>76</v>
      </c>
      <c r="E44" s="34">
        <v>2</v>
      </c>
      <c r="F44" s="328">
        <f t="shared" si="13"/>
        <v>0</v>
      </c>
      <c r="G44" s="34"/>
      <c r="H44" s="34"/>
      <c r="I44" s="152"/>
      <c r="J44" s="152"/>
      <c r="K44" s="14"/>
    </row>
    <row r="45" spans="1:11" s="33" customFormat="1">
      <c r="A45" s="323" t="s">
        <v>89</v>
      </c>
      <c r="B45" s="324" t="s">
        <v>403</v>
      </c>
      <c r="C45" s="332">
        <f t="shared" si="12"/>
        <v>1017</v>
      </c>
      <c r="D45" s="317">
        <f>D46+D47</f>
        <v>987</v>
      </c>
      <c r="E45" s="317">
        <f>E46+E47</f>
        <v>30</v>
      </c>
      <c r="F45" s="327">
        <f t="shared" si="13"/>
        <v>0</v>
      </c>
      <c r="G45" s="317">
        <f>G46+G47</f>
        <v>0</v>
      </c>
      <c r="H45" s="317">
        <f>H46+H47</f>
        <v>0</v>
      </c>
      <c r="I45" s="225"/>
      <c r="J45" s="225"/>
      <c r="K45" s="320"/>
    </row>
    <row r="46" spans="1:11">
      <c r="A46" s="329" t="s">
        <v>375</v>
      </c>
      <c r="B46" s="315" t="s">
        <v>404</v>
      </c>
      <c r="C46" s="333">
        <f t="shared" si="12"/>
        <v>665</v>
      </c>
      <c r="D46" s="34">
        <v>645</v>
      </c>
      <c r="E46" s="34">
        <v>20</v>
      </c>
      <c r="F46" s="328">
        <f t="shared" si="13"/>
        <v>0</v>
      </c>
      <c r="G46" s="34"/>
      <c r="H46" s="34"/>
      <c r="I46" s="152"/>
      <c r="J46" s="152"/>
      <c r="K46" s="14"/>
    </row>
    <row r="47" spans="1:11">
      <c r="A47" s="329" t="s">
        <v>375</v>
      </c>
      <c r="B47" s="315" t="s">
        <v>405</v>
      </c>
      <c r="C47" s="333">
        <f t="shared" si="12"/>
        <v>352</v>
      </c>
      <c r="D47" s="34">
        <v>342</v>
      </c>
      <c r="E47" s="34">
        <v>10</v>
      </c>
      <c r="F47" s="328">
        <f t="shared" si="13"/>
        <v>0</v>
      </c>
      <c r="G47" s="34"/>
      <c r="H47" s="34"/>
      <c r="I47" s="152"/>
      <c r="J47" s="152"/>
      <c r="K47" s="14"/>
    </row>
    <row r="48" spans="1:11">
      <c r="A48" s="316"/>
      <c r="B48" s="315"/>
      <c r="C48" s="333"/>
      <c r="D48" s="34"/>
      <c r="E48" s="34"/>
      <c r="F48" s="327"/>
      <c r="G48" s="34"/>
      <c r="H48" s="223"/>
      <c r="I48" s="152"/>
      <c r="J48" s="152"/>
      <c r="K48" s="14"/>
    </row>
    <row r="49" spans="1:11">
      <c r="F49" s="327"/>
    </row>
    <row r="50" spans="1:11">
      <c r="F50" s="327"/>
    </row>
    <row r="51" spans="1:11">
      <c r="F51" s="328"/>
    </row>
    <row r="52" spans="1:11">
      <c r="F52" s="328"/>
    </row>
    <row r="53" spans="1:11">
      <c r="A53" s="35"/>
    </row>
    <row r="54" spans="1:11">
      <c r="A54" s="35"/>
      <c r="B54" s="40"/>
      <c r="C54" s="337"/>
      <c r="D54" s="42"/>
      <c r="E54" s="42"/>
      <c r="F54" s="42"/>
      <c r="G54" s="42"/>
      <c r="H54" s="42"/>
      <c r="I54" s="42"/>
      <c r="J54" s="42"/>
      <c r="K54" s="43"/>
    </row>
    <row r="55" spans="1:11">
      <c r="A55" s="35"/>
      <c r="B55" s="40"/>
      <c r="C55" s="337"/>
      <c r="D55" s="42"/>
      <c r="E55" s="42"/>
      <c r="F55" s="42"/>
      <c r="G55" s="42"/>
      <c r="H55" s="42"/>
      <c r="I55" s="42"/>
      <c r="J55" s="42"/>
      <c r="K55" s="43"/>
    </row>
    <row r="56" spans="1:11">
      <c r="A56" s="35"/>
      <c r="B56" s="40"/>
      <c r="C56" s="337"/>
      <c r="D56" s="42"/>
      <c r="E56" s="42"/>
      <c r="F56" s="42"/>
      <c r="G56" s="42"/>
      <c r="H56" s="42"/>
      <c r="I56" s="42"/>
      <c r="J56" s="42"/>
      <c r="K56" s="43"/>
    </row>
    <row r="57" spans="1:11">
      <c r="A57" s="35"/>
      <c r="B57" s="40"/>
      <c r="C57" s="337"/>
      <c r="D57" s="42"/>
      <c r="E57" s="42"/>
      <c r="F57" s="42"/>
      <c r="G57" s="42"/>
      <c r="H57" s="42"/>
      <c r="I57" s="42"/>
      <c r="J57" s="42"/>
      <c r="K57" s="43"/>
    </row>
    <row r="58" spans="1:11">
      <c r="A58" s="35"/>
      <c r="B58" s="40"/>
      <c r="C58" s="337"/>
      <c r="D58" s="42"/>
      <c r="E58" s="42"/>
      <c r="F58" s="42"/>
      <c r="G58" s="42"/>
      <c r="H58" s="42"/>
      <c r="I58" s="42"/>
      <c r="J58" s="42"/>
      <c r="K58" s="43"/>
    </row>
    <row r="59" spans="1:11">
      <c r="A59" s="35"/>
      <c r="B59" s="40"/>
      <c r="C59" s="337"/>
      <c r="D59" s="42"/>
      <c r="E59" s="42"/>
      <c r="F59" s="42"/>
      <c r="G59" s="42"/>
      <c r="H59" s="42"/>
      <c r="I59" s="42"/>
      <c r="J59" s="42"/>
      <c r="K59" s="43"/>
    </row>
    <row r="60" spans="1:11">
      <c r="A60" s="35"/>
      <c r="B60" s="40"/>
      <c r="C60" s="337"/>
      <c r="D60" s="42"/>
      <c r="E60" s="42"/>
      <c r="F60" s="42"/>
      <c r="G60" s="42"/>
      <c r="H60" s="42"/>
      <c r="I60" s="42"/>
      <c r="J60" s="42"/>
      <c r="K60" s="43"/>
    </row>
    <row r="61" spans="1:11">
      <c r="A61" s="35"/>
      <c r="B61" s="40"/>
      <c r="C61" s="337"/>
      <c r="D61" s="42"/>
      <c r="E61" s="42"/>
      <c r="F61" s="42"/>
      <c r="G61" s="42"/>
      <c r="H61" s="42"/>
      <c r="I61" s="42"/>
      <c r="J61" s="42"/>
      <c r="K61" s="43"/>
    </row>
    <row r="62" spans="1:11">
      <c r="A62" s="35"/>
      <c r="B62" s="40"/>
      <c r="C62" s="337"/>
      <c r="D62" s="42"/>
      <c r="E62" s="42"/>
      <c r="F62" s="42"/>
      <c r="G62" s="42"/>
      <c r="H62" s="42"/>
      <c r="I62" s="42"/>
      <c r="J62" s="42"/>
      <c r="K62" s="43"/>
    </row>
    <row r="63" spans="1:11">
      <c r="B63" s="45"/>
      <c r="C63" s="338"/>
      <c r="D63" s="42"/>
      <c r="E63" s="42"/>
      <c r="F63" s="42"/>
      <c r="G63" s="42"/>
      <c r="H63" s="42"/>
      <c r="I63" s="42"/>
      <c r="J63" s="42"/>
      <c r="K63" s="43"/>
    </row>
    <row r="64" spans="1:11">
      <c r="B64" s="314"/>
      <c r="C64" s="339"/>
      <c r="D64" s="314"/>
      <c r="E64" s="319"/>
      <c r="F64" s="314"/>
      <c r="G64" s="319"/>
      <c r="H64" s="314"/>
      <c r="I64" s="314"/>
      <c r="J64" s="361"/>
    </row>
    <row r="65" spans="1:10">
      <c r="A65" s="47"/>
    </row>
    <row r="66" spans="1:10">
      <c r="A66" s="47"/>
      <c r="B66" s="25"/>
      <c r="C66" s="340"/>
      <c r="D66" s="25"/>
      <c r="E66" s="25"/>
      <c r="F66" s="25"/>
      <c r="G66" s="25"/>
      <c r="H66" s="25"/>
      <c r="I66" s="25"/>
      <c r="J66" s="25"/>
    </row>
    <row r="67" spans="1:10">
      <c r="A67" s="47"/>
      <c r="B67" s="25"/>
      <c r="C67" s="340"/>
      <c r="D67" s="25"/>
      <c r="E67" s="25"/>
      <c r="F67" s="25"/>
      <c r="G67" s="25"/>
      <c r="H67" s="25"/>
      <c r="I67" s="25"/>
      <c r="J67" s="25"/>
    </row>
    <row r="68" spans="1:10">
      <c r="A68" s="47"/>
      <c r="B68" s="25"/>
      <c r="C68" s="340"/>
      <c r="D68" s="25"/>
      <c r="E68" s="25"/>
      <c r="F68" s="25"/>
      <c r="G68" s="25"/>
      <c r="H68" s="25"/>
      <c r="I68" s="25"/>
      <c r="J68" s="25"/>
    </row>
    <row r="69" spans="1:10" s="39" customFormat="1">
      <c r="A69" s="47"/>
      <c r="B69" s="25"/>
      <c r="C69" s="340"/>
      <c r="D69" s="25"/>
      <c r="E69" s="25"/>
      <c r="F69" s="25"/>
      <c r="G69" s="25"/>
      <c r="H69" s="25"/>
      <c r="I69" s="25"/>
      <c r="J69" s="25"/>
    </row>
    <row r="70" spans="1:10" s="39" customFormat="1">
      <c r="A70" s="47"/>
      <c r="B70" s="25"/>
      <c r="C70" s="340"/>
      <c r="D70" s="25"/>
      <c r="E70" s="25"/>
      <c r="F70" s="25"/>
      <c r="G70" s="25"/>
      <c r="H70" s="25"/>
      <c r="I70" s="25"/>
      <c r="J70" s="25"/>
    </row>
    <row r="71" spans="1:10" s="39" customFormat="1">
      <c r="A71" s="47"/>
      <c r="B71" s="25"/>
      <c r="C71" s="340"/>
      <c r="D71" s="25"/>
      <c r="E71" s="25"/>
      <c r="F71" s="25"/>
      <c r="G71" s="25"/>
      <c r="H71" s="25"/>
      <c r="I71" s="25"/>
      <c r="J71" s="25"/>
    </row>
    <row r="72" spans="1:10" s="39" customFormat="1">
      <c r="A72" s="47"/>
      <c r="B72" s="25"/>
      <c r="C72" s="340"/>
      <c r="D72" s="25"/>
      <c r="E72" s="25"/>
      <c r="F72" s="25"/>
      <c r="G72" s="25"/>
      <c r="H72" s="25"/>
      <c r="I72" s="25"/>
      <c r="J72" s="25"/>
    </row>
    <row r="73" spans="1:10" s="39" customFormat="1">
      <c r="A73" s="47"/>
      <c r="B73" s="25"/>
      <c r="C73" s="340"/>
      <c r="D73" s="25"/>
      <c r="E73" s="25"/>
      <c r="F73" s="25"/>
      <c r="G73" s="25"/>
      <c r="H73" s="25"/>
      <c r="I73" s="25"/>
      <c r="J73" s="25"/>
    </row>
    <row r="74" spans="1:10" s="39" customFormat="1">
      <c r="A74" s="47"/>
      <c r="B74" s="25"/>
      <c r="C74" s="340"/>
      <c r="D74" s="25"/>
      <c r="E74" s="25"/>
      <c r="F74" s="25"/>
      <c r="G74" s="25"/>
      <c r="H74" s="25"/>
      <c r="I74" s="25"/>
      <c r="J74" s="25"/>
    </row>
    <row r="75" spans="1:10" s="39" customFormat="1">
      <c r="A75" s="47"/>
      <c r="B75" s="25"/>
      <c r="C75" s="340"/>
      <c r="D75" s="25"/>
      <c r="E75" s="25"/>
      <c r="F75" s="25"/>
      <c r="G75" s="25"/>
      <c r="H75" s="25"/>
      <c r="I75" s="25"/>
      <c r="J75" s="25"/>
    </row>
    <row r="76" spans="1:10" s="39" customFormat="1">
      <c r="A76" s="47"/>
      <c r="B76" s="25"/>
      <c r="C76" s="340"/>
      <c r="D76" s="25"/>
      <c r="E76" s="25"/>
      <c r="F76" s="25"/>
      <c r="G76" s="25"/>
      <c r="H76" s="25"/>
      <c r="I76" s="25"/>
      <c r="J76" s="25"/>
    </row>
    <row r="77" spans="1:10" s="39" customFormat="1">
      <c r="A77" s="47"/>
      <c r="B77" s="25"/>
      <c r="C77" s="340"/>
      <c r="D77" s="25"/>
      <c r="E77" s="25"/>
      <c r="F77" s="25"/>
      <c r="G77" s="25"/>
      <c r="H77" s="25"/>
      <c r="I77" s="25"/>
      <c r="J77" s="25"/>
    </row>
    <row r="78" spans="1:10" s="39" customFormat="1">
      <c r="A78" s="47"/>
      <c r="B78" s="25"/>
      <c r="C78" s="340"/>
      <c r="D78" s="25"/>
      <c r="E78" s="25"/>
      <c r="F78" s="25"/>
      <c r="G78" s="25"/>
      <c r="H78" s="25"/>
      <c r="I78" s="25"/>
      <c r="J78" s="25"/>
    </row>
    <row r="79" spans="1:10" s="39" customFormat="1">
      <c r="A79" s="47"/>
      <c r="B79" s="25"/>
      <c r="C79" s="340"/>
      <c r="D79" s="25"/>
      <c r="E79" s="25"/>
      <c r="F79" s="25"/>
      <c r="G79" s="25"/>
      <c r="H79" s="25"/>
      <c r="I79" s="25"/>
      <c r="J79" s="25"/>
    </row>
    <row r="80" spans="1:10" s="39" customFormat="1">
      <c r="A80" s="47"/>
      <c r="B80" s="25"/>
      <c r="C80" s="340"/>
      <c r="D80" s="25"/>
      <c r="E80" s="25"/>
      <c r="F80" s="25"/>
      <c r="G80" s="25"/>
      <c r="H80" s="25"/>
      <c r="I80" s="25"/>
      <c r="J80" s="25"/>
    </row>
    <row r="81" spans="1:10" s="39" customFormat="1">
      <c r="A81" s="47"/>
      <c r="B81" s="25"/>
      <c r="C81" s="340"/>
      <c r="D81" s="25"/>
      <c r="E81" s="25"/>
      <c r="F81" s="25"/>
      <c r="G81" s="25"/>
      <c r="H81" s="25"/>
      <c r="I81" s="25"/>
      <c r="J81" s="25"/>
    </row>
    <row r="82" spans="1:10" s="39" customFormat="1">
      <c r="A82" s="47"/>
      <c r="B82" s="25"/>
      <c r="C82" s="340"/>
      <c r="D82" s="25"/>
      <c r="E82" s="25"/>
      <c r="F82" s="25"/>
      <c r="G82" s="25"/>
      <c r="H82" s="25"/>
      <c r="I82" s="25"/>
      <c r="J82" s="25"/>
    </row>
    <row r="83" spans="1:10" s="39" customFormat="1">
      <c r="A83" s="47"/>
      <c r="B83" s="25"/>
      <c r="C83" s="340"/>
      <c r="D83" s="25"/>
      <c r="E83" s="25"/>
      <c r="F83" s="25"/>
      <c r="G83" s="25"/>
      <c r="H83" s="25"/>
      <c r="I83" s="25"/>
      <c r="J83" s="25"/>
    </row>
    <row r="84" spans="1:10" s="39" customFormat="1">
      <c r="A84" s="47"/>
      <c r="B84" s="25"/>
      <c r="C84" s="340"/>
      <c r="D84" s="25"/>
      <c r="E84" s="25"/>
      <c r="F84" s="25"/>
      <c r="G84" s="25"/>
      <c r="H84" s="25"/>
      <c r="I84" s="25"/>
      <c r="J84" s="25"/>
    </row>
    <row r="85" spans="1:10" s="39" customFormat="1">
      <c r="A85" s="47"/>
      <c r="B85" s="25"/>
      <c r="C85" s="340"/>
      <c r="D85" s="25"/>
      <c r="E85" s="25"/>
      <c r="F85" s="25"/>
      <c r="G85" s="25"/>
      <c r="H85" s="25"/>
      <c r="I85" s="25"/>
      <c r="J85" s="25"/>
    </row>
    <row r="86" spans="1:10" s="39" customFormat="1">
      <c r="A86" s="47"/>
      <c r="B86" s="25"/>
      <c r="C86" s="340"/>
      <c r="D86" s="25"/>
      <c r="E86" s="25"/>
      <c r="F86" s="25"/>
      <c r="G86" s="25"/>
      <c r="H86" s="25"/>
      <c r="I86" s="25"/>
      <c r="J86" s="25"/>
    </row>
    <row r="87" spans="1:10" s="39" customFormat="1">
      <c r="A87" s="47"/>
      <c r="B87" s="25"/>
      <c r="C87" s="340"/>
      <c r="D87" s="25"/>
      <c r="E87" s="25"/>
      <c r="F87" s="25"/>
      <c r="G87" s="25"/>
      <c r="H87" s="25"/>
      <c r="I87" s="25"/>
      <c r="J87" s="25"/>
    </row>
    <row r="88" spans="1:10" s="39" customFormat="1">
      <c r="A88" s="47"/>
      <c r="B88" s="25"/>
      <c r="C88" s="340"/>
      <c r="D88" s="25"/>
      <c r="E88" s="25"/>
      <c r="F88" s="25"/>
      <c r="G88" s="25"/>
      <c r="H88" s="25"/>
      <c r="I88" s="25"/>
      <c r="J88" s="25"/>
    </row>
    <row r="89" spans="1:10" s="39" customFormat="1">
      <c r="A89" s="47"/>
      <c r="B89" s="25"/>
      <c r="C89" s="340"/>
      <c r="D89" s="25"/>
      <c r="E89" s="25"/>
      <c r="F89" s="25"/>
      <c r="G89" s="25"/>
      <c r="H89" s="25"/>
      <c r="I89" s="25"/>
      <c r="J89" s="25"/>
    </row>
    <row r="90" spans="1:10" s="39" customFormat="1">
      <c r="A90" s="47"/>
      <c r="B90" s="25"/>
      <c r="C90" s="340"/>
      <c r="D90" s="25"/>
      <c r="E90" s="25"/>
      <c r="F90" s="25"/>
      <c r="G90" s="25"/>
      <c r="H90" s="25"/>
      <c r="I90" s="25"/>
      <c r="J90" s="25"/>
    </row>
    <row r="91" spans="1:10" s="39" customFormat="1">
      <c r="A91" s="47"/>
      <c r="B91" s="25"/>
      <c r="C91" s="340"/>
      <c r="D91" s="25"/>
      <c r="E91" s="25"/>
      <c r="F91" s="25"/>
      <c r="G91" s="25"/>
      <c r="H91" s="25"/>
      <c r="I91" s="25"/>
      <c r="J91" s="25"/>
    </row>
    <row r="92" spans="1:10" s="39" customFormat="1">
      <c r="A92" s="47"/>
      <c r="B92" s="25"/>
      <c r="C92" s="340"/>
      <c r="D92" s="25"/>
      <c r="E92" s="25"/>
      <c r="F92" s="25"/>
      <c r="G92" s="25"/>
      <c r="H92" s="25"/>
      <c r="I92" s="25"/>
      <c r="J92" s="25"/>
    </row>
    <row r="93" spans="1:10" s="39" customFormat="1">
      <c r="A93" s="47"/>
      <c r="B93" s="25"/>
      <c r="C93" s="340"/>
      <c r="D93" s="25"/>
      <c r="E93" s="25"/>
      <c r="F93" s="25"/>
      <c r="G93" s="25"/>
      <c r="H93" s="25"/>
      <c r="I93" s="25"/>
      <c r="J93" s="25"/>
    </row>
    <row r="94" spans="1:10" s="39" customFormat="1">
      <c r="A94" s="47"/>
      <c r="B94" s="25"/>
      <c r="C94" s="340"/>
      <c r="D94" s="25"/>
      <c r="E94" s="25"/>
      <c r="F94" s="25"/>
      <c r="G94" s="25"/>
      <c r="H94" s="25"/>
      <c r="I94" s="25"/>
      <c r="J94" s="25"/>
    </row>
    <row r="95" spans="1:10" s="39" customFormat="1">
      <c r="A95" s="47"/>
      <c r="B95" s="25"/>
      <c r="C95" s="340"/>
      <c r="D95" s="25"/>
      <c r="E95" s="25"/>
      <c r="F95" s="25"/>
      <c r="G95" s="25"/>
      <c r="H95" s="25"/>
      <c r="I95" s="25"/>
      <c r="J95" s="25"/>
    </row>
    <row r="96" spans="1:10" s="39" customFormat="1">
      <c r="A96" s="47"/>
      <c r="B96" s="25"/>
      <c r="C96" s="340"/>
      <c r="D96" s="25"/>
      <c r="E96" s="25"/>
      <c r="F96" s="25"/>
      <c r="G96" s="25"/>
      <c r="H96" s="25"/>
      <c r="I96" s="25"/>
      <c r="J96" s="25"/>
    </row>
    <row r="97" spans="1:10" s="39" customFormat="1">
      <c r="A97" s="47"/>
      <c r="B97" s="25"/>
      <c r="C97" s="340"/>
      <c r="D97" s="25"/>
      <c r="E97" s="25"/>
      <c r="F97" s="25"/>
      <c r="G97" s="25"/>
      <c r="H97" s="25"/>
      <c r="I97" s="25"/>
      <c r="J97" s="25"/>
    </row>
    <row r="98" spans="1:10" s="39" customFormat="1">
      <c r="A98" s="47"/>
      <c r="B98" s="25"/>
      <c r="C98" s="340"/>
      <c r="D98" s="25"/>
      <c r="E98" s="25"/>
      <c r="F98" s="25"/>
      <c r="G98" s="25"/>
      <c r="H98" s="25"/>
      <c r="I98" s="25"/>
      <c r="J98" s="25"/>
    </row>
    <row r="99" spans="1:10" s="39" customFormat="1">
      <c r="A99" s="47"/>
      <c r="B99" s="25"/>
      <c r="C99" s="340"/>
      <c r="D99" s="25"/>
      <c r="E99" s="25"/>
      <c r="F99" s="25"/>
      <c r="G99" s="25"/>
      <c r="H99" s="25"/>
      <c r="I99" s="25"/>
      <c r="J99" s="25"/>
    </row>
    <row r="100" spans="1:10" s="39" customFormat="1">
      <c r="A100" s="47"/>
      <c r="B100" s="25"/>
      <c r="C100" s="340"/>
      <c r="D100" s="25"/>
      <c r="E100" s="25"/>
      <c r="F100" s="25"/>
      <c r="G100" s="25"/>
      <c r="H100" s="25"/>
      <c r="I100" s="25"/>
      <c r="J100" s="25"/>
    </row>
    <row r="101" spans="1:10" s="39" customFormat="1">
      <c r="A101" s="47"/>
      <c r="B101" s="25"/>
      <c r="C101" s="340"/>
      <c r="D101" s="25"/>
      <c r="E101" s="25"/>
      <c r="F101" s="25"/>
      <c r="G101" s="25"/>
      <c r="H101" s="25"/>
      <c r="I101" s="25"/>
      <c r="J101" s="25"/>
    </row>
    <row r="102" spans="1:10" s="39" customFormat="1">
      <c r="A102" s="47"/>
      <c r="B102" s="25"/>
      <c r="C102" s="340"/>
      <c r="D102" s="25"/>
      <c r="E102" s="25"/>
      <c r="F102" s="25"/>
      <c r="G102" s="25"/>
      <c r="H102" s="25"/>
      <c r="I102" s="25"/>
      <c r="J102" s="25"/>
    </row>
    <row r="103" spans="1:10" s="39" customFormat="1">
      <c r="A103" s="47"/>
      <c r="B103" s="25"/>
      <c r="C103" s="340"/>
      <c r="D103" s="25"/>
      <c r="E103" s="25"/>
      <c r="F103" s="25"/>
      <c r="G103" s="25"/>
      <c r="H103" s="25"/>
      <c r="I103" s="25"/>
      <c r="J103" s="25"/>
    </row>
    <row r="104" spans="1:10" s="39" customFormat="1">
      <c r="A104" s="47"/>
      <c r="B104" s="25"/>
      <c r="C104" s="340"/>
      <c r="D104" s="25"/>
      <c r="E104" s="25"/>
      <c r="F104" s="25"/>
      <c r="G104" s="25"/>
      <c r="H104" s="25"/>
      <c r="I104" s="25"/>
      <c r="J104" s="25"/>
    </row>
    <row r="105" spans="1:10" s="39" customFormat="1">
      <c r="A105" s="47"/>
      <c r="B105" s="25"/>
      <c r="C105" s="340"/>
      <c r="D105" s="25"/>
      <c r="E105" s="25"/>
      <c r="F105" s="25"/>
      <c r="G105" s="25"/>
      <c r="H105" s="25"/>
      <c r="I105" s="25"/>
      <c r="J105" s="25"/>
    </row>
    <row r="106" spans="1:10" s="39" customFormat="1">
      <c r="A106" s="47"/>
      <c r="B106" s="25"/>
      <c r="C106" s="340"/>
      <c r="D106" s="25"/>
      <c r="E106" s="25"/>
      <c r="F106" s="25"/>
      <c r="G106" s="25"/>
      <c r="H106" s="25"/>
      <c r="I106" s="25"/>
      <c r="J106" s="25"/>
    </row>
    <row r="107" spans="1:10" s="39" customFormat="1">
      <c r="A107" s="47"/>
      <c r="B107" s="25"/>
      <c r="C107" s="340"/>
      <c r="D107" s="25"/>
      <c r="E107" s="25"/>
      <c r="F107" s="25"/>
      <c r="G107" s="25"/>
      <c r="H107" s="25"/>
      <c r="I107" s="25"/>
      <c r="J107" s="25"/>
    </row>
    <row r="108" spans="1:10" s="39" customFormat="1">
      <c r="A108" s="47"/>
      <c r="B108" s="25"/>
      <c r="C108" s="340"/>
      <c r="D108" s="25"/>
      <c r="E108" s="25"/>
      <c r="F108" s="25"/>
      <c r="G108" s="25"/>
      <c r="H108" s="25"/>
      <c r="I108" s="25"/>
      <c r="J108" s="25"/>
    </row>
    <row r="109" spans="1:10" s="39" customFormat="1">
      <c r="A109" s="47"/>
      <c r="B109" s="25"/>
      <c r="C109" s="340"/>
      <c r="D109" s="25"/>
      <c r="E109" s="25"/>
      <c r="F109" s="25"/>
      <c r="G109" s="25"/>
      <c r="H109" s="25"/>
      <c r="I109" s="25"/>
      <c r="J109" s="25"/>
    </row>
    <row r="110" spans="1:10" s="39" customFormat="1">
      <c r="A110" s="47"/>
      <c r="B110" s="25"/>
      <c r="C110" s="340"/>
      <c r="D110" s="25"/>
      <c r="E110" s="25"/>
      <c r="F110" s="25"/>
      <c r="G110" s="25"/>
      <c r="H110" s="25"/>
      <c r="I110" s="25"/>
      <c r="J110" s="25"/>
    </row>
    <row r="111" spans="1:10" s="39" customFormat="1">
      <c r="A111" s="47"/>
      <c r="B111" s="25"/>
      <c r="C111" s="340"/>
      <c r="D111" s="25"/>
      <c r="E111" s="25"/>
      <c r="F111" s="25"/>
      <c r="G111" s="25"/>
      <c r="H111" s="25"/>
      <c r="I111" s="25"/>
      <c r="J111" s="25"/>
    </row>
    <row r="112" spans="1:10" s="39" customFormat="1">
      <c r="A112" s="47"/>
      <c r="B112" s="25"/>
      <c r="C112" s="340"/>
      <c r="D112" s="25"/>
      <c r="E112" s="25"/>
      <c r="F112" s="25"/>
      <c r="G112" s="25"/>
      <c r="H112" s="25"/>
      <c r="I112" s="25"/>
      <c r="J112" s="25"/>
    </row>
    <row r="113" spans="1:10" s="39" customFormat="1">
      <c r="A113" s="47"/>
      <c r="B113" s="25"/>
      <c r="C113" s="340"/>
      <c r="D113" s="25"/>
      <c r="E113" s="25"/>
      <c r="F113" s="25"/>
      <c r="G113" s="25"/>
      <c r="H113" s="25"/>
      <c r="I113" s="25"/>
      <c r="J113" s="25"/>
    </row>
    <row r="114" spans="1:10" s="39" customFormat="1">
      <c r="A114" s="47"/>
      <c r="B114" s="25"/>
      <c r="C114" s="340"/>
      <c r="D114" s="25"/>
      <c r="E114" s="25"/>
      <c r="F114" s="25"/>
      <c r="G114" s="25"/>
      <c r="H114" s="25"/>
      <c r="I114" s="25"/>
      <c r="J114" s="25"/>
    </row>
    <row r="115" spans="1:10" s="39" customFormat="1">
      <c r="A115" s="47"/>
      <c r="B115" s="25"/>
      <c r="C115" s="340"/>
      <c r="D115" s="25"/>
      <c r="E115" s="25"/>
      <c r="F115" s="25"/>
      <c r="G115" s="25"/>
      <c r="H115" s="25"/>
      <c r="I115" s="25"/>
      <c r="J115" s="25"/>
    </row>
    <row r="116" spans="1:10" s="39" customFormat="1">
      <c r="A116" s="47"/>
      <c r="B116" s="25"/>
      <c r="C116" s="340"/>
      <c r="D116" s="25"/>
      <c r="E116" s="25"/>
      <c r="F116" s="25"/>
      <c r="G116" s="25"/>
      <c r="H116" s="25"/>
      <c r="I116" s="25"/>
      <c r="J116" s="25"/>
    </row>
    <row r="117" spans="1:10" s="39" customFormat="1">
      <c r="A117" s="47"/>
      <c r="B117" s="25"/>
      <c r="C117" s="340"/>
      <c r="D117" s="25"/>
      <c r="E117" s="25"/>
      <c r="F117" s="25"/>
      <c r="G117" s="25"/>
      <c r="H117" s="25"/>
      <c r="I117" s="25"/>
      <c r="J117" s="25"/>
    </row>
    <row r="118" spans="1:10" s="39" customFormat="1">
      <c r="A118" s="47"/>
      <c r="B118" s="25"/>
      <c r="C118" s="340"/>
      <c r="D118" s="25"/>
      <c r="E118" s="25"/>
      <c r="F118" s="25"/>
      <c r="G118" s="25"/>
      <c r="H118" s="25"/>
      <c r="I118" s="25"/>
      <c r="J118" s="25"/>
    </row>
    <row r="119" spans="1:10" s="39" customFormat="1">
      <c r="A119" s="47"/>
      <c r="B119" s="25"/>
      <c r="C119" s="340"/>
      <c r="D119" s="25"/>
      <c r="E119" s="25"/>
      <c r="F119" s="25"/>
      <c r="G119" s="25"/>
      <c r="H119" s="25"/>
      <c r="I119" s="25"/>
      <c r="J119" s="25"/>
    </row>
    <row r="120" spans="1:10" s="39" customFormat="1">
      <c r="A120" s="47"/>
      <c r="B120" s="25"/>
      <c r="C120" s="340"/>
      <c r="D120" s="25"/>
      <c r="E120" s="25"/>
      <c r="F120" s="25"/>
      <c r="G120" s="25"/>
      <c r="H120" s="25"/>
      <c r="I120" s="25"/>
      <c r="J120" s="25"/>
    </row>
    <row r="121" spans="1:10" s="39" customFormat="1">
      <c r="A121" s="47"/>
      <c r="B121" s="25"/>
      <c r="C121" s="340"/>
      <c r="D121" s="25"/>
      <c r="E121" s="25"/>
      <c r="F121" s="25"/>
      <c r="G121" s="25"/>
      <c r="H121" s="25"/>
      <c r="I121" s="25"/>
      <c r="J121" s="25"/>
    </row>
    <row r="122" spans="1:10" s="39" customFormat="1">
      <c r="A122" s="47"/>
      <c r="B122" s="25"/>
      <c r="C122" s="340"/>
      <c r="D122" s="25"/>
      <c r="E122" s="25"/>
      <c r="F122" s="25"/>
      <c r="G122" s="25"/>
      <c r="H122" s="25"/>
      <c r="I122" s="25"/>
      <c r="J122" s="25"/>
    </row>
    <row r="123" spans="1:10" s="39" customFormat="1">
      <c r="A123" s="47"/>
      <c r="B123" s="25"/>
      <c r="C123" s="340"/>
      <c r="D123" s="25"/>
      <c r="E123" s="25"/>
      <c r="F123" s="25"/>
      <c r="G123" s="25"/>
      <c r="H123" s="25"/>
      <c r="I123" s="25"/>
      <c r="J123" s="25"/>
    </row>
    <row r="124" spans="1:10" s="39" customFormat="1">
      <c r="A124" s="47"/>
      <c r="B124" s="25"/>
      <c r="C124" s="340"/>
      <c r="D124" s="25"/>
      <c r="E124" s="25"/>
      <c r="F124" s="25"/>
      <c r="G124" s="25"/>
      <c r="H124" s="25"/>
      <c r="I124" s="25"/>
      <c r="J124" s="25"/>
    </row>
    <row r="125" spans="1:10" s="39" customFormat="1">
      <c r="A125" s="47"/>
      <c r="B125" s="25"/>
      <c r="C125" s="340"/>
      <c r="D125" s="25"/>
      <c r="E125" s="25"/>
      <c r="F125" s="25"/>
      <c r="G125" s="25"/>
      <c r="H125" s="25"/>
      <c r="I125" s="25"/>
      <c r="J125" s="25"/>
    </row>
    <row r="126" spans="1:10" s="39" customFormat="1">
      <c r="A126" s="47"/>
      <c r="B126" s="25"/>
      <c r="C126" s="340"/>
      <c r="D126" s="25"/>
      <c r="E126" s="25"/>
      <c r="F126" s="25"/>
      <c r="G126" s="25"/>
      <c r="H126" s="25"/>
      <c r="I126" s="25"/>
      <c r="J126" s="25"/>
    </row>
    <row r="127" spans="1:10" s="39" customFormat="1">
      <c r="A127" s="47"/>
      <c r="B127" s="25"/>
      <c r="C127" s="340"/>
      <c r="D127" s="25"/>
      <c r="E127" s="25"/>
      <c r="F127" s="25"/>
      <c r="G127" s="25"/>
      <c r="H127" s="25"/>
      <c r="I127" s="25"/>
      <c r="J127" s="25"/>
    </row>
    <row r="128" spans="1:10" s="39" customFormat="1">
      <c r="A128" s="47"/>
      <c r="B128" s="25"/>
      <c r="C128" s="340"/>
      <c r="D128" s="25"/>
      <c r="E128" s="25"/>
      <c r="F128" s="25"/>
      <c r="G128" s="25"/>
      <c r="H128" s="25"/>
      <c r="I128" s="25"/>
      <c r="J128" s="25"/>
    </row>
    <row r="129" spans="1:10" s="39" customFormat="1">
      <c r="A129" s="47"/>
      <c r="B129" s="25"/>
      <c r="C129" s="340"/>
      <c r="D129" s="25"/>
      <c r="E129" s="25"/>
      <c r="F129" s="25"/>
      <c r="G129" s="25"/>
      <c r="H129" s="25"/>
      <c r="I129" s="25"/>
      <c r="J129" s="25"/>
    </row>
    <row r="130" spans="1:10" s="39" customFormat="1">
      <c r="A130" s="47"/>
      <c r="B130" s="25"/>
      <c r="C130" s="340"/>
      <c r="D130" s="25"/>
      <c r="E130" s="25"/>
      <c r="F130" s="25"/>
      <c r="G130" s="25"/>
      <c r="H130" s="25"/>
      <c r="I130" s="25"/>
      <c r="J130" s="25"/>
    </row>
    <row r="131" spans="1:10" s="39" customFormat="1">
      <c r="A131" s="47"/>
      <c r="B131" s="25"/>
      <c r="C131" s="340"/>
      <c r="D131" s="25"/>
      <c r="E131" s="25"/>
      <c r="F131" s="25"/>
      <c r="G131" s="25"/>
      <c r="H131" s="25"/>
      <c r="I131" s="25"/>
      <c r="J131" s="25"/>
    </row>
    <row r="132" spans="1:10" s="39" customFormat="1">
      <c r="A132" s="47"/>
      <c r="B132" s="25"/>
      <c r="C132" s="340"/>
      <c r="D132" s="25"/>
      <c r="E132" s="25"/>
      <c r="F132" s="25"/>
      <c r="G132" s="25"/>
      <c r="H132" s="25"/>
      <c r="I132" s="25"/>
      <c r="J132" s="25"/>
    </row>
    <row r="133" spans="1:10" s="39" customFormat="1">
      <c r="A133" s="47"/>
      <c r="B133" s="25"/>
      <c r="C133" s="340"/>
      <c r="D133" s="25"/>
      <c r="E133" s="25"/>
      <c r="F133" s="25"/>
      <c r="G133" s="25"/>
      <c r="H133" s="25"/>
      <c r="I133" s="25"/>
      <c r="J133" s="25"/>
    </row>
    <row r="134" spans="1:10" s="39" customFormat="1">
      <c r="A134" s="47"/>
      <c r="B134" s="25"/>
      <c r="C134" s="340"/>
      <c r="D134" s="25"/>
      <c r="E134" s="25"/>
      <c r="F134" s="25"/>
      <c r="G134" s="25"/>
      <c r="H134" s="25"/>
      <c r="I134" s="25"/>
      <c r="J134" s="25"/>
    </row>
    <row r="135" spans="1:10" s="39" customFormat="1">
      <c r="A135" s="47"/>
      <c r="B135" s="25"/>
      <c r="C135" s="340"/>
      <c r="D135" s="25"/>
      <c r="E135" s="25"/>
      <c r="F135" s="25"/>
      <c r="G135" s="25"/>
      <c r="H135" s="25"/>
      <c r="I135" s="25"/>
      <c r="J135" s="25"/>
    </row>
    <row r="136" spans="1:10" s="39" customFormat="1">
      <c r="A136" s="47"/>
      <c r="B136" s="25"/>
      <c r="C136" s="340"/>
      <c r="D136" s="25"/>
      <c r="E136" s="25"/>
      <c r="F136" s="25"/>
      <c r="G136" s="25"/>
      <c r="H136" s="25"/>
      <c r="I136" s="25"/>
      <c r="J136" s="25"/>
    </row>
    <row r="137" spans="1:10" s="39" customFormat="1">
      <c r="A137" s="47"/>
      <c r="B137" s="25"/>
      <c r="C137" s="340"/>
      <c r="D137" s="25"/>
      <c r="E137" s="25"/>
      <c r="F137" s="25"/>
      <c r="G137" s="25"/>
      <c r="H137" s="25"/>
      <c r="I137" s="25"/>
      <c r="J137" s="25"/>
    </row>
    <row r="138" spans="1:10" s="39" customFormat="1">
      <c r="A138" s="47"/>
      <c r="B138" s="25"/>
      <c r="C138" s="340"/>
      <c r="D138" s="25"/>
      <c r="E138" s="25"/>
      <c r="F138" s="25"/>
      <c r="G138" s="25"/>
      <c r="H138" s="25"/>
      <c r="I138" s="25"/>
      <c r="J138" s="25"/>
    </row>
    <row r="139" spans="1:10" s="39" customFormat="1">
      <c r="A139" s="47"/>
      <c r="B139" s="25"/>
      <c r="C139" s="340"/>
      <c r="D139" s="25"/>
      <c r="E139" s="25"/>
      <c r="F139" s="25"/>
      <c r="G139" s="25"/>
      <c r="H139" s="25"/>
      <c r="I139" s="25"/>
      <c r="J139" s="25"/>
    </row>
    <row r="140" spans="1:10" s="39" customFormat="1">
      <c r="A140" s="47"/>
      <c r="B140" s="25"/>
      <c r="C140" s="340"/>
      <c r="D140" s="25"/>
      <c r="E140" s="25"/>
      <c r="F140" s="25"/>
      <c r="G140" s="25"/>
      <c r="H140" s="25"/>
      <c r="I140" s="25"/>
      <c r="J140" s="25"/>
    </row>
    <row r="141" spans="1:10" s="39" customFormat="1">
      <c r="A141" s="47"/>
      <c r="B141" s="25"/>
      <c r="C141" s="340"/>
      <c r="D141" s="25"/>
      <c r="E141" s="25"/>
      <c r="F141" s="25"/>
      <c r="G141" s="25"/>
      <c r="H141" s="25"/>
      <c r="I141" s="25"/>
      <c r="J141" s="25"/>
    </row>
    <row r="142" spans="1:10" s="39" customFormat="1">
      <c r="A142" s="47"/>
      <c r="B142" s="25"/>
      <c r="C142" s="340"/>
      <c r="D142" s="25"/>
      <c r="E142" s="25"/>
      <c r="F142" s="25"/>
      <c r="G142" s="25"/>
      <c r="H142" s="25"/>
      <c r="I142" s="25"/>
      <c r="J142" s="25"/>
    </row>
    <row r="143" spans="1:10" s="39" customFormat="1">
      <c r="A143" s="47"/>
      <c r="B143" s="25"/>
      <c r="C143" s="340"/>
      <c r="D143" s="25"/>
      <c r="E143" s="25"/>
      <c r="F143" s="25"/>
      <c r="G143" s="25"/>
      <c r="H143" s="25"/>
      <c r="I143" s="25"/>
      <c r="J143" s="25"/>
    </row>
    <row r="144" spans="1:10" s="39" customFormat="1">
      <c r="A144" s="47"/>
      <c r="B144" s="25"/>
      <c r="C144" s="340"/>
      <c r="D144" s="25"/>
      <c r="E144" s="25"/>
      <c r="F144" s="25"/>
      <c r="G144" s="25"/>
      <c r="H144" s="25"/>
      <c r="I144" s="25"/>
      <c r="J144" s="25"/>
    </row>
    <row r="145" spans="1:10" s="39" customFormat="1">
      <c r="A145" s="47"/>
      <c r="B145" s="25"/>
      <c r="C145" s="340"/>
      <c r="D145" s="25"/>
      <c r="E145" s="25"/>
      <c r="F145" s="25"/>
      <c r="G145" s="25"/>
      <c r="H145" s="25"/>
      <c r="I145" s="25"/>
      <c r="J145" s="25"/>
    </row>
    <row r="146" spans="1:10" s="39" customFormat="1">
      <c r="A146" s="47"/>
      <c r="B146" s="25"/>
      <c r="C146" s="340"/>
      <c r="D146" s="25"/>
      <c r="E146" s="25"/>
      <c r="F146" s="25"/>
      <c r="G146" s="25"/>
      <c r="H146" s="25"/>
      <c r="I146" s="25"/>
      <c r="J146" s="25"/>
    </row>
    <row r="147" spans="1:10" s="39" customFormat="1">
      <c r="A147" s="47"/>
      <c r="B147" s="25"/>
      <c r="C147" s="340"/>
      <c r="D147" s="25"/>
      <c r="E147" s="25"/>
      <c r="F147" s="25"/>
      <c r="G147" s="25"/>
      <c r="H147" s="25"/>
      <c r="I147" s="25"/>
      <c r="J147" s="25"/>
    </row>
    <row r="148" spans="1:10" s="39" customFormat="1">
      <c r="A148" s="47"/>
      <c r="B148" s="25"/>
      <c r="C148" s="340"/>
      <c r="D148" s="25"/>
      <c r="E148" s="25"/>
      <c r="F148" s="25"/>
      <c r="G148" s="25"/>
      <c r="H148" s="25"/>
      <c r="I148" s="25"/>
      <c r="J148" s="25"/>
    </row>
    <row r="149" spans="1:10" s="39" customFormat="1">
      <c r="A149" s="47"/>
      <c r="B149" s="25"/>
      <c r="C149" s="340"/>
      <c r="D149" s="25"/>
      <c r="E149" s="25"/>
      <c r="F149" s="25"/>
      <c r="G149" s="25"/>
      <c r="H149" s="25"/>
      <c r="I149" s="25"/>
      <c r="J149" s="25"/>
    </row>
    <row r="150" spans="1:10" s="39" customFormat="1">
      <c r="A150" s="47"/>
      <c r="B150" s="25"/>
      <c r="C150" s="340"/>
      <c r="D150" s="25"/>
      <c r="E150" s="25"/>
      <c r="F150" s="25"/>
      <c r="G150" s="25"/>
      <c r="H150" s="25"/>
      <c r="I150" s="25"/>
      <c r="J150" s="25"/>
    </row>
    <row r="151" spans="1:10" s="39" customFormat="1">
      <c r="A151" s="47"/>
      <c r="B151" s="25"/>
      <c r="C151" s="340"/>
      <c r="D151" s="25"/>
      <c r="E151" s="25"/>
      <c r="F151" s="25"/>
      <c r="G151" s="25"/>
      <c r="H151" s="25"/>
      <c r="I151" s="25"/>
      <c r="J151" s="25"/>
    </row>
    <row r="152" spans="1:10" s="39" customFormat="1">
      <c r="A152" s="47"/>
      <c r="B152" s="25"/>
      <c r="C152" s="340"/>
      <c r="D152" s="25"/>
      <c r="E152" s="25"/>
      <c r="F152" s="25"/>
      <c r="G152" s="25"/>
      <c r="H152" s="25"/>
      <c r="I152" s="25"/>
      <c r="J152" s="25"/>
    </row>
    <row r="153" spans="1:10" s="39" customFormat="1">
      <c r="A153" s="47"/>
      <c r="B153" s="25"/>
      <c r="C153" s="340"/>
      <c r="D153" s="25"/>
      <c r="E153" s="25"/>
      <c r="F153" s="25"/>
      <c r="G153" s="25"/>
      <c r="H153" s="25"/>
      <c r="I153" s="25"/>
      <c r="J153" s="25"/>
    </row>
    <row r="154" spans="1:10" s="39" customFormat="1">
      <c r="A154" s="47"/>
      <c r="B154" s="25"/>
      <c r="C154" s="340"/>
      <c r="D154" s="25"/>
      <c r="E154" s="25"/>
      <c r="F154" s="25"/>
      <c r="G154" s="25"/>
      <c r="H154" s="25"/>
      <c r="I154" s="25"/>
      <c r="J154" s="25"/>
    </row>
    <row r="155" spans="1:10" s="39" customFormat="1">
      <c r="A155" s="47"/>
      <c r="B155" s="25"/>
      <c r="C155" s="340"/>
      <c r="D155" s="25"/>
      <c r="E155" s="25"/>
      <c r="F155" s="25"/>
      <c r="G155" s="25"/>
      <c r="H155" s="25"/>
      <c r="I155" s="25"/>
      <c r="J155" s="25"/>
    </row>
    <row r="156" spans="1:10" s="39" customFormat="1">
      <c r="A156" s="47"/>
      <c r="B156" s="25"/>
      <c r="C156" s="340"/>
      <c r="D156" s="25"/>
      <c r="E156" s="25"/>
      <c r="F156" s="25"/>
      <c r="G156" s="25"/>
      <c r="H156" s="25"/>
      <c r="I156" s="25"/>
      <c r="J156" s="25"/>
    </row>
    <row r="157" spans="1:10" s="39" customFormat="1">
      <c r="A157" s="47"/>
      <c r="B157" s="25"/>
      <c r="C157" s="340"/>
      <c r="D157" s="25"/>
      <c r="E157" s="25"/>
      <c r="F157" s="25"/>
      <c r="G157" s="25"/>
      <c r="H157" s="25"/>
      <c r="I157" s="25"/>
      <c r="J157" s="25"/>
    </row>
    <row r="158" spans="1:10" s="39" customFormat="1">
      <c r="A158" s="47"/>
      <c r="B158" s="25"/>
      <c r="C158" s="340"/>
      <c r="D158" s="25"/>
      <c r="E158" s="25"/>
      <c r="F158" s="25"/>
      <c r="G158" s="25"/>
      <c r="H158" s="25"/>
      <c r="I158" s="25"/>
      <c r="J158" s="25"/>
    </row>
    <row r="159" spans="1:10" s="39" customFormat="1">
      <c r="A159" s="47"/>
      <c r="B159" s="25"/>
      <c r="C159" s="340"/>
      <c r="D159" s="25"/>
      <c r="E159" s="25"/>
      <c r="F159" s="25"/>
      <c r="G159" s="25"/>
      <c r="H159" s="25"/>
      <c r="I159" s="25"/>
      <c r="J159" s="25"/>
    </row>
    <row r="160" spans="1:10" s="39" customFormat="1">
      <c r="A160" s="47"/>
      <c r="B160" s="25"/>
      <c r="C160" s="340"/>
      <c r="D160" s="25"/>
      <c r="E160" s="25"/>
      <c r="F160" s="25"/>
      <c r="G160" s="25"/>
      <c r="H160" s="25"/>
      <c r="I160" s="25"/>
      <c r="J160" s="25"/>
    </row>
    <row r="161" spans="1:10" s="39" customFormat="1">
      <c r="A161" s="47"/>
      <c r="B161" s="25"/>
      <c r="C161" s="340"/>
      <c r="D161" s="25"/>
      <c r="E161" s="25"/>
      <c r="F161" s="25"/>
      <c r="G161" s="25"/>
      <c r="H161" s="25"/>
      <c r="I161" s="25"/>
      <c r="J161" s="25"/>
    </row>
    <row r="162" spans="1:10" s="39" customFormat="1">
      <c r="A162" s="47"/>
      <c r="B162" s="25"/>
      <c r="C162" s="340"/>
      <c r="D162" s="25"/>
      <c r="E162" s="25"/>
      <c r="F162" s="25"/>
      <c r="G162" s="25"/>
      <c r="H162" s="25"/>
      <c r="I162" s="25"/>
      <c r="J162" s="25"/>
    </row>
    <row r="163" spans="1:10" s="39" customFormat="1">
      <c r="A163" s="47"/>
      <c r="B163" s="25"/>
      <c r="C163" s="340"/>
      <c r="D163" s="25"/>
      <c r="E163" s="25"/>
      <c r="F163" s="25"/>
      <c r="G163" s="25"/>
      <c r="H163" s="25"/>
      <c r="I163" s="25"/>
      <c r="J163" s="25"/>
    </row>
    <row r="164" spans="1:10" s="39" customFormat="1">
      <c r="A164" s="47"/>
      <c r="B164" s="25"/>
      <c r="C164" s="340"/>
      <c r="D164" s="25"/>
      <c r="E164" s="25"/>
      <c r="F164" s="25"/>
      <c r="G164" s="25"/>
      <c r="H164" s="25"/>
      <c r="I164" s="25"/>
      <c r="J164" s="25"/>
    </row>
    <row r="165" spans="1:10" s="39" customFormat="1">
      <c r="A165" s="47"/>
      <c r="B165" s="25"/>
      <c r="C165" s="340"/>
      <c r="D165" s="25"/>
      <c r="E165" s="25"/>
      <c r="F165" s="25"/>
      <c r="G165" s="25"/>
      <c r="H165" s="25"/>
      <c r="I165" s="25"/>
      <c r="J165" s="25"/>
    </row>
    <row r="166" spans="1:10" s="39" customFormat="1">
      <c r="A166" s="47"/>
      <c r="B166" s="25"/>
      <c r="C166" s="340"/>
      <c r="D166" s="25"/>
      <c r="E166" s="25"/>
      <c r="F166" s="25"/>
      <c r="G166" s="25"/>
      <c r="H166" s="25"/>
      <c r="I166" s="25"/>
      <c r="J166" s="25"/>
    </row>
    <row r="167" spans="1:10" s="39" customFormat="1">
      <c r="A167" s="47"/>
      <c r="B167" s="25"/>
      <c r="C167" s="340"/>
      <c r="D167" s="25"/>
      <c r="E167" s="25"/>
      <c r="F167" s="25"/>
      <c r="G167" s="25"/>
      <c r="H167" s="25"/>
      <c r="I167" s="25"/>
      <c r="J167" s="25"/>
    </row>
    <row r="168" spans="1:10" s="39" customFormat="1">
      <c r="A168" s="47"/>
      <c r="B168" s="25"/>
      <c r="C168" s="340"/>
      <c r="D168" s="25"/>
      <c r="E168" s="25"/>
      <c r="F168" s="25"/>
      <c r="G168" s="25"/>
      <c r="H168" s="25"/>
      <c r="I168" s="25"/>
      <c r="J168" s="25"/>
    </row>
    <row r="169" spans="1:10" s="39" customFormat="1">
      <c r="A169" s="47"/>
      <c r="B169" s="25"/>
      <c r="C169" s="340"/>
      <c r="D169" s="25"/>
      <c r="E169" s="25"/>
      <c r="F169" s="25"/>
      <c r="G169" s="25"/>
      <c r="H169" s="25"/>
      <c r="I169" s="25"/>
      <c r="J169" s="25"/>
    </row>
    <row r="170" spans="1:10" s="39" customFormat="1">
      <c r="A170" s="47"/>
      <c r="B170" s="25"/>
      <c r="C170" s="340"/>
      <c r="D170" s="25"/>
      <c r="E170" s="25"/>
      <c r="F170" s="25"/>
      <c r="G170" s="25"/>
      <c r="H170" s="25"/>
      <c r="I170" s="25"/>
      <c r="J170" s="25"/>
    </row>
    <row r="171" spans="1:10" s="39" customFormat="1">
      <c r="A171" s="47"/>
      <c r="B171" s="25"/>
      <c r="C171" s="340"/>
      <c r="D171" s="25"/>
      <c r="E171" s="25"/>
      <c r="F171" s="25"/>
      <c r="G171" s="25"/>
      <c r="H171" s="25"/>
      <c r="I171" s="25"/>
      <c r="J171" s="25"/>
    </row>
    <row r="172" spans="1:10" s="39" customFormat="1">
      <c r="A172" s="47"/>
      <c r="B172" s="25"/>
      <c r="C172" s="340"/>
      <c r="D172" s="25"/>
      <c r="E172" s="25"/>
      <c r="F172" s="25"/>
      <c r="G172" s="25"/>
      <c r="H172" s="25"/>
      <c r="I172" s="25"/>
      <c r="J172" s="25"/>
    </row>
    <row r="173" spans="1:10" s="39" customFormat="1">
      <c r="A173" s="47"/>
      <c r="B173" s="25"/>
      <c r="C173" s="340"/>
      <c r="D173" s="25"/>
      <c r="E173" s="25"/>
      <c r="F173" s="25"/>
      <c r="G173" s="25"/>
      <c r="H173" s="25"/>
      <c r="I173" s="25"/>
      <c r="J173" s="25"/>
    </row>
    <row r="174" spans="1:10" s="39" customFormat="1">
      <c r="A174" s="47"/>
      <c r="B174" s="25"/>
      <c r="C174" s="340"/>
      <c r="D174" s="25"/>
      <c r="E174" s="25"/>
      <c r="F174" s="25"/>
      <c r="G174" s="25"/>
      <c r="H174" s="25"/>
      <c r="I174" s="25"/>
      <c r="J174" s="25"/>
    </row>
    <row r="175" spans="1:10" s="39" customFormat="1">
      <c r="A175" s="47"/>
      <c r="B175" s="25"/>
      <c r="C175" s="340"/>
      <c r="D175" s="25"/>
      <c r="E175" s="25"/>
      <c r="F175" s="25"/>
      <c r="G175" s="25"/>
      <c r="H175" s="25"/>
      <c r="I175" s="25"/>
      <c r="J175" s="25"/>
    </row>
    <row r="176" spans="1:10" s="39" customFormat="1">
      <c r="A176" s="47"/>
      <c r="B176" s="25"/>
      <c r="C176" s="340"/>
      <c r="D176" s="25"/>
      <c r="E176" s="25"/>
      <c r="F176" s="25"/>
      <c r="G176" s="25"/>
      <c r="H176" s="25"/>
      <c r="I176" s="25"/>
      <c r="J176" s="25"/>
    </row>
    <row r="177" spans="1:10" s="39" customFormat="1">
      <c r="A177" s="47"/>
      <c r="B177" s="25"/>
      <c r="C177" s="340"/>
      <c r="D177" s="25"/>
      <c r="E177" s="25"/>
      <c r="F177" s="25"/>
      <c r="G177" s="25"/>
      <c r="H177" s="25"/>
      <c r="I177" s="25"/>
      <c r="J177" s="25"/>
    </row>
    <row r="178" spans="1:10" s="39" customFormat="1">
      <c r="A178" s="47"/>
      <c r="B178" s="25"/>
      <c r="C178" s="340"/>
      <c r="D178" s="25"/>
      <c r="E178" s="25"/>
      <c r="F178" s="25"/>
      <c r="G178" s="25"/>
      <c r="H178" s="25"/>
      <c r="I178" s="25"/>
      <c r="J178" s="25"/>
    </row>
    <row r="179" spans="1:10" s="39" customFormat="1">
      <c r="A179" s="47"/>
      <c r="B179" s="25"/>
      <c r="C179" s="340"/>
      <c r="D179" s="25"/>
      <c r="E179" s="25"/>
      <c r="F179" s="25"/>
      <c r="G179" s="25"/>
      <c r="H179" s="25"/>
      <c r="I179" s="25"/>
      <c r="J179" s="25"/>
    </row>
    <row r="180" spans="1:10" s="39" customFormat="1">
      <c r="A180" s="47"/>
      <c r="B180" s="25"/>
      <c r="C180" s="340"/>
      <c r="D180" s="25"/>
      <c r="E180" s="25"/>
      <c r="F180" s="25"/>
      <c r="G180" s="25"/>
      <c r="H180" s="25"/>
      <c r="I180" s="25"/>
      <c r="J180" s="25"/>
    </row>
    <row r="181" spans="1:10" s="39" customFormat="1">
      <c r="A181" s="47"/>
      <c r="B181" s="25"/>
      <c r="C181" s="340"/>
      <c r="D181" s="25"/>
      <c r="E181" s="25"/>
      <c r="F181" s="25"/>
      <c r="G181" s="25"/>
      <c r="H181" s="25"/>
      <c r="I181" s="25"/>
      <c r="J181" s="25"/>
    </row>
    <row r="182" spans="1:10" s="39" customFormat="1">
      <c r="A182" s="47"/>
      <c r="B182" s="25"/>
      <c r="C182" s="340"/>
      <c r="D182" s="25"/>
      <c r="E182" s="25"/>
      <c r="F182" s="25"/>
      <c r="G182" s="25"/>
      <c r="H182" s="25"/>
      <c r="I182" s="25"/>
      <c r="J182" s="25"/>
    </row>
    <row r="183" spans="1:10" s="39" customFormat="1">
      <c r="A183" s="47"/>
      <c r="B183" s="25"/>
      <c r="C183" s="340"/>
      <c r="D183" s="25"/>
      <c r="E183" s="25"/>
      <c r="F183" s="25"/>
      <c r="G183" s="25"/>
      <c r="H183" s="25"/>
      <c r="I183" s="25"/>
      <c r="J183" s="25"/>
    </row>
    <row r="184" spans="1:10" s="39" customFormat="1">
      <c r="A184" s="47"/>
      <c r="B184" s="25"/>
      <c r="C184" s="340"/>
      <c r="D184" s="25"/>
      <c r="E184" s="25"/>
      <c r="F184" s="25"/>
      <c r="G184" s="25"/>
      <c r="H184" s="25"/>
      <c r="I184" s="25"/>
      <c r="J184" s="25"/>
    </row>
    <row r="185" spans="1:10" s="39" customFormat="1">
      <c r="A185" s="47"/>
      <c r="B185" s="25"/>
      <c r="C185" s="340"/>
      <c r="D185" s="25"/>
      <c r="E185" s="25"/>
      <c r="F185" s="25"/>
      <c r="G185" s="25"/>
      <c r="H185" s="25"/>
      <c r="I185" s="25"/>
      <c r="J185" s="25"/>
    </row>
    <row r="186" spans="1:10" s="39" customFormat="1">
      <c r="A186" s="47"/>
      <c r="B186" s="25"/>
      <c r="C186" s="340"/>
      <c r="D186" s="25"/>
      <c r="E186" s="25"/>
      <c r="F186" s="25"/>
      <c r="G186" s="25"/>
      <c r="H186" s="25"/>
      <c r="I186" s="25"/>
      <c r="J186" s="25"/>
    </row>
    <row r="187" spans="1:10" s="39" customFormat="1">
      <c r="A187" s="47"/>
      <c r="B187" s="25"/>
      <c r="C187" s="340"/>
      <c r="D187" s="25"/>
      <c r="E187" s="25"/>
      <c r="F187" s="25"/>
      <c r="G187" s="25"/>
      <c r="H187" s="25"/>
      <c r="I187" s="25"/>
      <c r="J187" s="25"/>
    </row>
    <row r="188" spans="1:10" s="39" customFormat="1">
      <c r="A188" s="47"/>
      <c r="B188" s="25"/>
      <c r="C188" s="340"/>
      <c r="D188" s="25"/>
      <c r="E188" s="25"/>
      <c r="F188" s="25"/>
      <c r="G188" s="25"/>
      <c r="H188" s="25"/>
      <c r="I188" s="25"/>
      <c r="J188" s="25"/>
    </row>
    <row r="189" spans="1:10" s="39" customFormat="1">
      <c r="A189" s="47"/>
      <c r="B189" s="25"/>
      <c r="C189" s="340"/>
      <c r="D189" s="25"/>
      <c r="E189" s="25"/>
      <c r="F189" s="25"/>
      <c r="G189" s="25"/>
      <c r="H189" s="25"/>
      <c r="I189" s="25"/>
      <c r="J189" s="25"/>
    </row>
    <row r="190" spans="1:10" s="39" customFormat="1">
      <c r="A190" s="47"/>
      <c r="B190" s="25"/>
      <c r="C190" s="340"/>
      <c r="D190" s="25"/>
      <c r="E190" s="25"/>
      <c r="F190" s="25"/>
      <c r="G190" s="25"/>
      <c r="H190" s="25"/>
      <c r="I190" s="25"/>
      <c r="J190" s="25"/>
    </row>
    <row r="191" spans="1:10" s="39" customFormat="1">
      <c r="A191" s="47"/>
      <c r="B191" s="25"/>
      <c r="C191" s="340"/>
      <c r="D191" s="25"/>
      <c r="E191" s="25"/>
      <c r="F191" s="25"/>
      <c r="G191" s="25"/>
      <c r="H191" s="25"/>
      <c r="I191" s="25"/>
      <c r="J191" s="25"/>
    </row>
    <row r="192" spans="1:10" s="39" customFormat="1">
      <c r="A192" s="47"/>
      <c r="B192" s="25"/>
      <c r="C192" s="340"/>
      <c r="D192" s="25"/>
      <c r="E192" s="25"/>
      <c r="F192" s="25"/>
      <c r="G192" s="25"/>
      <c r="H192" s="25"/>
      <c r="I192" s="25"/>
      <c r="J192" s="25"/>
    </row>
    <row r="193" spans="1:10" s="39" customFormat="1">
      <c r="A193" s="47"/>
      <c r="B193" s="25"/>
      <c r="C193" s="340"/>
      <c r="D193" s="25"/>
      <c r="E193" s="25"/>
      <c r="F193" s="25"/>
      <c r="G193" s="25"/>
      <c r="H193" s="25"/>
      <c r="I193" s="25"/>
      <c r="J193" s="25"/>
    </row>
    <row r="194" spans="1:10" s="39" customFormat="1">
      <c r="A194" s="47"/>
      <c r="B194" s="25"/>
      <c r="C194" s="340"/>
      <c r="D194" s="25"/>
      <c r="E194" s="25"/>
      <c r="F194" s="25"/>
      <c r="G194" s="25"/>
      <c r="H194" s="25"/>
      <c r="I194" s="25"/>
      <c r="J194" s="25"/>
    </row>
    <row r="195" spans="1:10" s="39" customFormat="1">
      <c r="A195" s="47"/>
      <c r="B195" s="25"/>
      <c r="C195" s="340"/>
      <c r="D195" s="25"/>
      <c r="E195" s="25"/>
      <c r="F195" s="25"/>
      <c r="G195" s="25"/>
      <c r="H195" s="25"/>
      <c r="I195" s="25"/>
      <c r="J195" s="25"/>
    </row>
    <row r="196" spans="1:10" s="39" customFormat="1">
      <c r="A196" s="47"/>
      <c r="B196" s="25"/>
      <c r="C196" s="340"/>
      <c r="D196" s="25"/>
      <c r="E196" s="25"/>
      <c r="F196" s="25"/>
      <c r="G196" s="25"/>
      <c r="H196" s="25"/>
      <c r="I196" s="25"/>
      <c r="J196" s="25"/>
    </row>
    <row r="197" spans="1:10" s="39" customFormat="1">
      <c r="A197" s="47"/>
      <c r="B197" s="25"/>
      <c r="C197" s="340"/>
      <c r="D197" s="25"/>
      <c r="E197" s="25"/>
      <c r="F197" s="25"/>
      <c r="G197" s="25"/>
      <c r="H197" s="25"/>
      <c r="I197" s="25"/>
      <c r="J197" s="25"/>
    </row>
    <row r="198" spans="1:10" s="39" customFormat="1">
      <c r="A198" s="47"/>
      <c r="B198" s="25"/>
      <c r="C198" s="340"/>
      <c r="D198" s="25"/>
      <c r="E198" s="25"/>
      <c r="F198" s="25"/>
      <c r="G198" s="25"/>
      <c r="H198" s="25"/>
      <c r="I198" s="25"/>
      <c r="J198" s="25"/>
    </row>
    <row r="199" spans="1:10" s="39" customFormat="1">
      <c r="A199" s="47"/>
      <c r="B199" s="25"/>
      <c r="C199" s="340"/>
      <c r="D199" s="25"/>
      <c r="E199" s="25"/>
      <c r="F199" s="25"/>
      <c r="G199" s="25"/>
      <c r="H199" s="25"/>
      <c r="I199" s="25"/>
      <c r="J199" s="25"/>
    </row>
    <row r="200" spans="1:10" s="39" customFormat="1">
      <c r="A200" s="47"/>
      <c r="B200" s="25"/>
      <c r="C200" s="340"/>
      <c r="D200" s="25"/>
      <c r="E200" s="25"/>
      <c r="F200" s="25"/>
      <c r="G200" s="25"/>
      <c r="H200" s="25"/>
      <c r="I200" s="25"/>
      <c r="J200" s="25"/>
    </row>
    <row r="201" spans="1:10" s="39" customFormat="1">
      <c r="A201" s="47"/>
      <c r="B201" s="25"/>
      <c r="C201" s="340"/>
      <c r="D201" s="25"/>
      <c r="E201" s="25"/>
      <c r="F201" s="25"/>
      <c r="G201" s="25"/>
      <c r="H201" s="25"/>
      <c r="I201" s="25"/>
      <c r="J201" s="25"/>
    </row>
    <row r="202" spans="1:10" s="39" customFormat="1">
      <c r="A202" s="47"/>
      <c r="B202" s="25"/>
      <c r="C202" s="340"/>
      <c r="D202" s="25"/>
      <c r="E202" s="25"/>
      <c r="F202" s="25"/>
      <c r="G202" s="25"/>
      <c r="H202" s="25"/>
      <c r="I202" s="25"/>
      <c r="J202" s="25"/>
    </row>
    <row r="203" spans="1:10" s="39" customFormat="1">
      <c r="A203" s="47"/>
      <c r="B203" s="25"/>
      <c r="C203" s="340"/>
      <c r="D203" s="25"/>
      <c r="E203" s="25"/>
      <c r="F203" s="25"/>
      <c r="G203" s="25"/>
      <c r="H203" s="25"/>
      <c r="I203" s="25"/>
      <c r="J203" s="25"/>
    </row>
    <row r="204" spans="1:10" s="39" customFormat="1">
      <c r="A204" s="47"/>
      <c r="B204" s="25"/>
      <c r="C204" s="340"/>
      <c r="D204" s="25"/>
      <c r="E204" s="25"/>
      <c r="F204" s="25"/>
      <c r="G204" s="25"/>
      <c r="H204" s="25"/>
      <c r="I204" s="25"/>
      <c r="J204" s="25"/>
    </row>
    <row r="205" spans="1:10" s="39" customFormat="1">
      <c r="A205" s="47"/>
      <c r="B205" s="25"/>
      <c r="C205" s="340"/>
      <c r="D205" s="25"/>
      <c r="E205" s="25"/>
      <c r="F205" s="25"/>
      <c r="G205" s="25"/>
      <c r="H205" s="25"/>
      <c r="I205" s="25"/>
      <c r="J205" s="25"/>
    </row>
    <row r="206" spans="1:10" s="39" customFormat="1">
      <c r="A206" s="47"/>
      <c r="B206" s="25"/>
      <c r="C206" s="340"/>
      <c r="D206" s="25"/>
      <c r="E206" s="25"/>
      <c r="F206" s="25"/>
      <c r="G206" s="25"/>
      <c r="H206" s="25"/>
      <c r="I206" s="25"/>
      <c r="J206" s="25"/>
    </row>
    <row r="207" spans="1:10" s="39" customFormat="1">
      <c r="A207" s="47"/>
      <c r="B207" s="25"/>
      <c r="C207" s="340"/>
      <c r="D207" s="25"/>
      <c r="E207" s="25"/>
      <c r="F207" s="25"/>
      <c r="G207" s="25"/>
      <c r="H207" s="25"/>
      <c r="I207" s="25"/>
      <c r="J207" s="25"/>
    </row>
    <row r="208" spans="1:10" s="39" customFormat="1">
      <c r="A208" s="47"/>
      <c r="B208" s="25"/>
      <c r="C208" s="340"/>
      <c r="D208" s="25"/>
      <c r="E208" s="25"/>
      <c r="F208" s="25"/>
      <c r="G208" s="25"/>
      <c r="H208" s="25"/>
      <c r="I208" s="25"/>
      <c r="J208" s="25"/>
    </row>
    <row r="209" spans="1:10" s="39" customFormat="1">
      <c r="A209" s="47"/>
      <c r="B209" s="25"/>
      <c r="C209" s="340"/>
      <c r="D209" s="25"/>
      <c r="E209" s="25"/>
      <c r="F209" s="25"/>
      <c r="G209" s="25"/>
      <c r="H209" s="25"/>
      <c r="I209" s="25"/>
      <c r="J209" s="25"/>
    </row>
    <row r="210" spans="1:10" s="39" customFormat="1">
      <c r="A210" s="47"/>
      <c r="B210" s="25"/>
      <c r="C210" s="340"/>
      <c r="D210" s="25"/>
      <c r="E210" s="25"/>
      <c r="F210" s="25"/>
      <c r="G210" s="25"/>
      <c r="H210" s="25"/>
      <c r="I210" s="25"/>
      <c r="J210" s="25"/>
    </row>
    <row r="211" spans="1:10" s="39" customFormat="1">
      <c r="A211" s="47"/>
      <c r="B211" s="25"/>
      <c r="C211" s="340"/>
      <c r="D211" s="25"/>
      <c r="E211" s="25"/>
      <c r="F211" s="25"/>
      <c r="G211" s="25"/>
      <c r="H211" s="25"/>
      <c r="I211" s="25"/>
      <c r="J211" s="25"/>
    </row>
    <row r="212" spans="1:10" s="39" customFormat="1">
      <c r="A212" s="47"/>
      <c r="B212" s="25"/>
      <c r="C212" s="340"/>
      <c r="D212" s="25"/>
      <c r="E212" s="25"/>
      <c r="F212" s="25"/>
      <c r="G212" s="25"/>
      <c r="H212" s="25"/>
      <c r="I212" s="25"/>
      <c r="J212" s="25"/>
    </row>
    <row r="213" spans="1:10" s="39" customFormat="1">
      <c r="A213" s="47"/>
      <c r="B213" s="25"/>
      <c r="C213" s="340"/>
      <c r="D213" s="25"/>
      <c r="E213" s="25"/>
      <c r="F213" s="25"/>
      <c r="G213" s="25"/>
      <c r="H213" s="25"/>
      <c r="I213" s="25"/>
      <c r="J213" s="25"/>
    </row>
    <row r="214" spans="1:10" s="39" customFormat="1">
      <c r="A214" s="47"/>
      <c r="B214" s="25"/>
      <c r="C214" s="340"/>
      <c r="D214" s="25"/>
      <c r="E214" s="25"/>
      <c r="F214" s="25"/>
      <c r="G214" s="25"/>
      <c r="H214" s="25"/>
      <c r="I214" s="25"/>
      <c r="J214" s="25"/>
    </row>
    <row r="215" spans="1:10" s="39" customFormat="1">
      <c r="A215" s="47"/>
      <c r="B215" s="25"/>
      <c r="C215" s="340"/>
      <c r="D215" s="25"/>
      <c r="E215" s="25"/>
      <c r="F215" s="25"/>
      <c r="G215" s="25"/>
      <c r="H215" s="25"/>
      <c r="I215" s="25"/>
      <c r="J215" s="25"/>
    </row>
    <row r="216" spans="1:10" s="39" customFormat="1">
      <c r="A216" s="47"/>
      <c r="B216" s="25"/>
      <c r="C216" s="340"/>
      <c r="D216" s="25"/>
      <c r="E216" s="25"/>
      <c r="F216" s="25"/>
      <c r="G216" s="25"/>
      <c r="H216" s="25"/>
      <c r="I216" s="25"/>
      <c r="J216" s="25"/>
    </row>
    <row r="217" spans="1:10" s="39" customFormat="1">
      <c r="A217" s="47"/>
      <c r="B217" s="25"/>
      <c r="C217" s="340"/>
      <c r="D217" s="25"/>
      <c r="E217" s="25"/>
      <c r="F217" s="25"/>
      <c r="G217" s="25"/>
      <c r="H217" s="25"/>
      <c r="I217" s="25"/>
      <c r="J217" s="25"/>
    </row>
    <row r="218" spans="1:10" s="39" customFormat="1">
      <c r="A218" s="47"/>
      <c r="B218" s="25"/>
      <c r="C218" s="340"/>
      <c r="D218" s="25"/>
      <c r="E218" s="25"/>
      <c r="F218" s="25"/>
      <c r="G218" s="25"/>
      <c r="H218" s="25"/>
      <c r="I218" s="25"/>
      <c r="J218" s="25"/>
    </row>
    <row r="219" spans="1:10" s="39" customFormat="1">
      <c r="A219" s="47"/>
      <c r="B219" s="25"/>
      <c r="C219" s="340"/>
      <c r="D219" s="25"/>
      <c r="E219" s="25"/>
      <c r="F219" s="25"/>
      <c r="G219" s="25"/>
      <c r="H219" s="25"/>
      <c r="I219" s="25"/>
      <c r="J219" s="25"/>
    </row>
    <row r="220" spans="1:10" s="39" customFormat="1">
      <c r="A220" s="47"/>
      <c r="B220" s="25"/>
      <c r="C220" s="340"/>
      <c r="D220" s="25"/>
      <c r="E220" s="25"/>
      <c r="F220" s="25"/>
      <c r="G220" s="25"/>
      <c r="H220" s="25"/>
      <c r="I220" s="25"/>
      <c r="J220" s="25"/>
    </row>
    <row r="221" spans="1:10" s="39" customFormat="1">
      <c r="A221" s="47"/>
      <c r="B221" s="25"/>
      <c r="C221" s="340"/>
      <c r="D221" s="25"/>
      <c r="E221" s="25"/>
      <c r="F221" s="25"/>
      <c r="G221" s="25"/>
      <c r="H221" s="25"/>
      <c r="I221" s="25"/>
      <c r="J221" s="25"/>
    </row>
    <row r="222" spans="1:10" s="39" customFormat="1">
      <c r="A222" s="47"/>
      <c r="B222" s="25"/>
      <c r="C222" s="340"/>
      <c r="D222" s="25"/>
      <c r="E222" s="25"/>
      <c r="F222" s="25"/>
      <c r="G222" s="25"/>
      <c r="H222" s="25"/>
      <c r="I222" s="25"/>
      <c r="J222" s="25"/>
    </row>
    <row r="223" spans="1:10" s="39" customFormat="1">
      <c r="A223" s="47"/>
      <c r="B223" s="25"/>
      <c r="C223" s="340"/>
      <c r="D223" s="25"/>
      <c r="E223" s="25"/>
      <c r="F223" s="25"/>
      <c r="G223" s="25"/>
      <c r="H223" s="25"/>
      <c r="I223" s="25"/>
      <c r="J223" s="25"/>
    </row>
    <row r="224" spans="1:10" s="39" customFormat="1">
      <c r="A224" s="47"/>
      <c r="B224" s="25"/>
      <c r="C224" s="340"/>
      <c r="D224" s="25"/>
      <c r="E224" s="25"/>
      <c r="F224" s="25"/>
      <c r="G224" s="25"/>
      <c r="H224" s="25"/>
      <c r="I224" s="25"/>
      <c r="J224" s="25"/>
    </row>
    <row r="225" spans="1:10" s="39" customFormat="1">
      <c r="A225" s="47"/>
      <c r="B225" s="25"/>
      <c r="C225" s="340"/>
      <c r="D225" s="25"/>
      <c r="E225" s="25"/>
      <c r="F225" s="25"/>
      <c r="G225" s="25"/>
      <c r="H225" s="25"/>
      <c r="I225" s="25"/>
      <c r="J225" s="25"/>
    </row>
    <row r="226" spans="1:10" s="39" customFormat="1">
      <c r="A226" s="47"/>
      <c r="B226" s="25"/>
      <c r="C226" s="340"/>
      <c r="D226" s="25"/>
      <c r="E226" s="25"/>
      <c r="F226" s="25"/>
      <c r="G226" s="25"/>
      <c r="H226" s="25"/>
      <c r="I226" s="25"/>
      <c r="J226" s="25"/>
    </row>
    <row r="227" spans="1:10" s="39" customFormat="1">
      <c r="A227" s="47"/>
      <c r="B227" s="25"/>
      <c r="C227" s="340"/>
      <c r="D227" s="25"/>
      <c r="E227" s="25"/>
      <c r="F227" s="25"/>
      <c r="G227" s="25"/>
      <c r="H227" s="25"/>
      <c r="I227" s="25"/>
      <c r="J227" s="25"/>
    </row>
    <row r="228" spans="1:10" s="39" customFormat="1">
      <c r="A228" s="47"/>
      <c r="B228" s="25"/>
      <c r="C228" s="340"/>
      <c r="D228" s="25"/>
      <c r="E228" s="25"/>
      <c r="F228" s="25"/>
      <c r="G228" s="25"/>
      <c r="H228" s="25"/>
      <c r="I228" s="25"/>
      <c r="J228" s="25"/>
    </row>
    <row r="229" spans="1:10" s="39" customFormat="1">
      <c r="A229" s="47"/>
      <c r="B229" s="25"/>
      <c r="C229" s="340"/>
      <c r="D229" s="25"/>
      <c r="E229" s="25"/>
      <c r="F229" s="25"/>
      <c r="G229" s="25"/>
      <c r="H229" s="25"/>
      <c r="I229" s="25"/>
      <c r="J229" s="25"/>
    </row>
    <row r="230" spans="1:10" s="39" customFormat="1">
      <c r="A230" s="47"/>
      <c r="B230" s="25"/>
      <c r="C230" s="340"/>
      <c r="D230" s="25"/>
      <c r="E230" s="25"/>
      <c r="F230" s="25"/>
      <c r="G230" s="25"/>
      <c r="H230" s="25"/>
      <c r="I230" s="25"/>
      <c r="J230" s="25"/>
    </row>
    <row r="231" spans="1:10" s="39" customFormat="1">
      <c r="A231" s="47"/>
      <c r="B231" s="25"/>
      <c r="C231" s="340"/>
      <c r="D231" s="25"/>
      <c r="E231" s="25"/>
      <c r="F231" s="25"/>
      <c r="G231" s="25"/>
      <c r="H231" s="25"/>
      <c r="I231" s="25"/>
      <c r="J231" s="25"/>
    </row>
    <row r="232" spans="1:10" s="39" customFormat="1">
      <c r="A232" s="47"/>
      <c r="B232" s="25"/>
      <c r="C232" s="340"/>
      <c r="D232" s="25"/>
      <c r="E232" s="25"/>
      <c r="F232" s="25"/>
      <c r="G232" s="25"/>
      <c r="H232" s="25"/>
      <c r="I232" s="25"/>
      <c r="J232" s="25"/>
    </row>
    <row r="233" spans="1:10" s="39" customFormat="1">
      <c r="A233" s="47"/>
      <c r="B233" s="25"/>
      <c r="C233" s="340"/>
      <c r="D233" s="25"/>
      <c r="E233" s="25"/>
      <c r="F233" s="25"/>
      <c r="G233" s="25"/>
      <c r="H233" s="25"/>
      <c r="I233" s="25"/>
      <c r="J233" s="25"/>
    </row>
    <row r="234" spans="1:10" s="39" customFormat="1">
      <c r="A234" s="47"/>
      <c r="B234" s="25"/>
      <c r="C234" s="340"/>
      <c r="D234" s="25"/>
      <c r="E234" s="25"/>
      <c r="F234" s="25"/>
      <c r="G234" s="25"/>
      <c r="H234" s="25"/>
      <c r="I234" s="25"/>
      <c r="J234" s="25"/>
    </row>
    <row r="235" spans="1:10" s="39" customFormat="1">
      <c r="A235" s="47"/>
      <c r="B235" s="25"/>
      <c r="C235" s="340"/>
      <c r="D235" s="25"/>
      <c r="E235" s="25"/>
      <c r="F235" s="25"/>
      <c r="G235" s="25"/>
      <c r="H235" s="25"/>
      <c r="I235" s="25"/>
      <c r="J235" s="25"/>
    </row>
    <row r="236" spans="1:10" s="39" customFormat="1">
      <c r="A236" s="47"/>
      <c r="B236" s="25"/>
      <c r="C236" s="340"/>
      <c r="D236" s="25"/>
      <c r="E236" s="25"/>
      <c r="F236" s="25"/>
      <c r="G236" s="25"/>
      <c r="H236" s="25"/>
      <c r="I236" s="25"/>
      <c r="J236" s="25"/>
    </row>
    <row r="237" spans="1:10" s="39" customFormat="1">
      <c r="A237" s="47"/>
      <c r="B237" s="25"/>
      <c r="C237" s="340"/>
      <c r="D237" s="25"/>
      <c r="E237" s="25"/>
      <c r="F237" s="25"/>
      <c r="G237" s="25"/>
      <c r="H237" s="25"/>
      <c r="I237" s="25"/>
      <c r="J237" s="25"/>
    </row>
    <row r="238" spans="1:10" s="39" customFormat="1">
      <c r="A238" s="47"/>
      <c r="B238" s="25"/>
      <c r="C238" s="340"/>
      <c r="D238" s="25"/>
      <c r="E238" s="25"/>
      <c r="F238" s="25"/>
      <c r="G238" s="25"/>
      <c r="H238" s="25"/>
      <c r="I238" s="25"/>
      <c r="J238" s="25"/>
    </row>
    <row r="239" spans="1:10" s="39" customFormat="1">
      <c r="A239" s="47"/>
      <c r="B239" s="25"/>
      <c r="C239" s="340"/>
      <c r="D239" s="25"/>
      <c r="E239" s="25"/>
      <c r="F239" s="25"/>
      <c r="G239" s="25"/>
      <c r="H239" s="25"/>
      <c r="I239" s="25"/>
      <c r="J239" s="25"/>
    </row>
    <row r="240" spans="1:10" s="39" customFormat="1">
      <c r="A240" s="47"/>
      <c r="B240" s="25"/>
      <c r="C240" s="340"/>
      <c r="D240" s="25"/>
      <c r="E240" s="25"/>
      <c r="F240" s="25"/>
      <c r="G240" s="25"/>
      <c r="H240" s="25"/>
      <c r="I240" s="25"/>
      <c r="J240" s="25"/>
    </row>
    <row r="241" spans="1:10" s="39" customFormat="1">
      <c r="A241" s="47"/>
      <c r="B241" s="25"/>
      <c r="C241" s="340"/>
      <c r="D241" s="25"/>
      <c r="E241" s="25"/>
      <c r="F241" s="25"/>
      <c r="G241" s="25"/>
      <c r="H241" s="25"/>
      <c r="I241" s="25"/>
      <c r="J241" s="25"/>
    </row>
    <row r="242" spans="1:10" s="39" customFormat="1">
      <c r="A242" s="47"/>
      <c r="B242" s="25"/>
      <c r="C242" s="340"/>
      <c r="D242" s="25"/>
      <c r="E242" s="25"/>
      <c r="F242" s="25"/>
      <c r="G242" s="25"/>
      <c r="H242" s="25"/>
      <c r="I242" s="25"/>
      <c r="J242" s="25"/>
    </row>
    <row r="243" spans="1:10" s="39" customFormat="1">
      <c r="A243" s="47"/>
      <c r="B243" s="25"/>
      <c r="C243" s="340"/>
      <c r="D243" s="25"/>
      <c r="E243" s="25"/>
      <c r="F243" s="25"/>
      <c r="G243" s="25"/>
      <c r="H243" s="25"/>
      <c r="I243" s="25"/>
      <c r="J243" s="25"/>
    </row>
    <row r="244" spans="1:10" s="39" customFormat="1">
      <c r="A244" s="47"/>
      <c r="B244" s="25"/>
      <c r="C244" s="340"/>
      <c r="D244" s="25"/>
      <c r="E244" s="25"/>
      <c r="F244" s="25"/>
      <c r="G244" s="25"/>
      <c r="H244" s="25"/>
      <c r="I244" s="25"/>
      <c r="J244" s="25"/>
    </row>
    <row r="245" spans="1:10" s="39" customFormat="1">
      <c r="A245" s="47"/>
      <c r="B245" s="25"/>
      <c r="C245" s="340"/>
      <c r="D245" s="25"/>
      <c r="E245" s="25"/>
      <c r="F245" s="25"/>
      <c r="G245" s="25"/>
      <c r="H245" s="25"/>
      <c r="I245" s="25"/>
      <c r="J245" s="25"/>
    </row>
    <row r="246" spans="1:10" s="39" customFormat="1">
      <c r="A246" s="47"/>
      <c r="B246" s="25"/>
      <c r="C246" s="340"/>
      <c r="D246" s="25"/>
      <c r="E246" s="25"/>
      <c r="F246" s="25"/>
      <c r="G246" s="25"/>
      <c r="H246" s="25"/>
      <c r="I246" s="25"/>
      <c r="J246" s="25"/>
    </row>
    <row r="247" spans="1:10" s="39" customFormat="1">
      <c r="A247" s="47"/>
      <c r="B247" s="25"/>
      <c r="C247" s="340"/>
      <c r="D247" s="25"/>
      <c r="E247" s="25"/>
      <c r="F247" s="25"/>
      <c r="G247" s="25"/>
      <c r="H247" s="25"/>
      <c r="I247" s="25"/>
      <c r="J247" s="25"/>
    </row>
    <row r="248" spans="1:10" s="39" customFormat="1">
      <c r="A248" s="47"/>
      <c r="B248" s="25"/>
      <c r="C248" s="340"/>
      <c r="D248" s="25"/>
      <c r="E248" s="25"/>
      <c r="F248" s="25"/>
      <c r="G248" s="25"/>
      <c r="H248" s="25"/>
      <c r="I248" s="25"/>
      <c r="J248" s="25"/>
    </row>
    <row r="249" spans="1:10" s="39" customFormat="1">
      <c r="A249" s="47"/>
      <c r="B249" s="25"/>
      <c r="C249" s="340"/>
      <c r="D249" s="25"/>
      <c r="E249" s="25"/>
      <c r="F249" s="25"/>
      <c r="G249" s="25"/>
      <c r="H249" s="25"/>
      <c r="I249" s="25"/>
      <c r="J249" s="25"/>
    </row>
    <row r="250" spans="1:10" s="39" customFormat="1">
      <c r="A250" s="47"/>
      <c r="B250" s="25"/>
      <c r="C250" s="340"/>
      <c r="D250" s="25"/>
      <c r="E250" s="25"/>
      <c r="F250" s="25"/>
      <c r="G250" s="25"/>
      <c r="H250" s="25"/>
      <c r="I250" s="25"/>
      <c r="J250" s="25"/>
    </row>
    <row r="251" spans="1:10" s="39" customFormat="1">
      <c r="A251" s="47"/>
      <c r="B251" s="25"/>
      <c r="C251" s="340"/>
      <c r="D251" s="25"/>
      <c r="E251" s="25"/>
      <c r="F251" s="25"/>
      <c r="G251" s="25"/>
      <c r="H251" s="25"/>
      <c r="I251" s="25"/>
      <c r="J251" s="25"/>
    </row>
    <row r="252" spans="1:10" s="39" customFormat="1">
      <c r="A252" s="47"/>
      <c r="B252" s="25"/>
      <c r="C252" s="340"/>
      <c r="D252" s="25"/>
      <c r="E252" s="25"/>
      <c r="F252" s="25"/>
      <c r="G252" s="25"/>
      <c r="H252" s="25"/>
      <c r="I252" s="25"/>
      <c r="J252" s="25"/>
    </row>
    <row r="253" spans="1:10" s="39" customFormat="1">
      <c r="A253" s="47"/>
      <c r="B253" s="25"/>
      <c r="C253" s="340"/>
      <c r="D253" s="25"/>
      <c r="E253" s="25"/>
      <c r="F253" s="25"/>
      <c r="G253" s="25"/>
      <c r="H253" s="25"/>
      <c r="I253" s="25"/>
      <c r="J253" s="25"/>
    </row>
    <row r="254" spans="1:10" s="39" customFormat="1">
      <c r="A254" s="47"/>
      <c r="B254" s="25"/>
      <c r="C254" s="340"/>
      <c r="D254" s="25"/>
      <c r="E254" s="25"/>
      <c r="F254" s="25"/>
      <c r="G254" s="25"/>
      <c r="H254" s="25"/>
      <c r="I254" s="25"/>
      <c r="J254" s="25"/>
    </row>
    <row r="255" spans="1:10" s="39" customFormat="1">
      <c r="A255" s="47"/>
      <c r="B255" s="25"/>
      <c r="C255" s="340"/>
      <c r="D255" s="25"/>
      <c r="E255" s="25"/>
      <c r="F255" s="25"/>
      <c r="G255" s="25"/>
      <c r="H255" s="25"/>
      <c r="I255" s="25"/>
      <c r="J255" s="25"/>
    </row>
    <row r="256" spans="1:10" s="39" customFormat="1">
      <c r="A256" s="47"/>
      <c r="B256" s="25"/>
      <c r="C256" s="340"/>
      <c r="D256" s="25"/>
      <c r="E256" s="25"/>
      <c r="F256" s="25"/>
      <c r="G256" s="25"/>
      <c r="H256" s="25"/>
      <c r="I256" s="25"/>
      <c r="J256" s="25"/>
    </row>
    <row r="257" spans="1:10" s="39" customFormat="1">
      <c r="A257" s="47"/>
      <c r="B257" s="25"/>
      <c r="C257" s="340"/>
      <c r="D257" s="25"/>
      <c r="E257" s="25"/>
      <c r="F257" s="25"/>
      <c r="G257" s="25"/>
      <c r="H257" s="25"/>
      <c r="I257" s="25"/>
      <c r="J257" s="25"/>
    </row>
    <row r="258" spans="1:10" s="39" customFormat="1">
      <c r="A258" s="47"/>
      <c r="B258" s="25"/>
      <c r="C258" s="340"/>
      <c r="D258" s="25"/>
      <c r="E258" s="25"/>
      <c r="F258" s="25"/>
      <c r="G258" s="25"/>
      <c r="H258" s="25"/>
      <c r="I258" s="25"/>
      <c r="J258" s="25"/>
    </row>
    <row r="259" spans="1:10" s="39" customFormat="1">
      <c r="A259" s="47"/>
      <c r="B259" s="25"/>
      <c r="C259" s="340"/>
      <c r="D259" s="25"/>
      <c r="E259" s="25"/>
      <c r="F259" s="25"/>
      <c r="G259" s="25"/>
      <c r="H259" s="25"/>
      <c r="I259" s="25"/>
      <c r="J259" s="25"/>
    </row>
    <row r="260" spans="1:10" s="39" customFormat="1">
      <c r="A260" s="47"/>
      <c r="B260" s="25"/>
      <c r="C260" s="340"/>
      <c r="D260" s="25"/>
      <c r="E260" s="25"/>
      <c r="F260" s="25"/>
      <c r="G260" s="25"/>
      <c r="H260" s="25"/>
      <c r="I260" s="25"/>
      <c r="J260" s="25"/>
    </row>
    <row r="261" spans="1:10" s="39" customFormat="1">
      <c r="A261" s="47"/>
      <c r="B261" s="25"/>
      <c r="C261" s="340"/>
      <c r="D261" s="25"/>
      <c r="E261" s="25"/>
      <c r="F261" s="25"/>
      <c r="G261" s="25"/>
      <c r="H261" s="25"/>
      <c r="I261" s="25"/>
      <c r="J261" s="25"/>
    </row>
    <row r="262" spans="1:10" s="39" customFormat="1">
      <c r="A262" s="47"/>
      <c r="B262" s="25"/>
      <c r="C262" s="340"/>
      <c r="D262" s="25"/>
      <c r="E262" s="25"/>
      <c r="F262" s="25"/>
      <c r="G262" s="25"/>
      <c r="H262" s="25"/>
      <c r="I262" s="25"/>
      <c r="J262" s="25"/>
    </row>
    <row r="263" spans="1:10" s="39" customFormat="1">
      <c r="A263" s="47"/>
      <c r="B263" s="25"/>
      <c r="C263" s="340"/>
      <c r="D263" s="25"/>
      <c r="E263" s="25"/>
      <c r="F263" s="25"/>
      <c r="G263" s="25"/>
      <c r="H263" s="25"/>
      <c r="I263" s="25"/>
      <c r="J263" s="25"/>
    </row>
    <row r="264" spans="1:10" s="39" customFormat="1">
      <c r="A264" s="47"/>
      <c r="B264" s="25"/>
      <c r="C264" s="340"/>
      <c r="D264" s="25"/>
      <c r="E264" s="25"/>
      <c r="F264" s="25"/>
      <c r="G264" s="25"/>
      <c r="H264" s="25"/>
      <c r="I264" s="25"/>
      <c r="J264" s="25"/>
    </row>
    <row r="265" spans="1:10" s="39" customFormat="1">
      <c r="A265" s="47"/>
      <c r="B265" s="25"/>
      <c r="C265" s="340"/>
      <c r="D265" s="25"/>
      <c r="E265" s="25"/>
      <c r="F265" s="25"/>
      <c r="G265" s="25"/>
      <c r="H265" s="25"/>
      <c r="I265" s="25"/>
      <c r="J265" s="25"/>
    </row>
    <row r="266" spans="1:10" s="39" customFormat="1">
      <c r="A266" s="47"/>
      <c r="B266" s="25"/>
      <c r="C266" s="340"/>
      <c r="D266" s="25"/>
      <c r="E266" s="25"/>
      <c r="F266" s="25"/>
      <c r="G266" s="25"/>
      <c r="H266" s="25"/>
      <c r="I266" s="25"/>
      <c r="J266" s="25"/>
    </row>
    <row r="267" spans="1:10" s="39" customFormat="1">
      <c r="A267" s="47"/>
      <c r="B267" s="25"/>
      <c r="C267" s="340"/>
      <c r="D267" s="25"/>
      <c r="E267" s="25"/>
      <c r="F267" s="25"/>
      <c r="G267" s="25"/>
      <c r="H267" s="25"/>
      <c r="I267" s="25"/>
      <c r="J267" s="25"/>
    </row>
    <row r="268" spans="1:10" s="39" customFormat="1">
      <c r="A268" s="47"/>
      <c r="B268" s="25"/>
      <c r="C268" s="340"/>
      <c r="D268" s="25"/>
      <c r="E268" s="25"/>
      <c r="F268" s="25"/>
      <c r="G268" s="25"/>
      <c r="H268" s="25"/>
      <c r="I268" s="25"/>
      <c r="J268" s="25"/>
    </row>
    <row r="269" spans="1:10" s="39" customFormat="1">
      <c r="A269" s="47"/>
      <c r="B269" s="25"/>
      <c r="C269" s="340"/>
      <c r="D269" s="25"/>
      <c r="E269" s="25"/>
      <c r="F269" s="25"/>
      <c r="G269" s="25"/>
      <c r="H269" s="25"/>
      <c r="I269" s="25"/>
      <c r="J269" s="25"/>
    </row>
    <row r="270" spans="1:10" s="39" customFormat="1">
      <c r="A270" s="47"/>
      <c r="B270" s="25"/>
      <c r="C270" s="340"/>
      <c r="D270" s="25"/>
      <c r="E270" s="25"/>
      <c r="F270" s="25"/>
      <c r="G270" s="25"/>
      <c r="H270" s="25"/>
      <c r="I270" s="25"/>
      <c r="J270" s="25"/>
    </row>
    <row r="271" spans="1:10" s="39" customFormat="1">
      <c r="A271" s="47"/>
      <c r="B271" s="25"/>
      <c r="C271" s="340"/>
      <c r="D271" s="25"/>
      <c r="E271" s="25"/>
      <c r="F271" s="25"/>
      <c r="G271" s="25"/>
      <c r="H271" s="25"/>
      <c r="I271" s="25"/>
      <c r="J271" s="25"/>
    </row>
    <row r="272" spans="1:10" s="39" customFormat="1">
      <c r="A272" s="47"/>
      <c r="B272" s="25"/>
      <c r="C272" s="340"/>
      <c r="D272" s="25"/>
      <c r="E272" s="25"/>
      <c r="F272" s="25"/>
      <c r="G272" s="25"/>
      <c r="H272" s="25"/>
      <c r="I272" s="25"/>
      <c r="J272" s="25"/>
    </row>
    <row r="273" spans="1:10" s="39" customFormat="1">
      <c r="A273" s="47"/>
      <c r="B273" s="25"/>
      <c r="C273" s="340"/>
      <c r="D273" s="25"/>
      <c r="E273" s="25"/>
      <c r="F273" s="25"/>
      <c r="G273" s="25"/>
      <c r="H273" s="25"/>
      <c r="I273" s="25"/>
      <c r="J273" s="25"/>
    </row>
    <row r="274" spans="1:10" s="39" customFormat="1">
      <c r="A274" s="47"/>
      <c r="B274" s="25"/>
      <c r="C274" s="340"/>
      <c r="D274" s="25"/>
      <c r="E274" s="25"/>
      <c r="F274" s="25"/>
      <c r="G274" s="25"/>
      <c r="H274" s="25"/>
      <c r="I274" s="25"/>
      <c r="J274" s="25"/>
    </row>
    <row r="275" spans="1:10" s="39" customFormat="1">
      <c r="A275" s="47"/>
      <c r="B275" s="25"/>
      <c r="C275" s="340"/>
      <c r="D275" s="25"/>
      <c r="E275" s="25"/>
      <c r="F275" s="25"/>
      <c r="G275" s="25"/>
      <c r="H275" s="25"/>
      <c r="I275" s="25"/>
      <c r="J275" s="25"/>
    </row>
    <row r="276" spans="1:10" s="39" customFormat="1">
      <c r="A276" s="47"/>
      <c r="B276" s="25"/>
      <c r="C276" s="340"/>
      <c r="D276" s="25"/>
      <c r="E276" s="25"/>
      <c r="F276" s="25"/>
      <c r="G276" s="25"/>
      <c r="H276" s="25"/>
      <c r="I276" s="25"/>
      <c r="J276" s="25"/>
    </row>
    <row r="277" spans="1:10" s="39" customFormat="1">
      <c r="A277" s="47"/>
      <c r="B277" s="25"/>
      <c r="C277" s="340"/>
      <c r="D277" s="25"/>
      <c r="E277" s="25"/>
      <c r="F277" s="25"/>
      <c r="G277" s="25"/>
      <c r="H277" s="25"/>
      <c r="I277" s="25"/>
      <c r="J277" s="25"/>
    </row>
    <row r="278" spans="1:10" s="39" customFormat="1">
      <c r="A278" s="47"/>
      <c r="B278" s="25"/>
      <c r="C278" s="340"/>
      <c r="D278" s="25"/>
      <c r="E278" s="25"/>
      <c r="F278" s="25"/>
      <c r="G278" s="25"/>
      <c r="H278" s="25"/>
      <c r="I278" s="25"/>
      <c r="J278" s="25"/>
    </row>
    <row r="279" spans="1:10" s="39" customFormat="1">
      <c r="A279" s="47"/>
      <c r="B279" s="25"/>
      <c r="C279" s="340"/>
      <c r="D279" s="25"/>
      <c r="E279" s="25"/>
      <c r="F279" s="25"/>
      <c r="G279" s="25"/>
      <c r="H279" s="25"/>
      <c r="I279" s="25"/>
      <c r="J279" s="25"/>
    </row>
    <row r="280" spans="1:10" s="39" customFormat="1">
      <c r="A280" s="47"/>
      <c r="B280" s="25"/>
      <c r="C280" s="340"/>
      <c r="D280" s="25"/>
      <c r="E280" s="25"/>
      <c r="F280" s="25"/>
      <c r="G280" s="25"/>
      <c r="H280" s="25"/>
      <c r="I280" s="25"/>
      <c r="J280" s="25"/>
    </row>
    <row r="281" spans="1:10" s="39" customFormat="1">
      <c r="A281" s="47"/>
      <c r="B281" s="25"/>
      <c r="C281" s="340"/>
      <c r="D281" s="25"/>
      <c r="E281" s="25"/>
      <c r="F281" s="25"/>
      <c r="G281" s="25"/>
      <c r="H281" s="25"/>
      <c r="I281" s="25"/>
      <c r="J281" s="25"/>
    </row>
    <row r="282" spans="1:10" s="39" customFormat="1">
      <c r="A282" s="47"/>
      <c r="B282" s="25"/>
      <c r="C282" s="340"/>
      <c r="D282" s="25"/>
      <c r="E282" s="25"/>
      <c r="F282" s="25"/>
      <c r="G282" s="25"/>
      <c r="H282" s="25"/>
      <c r="I282" s="25"/>
      <c r="J282" s="25"/>
    </row>
    <row r="283" spans="1:10" s="39" customFormat="1">
      <c r="A283" s="47"/>
      <c r="B283" s="25"/>
      <c r="C283" s="340"/>
      <c r="D283" s="25"/>
      <c r="E283" s="25"/>
      <c r="F283" s="25"/>
      <c r="G283" s="25"/>
      <c r="H283" s="25"/>
      <c r="I283" s="25"/>
      <c r="J283" s="25"/>
    </row>
    <row r="284" spans="1:10" s="39" customFormat="1">
      <c r="A284" s="47"/>
      <c r="B284" s="25"/>
      <c r="C284" s="340"/>
      <c r="D284" s="25"/>
      <c r="E284" s="25"/>
      <c r="F284" s="25"/>
      <c r="G284" s="25"/>
      <c r="H284" s="25"/>
      <c r="I284" s="25"/>
      <c r="J284" s="25"/>
    </row>
    <row r="285" spans="1:10" s="39" customFormat="1">
      <c r="A285" s="47"/>
      <c r="B285" s="25"/>
      <c r="C285" s="340"/>
      <c r="D285" s="25"/>
      <c r="E285" s="25"/>
      <c r="F285" s="25"/>
      <c r="G285" s="25"/>
      <c r="H285" s="25"/>
      <c r="I285" s="25"/>
      <c r="J285" s="25"/>
    </row>
    <row r="286" spans="1:10" s="39" customFormat="1">
      <c r="A286" s="47"/>
      <c r="B286" s="25"/>
      <c r="C286" s="340"/>
      <c r="D286" s="25"/>
      <c r="E286" s="25"/>
      <c r="F286" s="25"/>
      <c r="G286" s="25"/>
      <c r="H286" s="25"/>
      <c r="I286" s="25"/>
      <c r="J286" s="25"/>
    </row>
    <row r="287" spans="1:10" s="39" customFormat="1">
      <c r="A287" s="47"/>
      <c r="B287" s="25"/>
      <c r="C287" s="340"/>
      <c r="D287" s="25"/>
      <c r="E287" s="25"/>
      <c r="F287" s="25"/>
      <c r="G287" s="25"/>
      <c r="H287" s="25"/>
      <c r="I287" s="25"/>
      <c r="J287" s="25"/>
    </row>
    <row r="288" spans="1:10" s="39" customFormat="1">
      <c r="A288" s="47"/>
      <c r="B288" s="25"/>
      <c r="C288" s="340"/>
      <c r="D288" s="25"/>
      <c r="E288" s="25"/>
      <c r="F288" s="25"/>
      <c r="G288" s="25"/>
      <c r="H288" s="25"/>
      <c r="I288" s="25"/>
      <c r="J288" s="25"/>
    </row>
    <row r="289" spans="1:10" s="39" customFormat="1">
      <c r="A289" s="47"/>
      <c r="B289" s="25"/>
      <c r="C289" s="340"/>
      <c r="D289" s="25"/>
      <c r="E289" s="25"/>
      <c r="F289" s="25"/>
      <c r="G289" s="25"/>
      <c r="H289" s="25"/>
      <c r="I289" s="25"/>
      <c r="J289" s="25"/>
    </row>
    <row r="290" spans="1:10" s="39" customFormat="1">
      <c r="A290" s="47"/>
      <c r="B290" s="25"/>
      <c r="C290" s="340"/>
      <c r="D290" s="25"/>
      <c r="E290" s="25"/>
      <c r="F290" s="25"/>
      <c r="G290" s="25"/>
      <c r="H290" s="25"/>
      <c r="I290" s="25"/>
      <c r="J290" s="25"/>
    </row>
    <row r="291" spans="1:10" s="39" customFormat="1">
      <c r="A291" s="47"/>
      <c r="B291" s="25"/>
      <c r="C291" s="340"/>
      <c r="D291" s="25"/>
      <c r="E291" s="25"/>
      <c r="F291" s="25"/>
      <c r="G291" s="25"/>
      <c r="H291" s="25"/>
      <c r="I291" s="25"/>
      <c r="J291" s="25"/>
    </row>
    <row r="292" spans="1:10" s="39" customFormat="1">
      <c r="A292" s="47"/>
      <c r="B292" s="25"/>
      <c r="C292" s="340"/>
      <c r="D292" s="25"/>
      <c r="E292" s="25"/>
      <c r="F292" s="25"/>
      <c r="G292" s="25"/>
      <c r="H292" s="25"/>
      <c r="I292" s="25"/>
      <c r="J292" s="25"/>
    </row>
    <row r="293" spans="1:10" s="39" customFormat="1">
      <c r="A293" s="47"/>
      <c r="B293" s="25"/>
      <c r="C293" s="340"/>
      <c r="D293" s="25"/>
      <c r="E293" s="25"/>
      <c r="F293" s="25"/>
      <c r="G293" s="25"/>
      <c r="H293" s="25"/>
      <c r="I293" s="25"/>
      <c r="J293" s="25"/>
    </row>
    <row r="294" spans="1:10" s="39" customFormat="1">
      <c r="A294" s="47"/>
      <c r="B294" s="25"/>
      <c r="C294" s="340"/>
      <c r="D294" s="25"/>
      <c r="E294" s="25"/>
      <c r="F294" s="25"/>
      <c r="G294" s="25"/>
      <c r="H294" s="25"/>
      <c r="I294" s="25"/>
      <c r="J294" s="25"/>
    </row>
    <row r="295" spans="1:10" s="39" customFormat="1">
      <c r="A295" s="47"/>
      <c r="B295" s="25"/>
      <c r="C295" s="340"/>
      <c r="D295" s="25"/>
      <c r="E295" s="25"/>
      <c r="F295" s="25"/>
      <c r="G295" s="25"/>
      <c r="H295" s="25"/>
      <c r="I295" s="25"/>
      <c r="J295" s="25"/>
    </row>
    <row r="296" spans="1:10" s="39" customFormat="1">
      <c r="A296" s="47"/>
      <c r="B296" s="25"/>
      <c r="C296" s="340"/>
      <c r="D296" s="25"/>
      <c r="E296" s="25"/>
      <c r="F296" s="25"/>
      <c r="G296" s="25"/>
      <c r="H296" s="25"/>
      <c r="I296" s="25"/>
      <c r="J296" s="25"/>
    </row>
    <row r="297" spans="1:10" s="39" customFormat="1">
      <c r="A297" s="47"/>
      <c r="B297" s="25"/>
      <c r="C297" s="340"/>
      <c r="D297" s="25"/>
      <c r="E297" s="25"/>
      <c r="F297" s="25"/>
      <c r="G297" s="25"/>
      <c r="H297" s="25"/>
      <c r="I297" s="25"/>
      <c r="J297" s="25"/>
    </row>
    <row r="298" spans="1:10" s="39" customFormat="1">
      <c r="A298" s="47"/>
      <c r="B298" s="25"/>
      <c r="C298" s="340"/>
      <c r="D298" s="25"/>
      <c r="E298" s="25"/>
      <c r="F298" s="25"/>
      <c r="G298" s="25"/>
      <c r="H298" s="25"/>
      <c r="I298" s="25"/>
      <c r="J298" s="25"/>
    </row>
    <row r="299" spans="1:10" s="39" customFormat="1">
      <c r="A299" s="47"/>
      <c r="B299" s="25"/>
      <c r="C299" s="340"/>
      <c r="D299" s="25"/>
      <c r="E299" s="25"/>
      <c r="F299" s="25"/>
      <c r="G299" s="25"/>
      <c r="H299" s="25"/>
      <c r="I299" s="25"/>
      <c r="J299" s="25"/>
    </row>
    <row r="300" spans="1:10" s="39" customFormat="1">
      <c r="A300" s="47"/>
      <c r="B300" s="25"/>
      <c r="C300" s="340"/>
      <c r="D300" s="25"/>
      <c r="E300" s="25"/>
      <c r="F300" s="25"/>
      <c r="G300" s="25"/>
      <c r="H300" s="25"/>
      <c r="I300" s="25"/>
      <c r="J300" s="25"/>
    </row>
    <row r="301" spans="1:10" s="39" customFormat="1">
      <c r="A301" s="47"/>
      <c r="B301" s="25"/>
      <c r="C301" s="340"/>
      <c r="D301" s="25"/>
      <c r="E301" s="25"/>
      <c r="F301" s="25"/>
      <c r="G301" s="25"/>
      <c r="H301" s="25"/>
      <c r="I301" s="25"/>
      <c r="J301" s="25"/>
    </row>
    <row r="302" spans="1:10" s="39" customFormat="1">
      <c r="A302" s="47"/>
      <c r="B302" s="25"/>
      <c r="C302" s="340"/>
      <c r="D302" s="25"/>
      <c r="E302" s="25"/>
      <c r="F302" s="25"/>
      <c r="G302" s="25"/>
      <c r="H302" s="25"/>
      <c r="I302" s="25"/>
      <c r="J302" s="25"/>
    </row>
    <row r="303" spans="1:10" s="39" customFormat="1">
      <c r="A303" s="47"/>
      <c r="B303" s="25"/>
      <c r="C303" s="340"/>
      <c r="D303" s="25"/>
      <c r="E303" s="25"/>
      <c r="F303" s="25"/>
      <c r="G303" s="25"/>
      <c r="H303" s="25"/>
      <c r="I303" s="25"/>
      <c r="J303" s="25"/>
    </row>
    <row r="304" spans="1:10" s="39" customFormat="1">
      <c r="A304" s="47"/>
      <c r="B304" s="25"/>
      <c r="C304" s="340"/>
      <c r="D304" s="25"/>
      <c r="E304" s="25"/>
      <c r="F304" s="25"/>
      <c r="G304" s="25"/>
      <c r="H304" s="25"/>
      <c r="I304" s="25"/>
      <c r="J304" s="25"/>
    </row>
    <row r="305" spans="1:10" s="39" customFormat="1">
      <c r="A305" s="47"/>
      <c r="B305" s="25"/>
      <c r="C305" s="340"/>
      <c r="D305" s="25"/>
      <c r="E305" s="25"/>
      <c r="F305" s="25"/>
      <c r="G305" s="25"/>
      <c r="H305" s="25"/>
      <c r="I305" s="25"/>
      <c r="J305" s="25"/>
    </row>
    <row r="306" spans="1:10" s="39" customFormat="1">
      <c r="A306" s="47"/>
      <c r="B306" s="25"/>
      <c r="C306" s="340"/>
      <c r="D306" s="25"/>
      <c r="E306" s="25"/>
      <c r="F306" s="25"/>
      <c r="G306" s="25"/>
      <c r="H306" s="25"/>
      <c r="I306" s="25"/>
      <c r="J306" s="25"/>
    </row>
    <row r="307" spans="1:10" s="39" customFormat="1">
      <c r="A307" s="47"/>
      <c r="B307" s="25"/>
      <c r="C307" s="340"/>
      <c r="D307" s="25"/>
      <c r="E307" s="25"/>
      <c r="F307" s="25"/>
      <c r="G307" s="25"/>
      <c r="H307" s="25"/>
      <c r="I307" s="25"/>
      <c r="J307" s="25"/>
    </row>
    <row r="308" spans="1:10" s="39" customFormat="1">
      <c r="A308" s="47"/>
      <c r="B308" s="25"/>
      <c r="C308" s="340"/>
      <c r="D308" s="25"/>
      <c r="E308" s="25"/>
      <c r="F308" s="25"/>
      <c r="G308" s="25"/>
      <c r="H308" s="25"/>
      <c r="I308" s="25"/>
      <c r="J308" s="25"/>
    </row>
    <row r="309" spans="1:10" s="39" customFormat="1">
      <c r="A309" s="47"/>
      <c r="B309" s="25"/>
      <c r="C309" s="340"/>
      <c r="D309" s="25"/>
      <c r="E309" s="25"/>
      <c r="F309" s="25"/>
      <c r="G309" s="25"/>
      <c r="H309" s="25"/>
      <c r="I309" s="25"/>
      <c r="J309" s="25"/>
    </row>
    <row r="310" spans="1:10" s="39" customFormat="1">
      <c r="A310" s="47"/>
      <c r="B310" s="25"/>
      <c r="C310" s="340"/>
      <c r="D310" s="25"/>
      <c r="E310" s="25"/>
      <c r="F310" s="25"/>
      <c r="G310" s="25"/>
      <c r="H310" s="25"/>
      <c r="I310" s="25"/>
      <c r="J310" s="25"/>
    </row>
    <row r="311" spans="1:10" s="39" customFormat="1">
      <c r="A311" s="47"/>
      <c r="B311" s="25"/>
      <c r="C311" s="340"/>
      <c r="D311" s="25"/>
      <c r="E311" s="25"/>
      <c r="F311" s="25"/>
      <c r="G311" s="25"/>
      <c r="H311" s="25"/>
      <c r="I311" s="25"/>
      <c r="J311" s="25"/>
    </row>
    <row r="312" spans="1:10" s="39" customFormat="1">
      <c r="A312" s="47"/>
      <c r="B312" s="25"/>
      <c r="C312" s="340"/>
      <c r="D312" s="25"/>
      <c r="E312" s="25"/>
      <c r="F312" s="25"/>
      <c r="G312" s="25"/>
      <c r="H312" s="25"/>
      <c r="I312" s="25"/>
      <c r="J312" s="25"/>
    </row>
    <row r="313" spans="1:10" s="39" customFormat="1">
      <c r="A313" s="47"/>
      <c r="B313" s="25"/>
      <c r="C313" s="340"/>
      <c r="D313" s="25"/>
      <c r="E313" s="25"/>
      <c r="F313" s="25"/>
      <c r="G313" s="25"/>
      <c r="H313" s="25"/>
      <c r="I313" s="25"/>
      <c r="J313" s="25"/>
    </row>
    <row r="314" spans="1:10" s="39" customFormat="1">
      <c r="A314" s="47"/>
      <c r="B314" s="25"/>
      <c r="C314" s="340"/>
      <c r="D314" s="25"/>
      <c r="E314" s="25"/>
      <c r="F314" s="25"/>
      <c r="G314" s="25"/>
      <c r="H314" s="25"/>
      <c r="I314" s="25"/>
      <c r="J314" s="25"/>
    </row>
    <row r="315" spans="1:10" s="39" customFormat="1">
      <c r="A315" s="47"/>
      <c r="B315" s="25"/>
      <c r="C315" s="340"/>
      <c r="D315" s="25"/>
      <c r="E315" s="25"/>
      <c r="F315" s="25"/>
      <c r="G315" s="25"/>
      <c r="H315" s="25"/>
      <c r="I315" s="25"/>
      <c r="J315" s="25"/>
    </row>
    <row r="316" spans="1:10" s="39" customFormat="1">
      <c r="A316" s="47"/>
      <c r="B316" s="25"/>
      <c r="C316" s="340"/>
      <c r="D316" s="25"/>
      <c r="E316" s="25"/>
      <c r="F316" s="25"/>
      <c r="G316" s="25"/>
      <c r="H316" s="25"/>
      <c r="I316" s="25"/>
      <c r="J316" s="25"/>
    </row>
    <row r="317" spans="1:10" s="39" customFormat="1">
      <c r="A317" s="47"/>
      <c r="B317" s="25"/>
      <c r="C317" s="340"/>
      <c r="D317" s="25"/>
      <c r="E317" s="25"/>
      <c r="F317" s="25"/>
      <c r="G317" s="25"/>
      <c r="H317" s="25"/>
      <c r="I317" s="25"/>
      <c r="J317" s="25"/>
    </row>
    <row r="318" spans="1:10" s="39" customFormat="1">
      <c r="A318" s="47"/>
      <c r="B318" s="25"/>
      <c r="C318" s="340"/>
      <c r="D318" s="25"/>
      <c r="E318" s="25"/>
      <c r="F318" s="25"/>
      <c r="G318" s="25"/>
      <c r="H318" s="25"/>
      <c r="I318" s="25"/>
      <c r="J318" s="25"/>
    </row>
    <row r="319" spans="1:10" s="39" customFormat="1">
      <c r="A319" s="47"/>
      <c r="B319" s="25"/>
      <c r="C319" s="340"/>
      <c r="D319" s="25"/>
      <c r="E319" s="25"/>
      <c r="F319" s="25"/>
      <c r="G319" s="25"/>
      <c r="H319" s="25"/>
      <c r="I319" s="25"/>
      <c r="J319" s="25"/>
    </row>
    <row r="320" spans="1:10" s="39" customFormat="1">
      <c r="A320" s="47"/>
      <c r="B320" s="25"/>
      <c r="C320" s="340"/>
      <c r="D320" s="25"/>
      <c r="E320" s="25"/>
      <c r="F320" s="25"/>
      <c r="G320" s="25"/>
      <c r="H320" s="25"/>
      <c r="I320" s="25"/>
      <c r="J320" s="25"/>
    </row>
    <row r="321" spans="1:10" s="39" customFormat="1">
      <c r="A321" s="47"/>
      <c r="B321" s="25"/>
      <c r="C321" s="340"/>
      <c r="D321" s="25"/>
      <c r="E321" s="25"/>
      <c r="F321" s="25"/>
      <c r="G321" s="25"/>
      <c r="H321" s="25"/>
      <c r="I321" s="25"/>
      <c r="J321" s="25"/>
    </row>
    <row r="322" spans="1:10" s="39" customFormat="1">
      <c r="A322" s="47"/>
      <c r="B322" s="25"/>
      <c r="C322" s="340"/>
      <c r="D322" s="25"/>
      <c r="E322" s="25"/>
      <c r="F322" s="25"/>
      <c r="G322" s="25"/>
      <c r="H322" s="25"/>
      <c r="I322" s="25"/>
      <c r="J322" s="25"/>
    </row>
    <row r="323" spans="1:10" s="39" customFormat="1">
      <c r="A323" s="47"/>
      <c r="B323" s="25"/>
      <c r="C323" s="340"/>
      <c r="D323" s="25"/>
      <c r="E323" s="25"/>
      <c r="F323" s="25"/>
      <c r="G323" s="25"/>
      <c r="H323" s="25"/>
      <c r="I323" s="25"/>
      <c r="J323" s="25"/>
    </row>
    <row r="324" spans="1:10" s="39" customFormat="1">
      <c r="A324" s="47"/>
      <c r="B324" s="25"/>
      <c r="C324" s="340"/>
      <c r="D324" s="25"/>
      <c r="E324" s="25"/>
      <c r="F324" s="25"/>
      <c r="G324" s="25"/>
      <c r="H324" s="25"/>
      <c r="I324" s="25"/>
      <c r="J324" s="25"/>
    </row>
    <row r="325" spans="1:10" s="39" customFormat="1">
      <c r="A325" s="47"/>
      <c r="B325" s="25"/>
      <c r="C325" s="340"/>
      <c r="D325" s="25"/>
      <c r="E325" s="25"/>
      <c r="F325" s="25"/>
      <c r="G325" s="25"/>
      <c r="H325" s="25"/>
      <c r="I325" s="25"/>
      <c r="J325" s="25"/>
    </row>
    <row r="326" spans="1:10" s="39" customFormat="1">
      <c r="A326" s="47"/>
      <c r="B326" s="25"/>
      <c r="C326" s="340"/>
      <c r="D326" s="25"/>
      <c r="E326" s="25"/>
      <c r="F326" s="25"/>
      <c r="G326" s="25"/>
      <c r="H326" s="25"/>
      <c r="I326" s="25"/>
      <c r="J326" s="25"/>
    </row>
    <row r="327" spans="1:10" s="39" customFormat="1">
      <c r="A327" s="47"/>
      <c r="B327" s="25"/>
      <c r="C327" s="340"/>
      <c r="D327" s="25"/>
      <c r="E327" s="25"/>
      <c r="F327" s="25"/>
      <c r="G327" s="25"/>
      <c r="H327" s="25"/>
      <c r="I327" s="25"/>
      <c r="J327" s="25"/>
    </row>
    <row r="328" spans="1:10" s="39" customFormat="1">
      <c r="A328" s="47"/>
      <c r="B328" s="25"/>
      <c r="C328" s="340"/>
      <c r="D328" s="25"/>
      <c r="E328" s="25"/>
      <c r="F328" s="25"/>
      <c r="G328" s="25"/>
      <c r="H328" s="25"/>
      <c r="I328" s="25"/>
      <c r="J328" s="25"/>
    </row>
    <row r="329" spans="1:10" s="39" customFormat="1">
      <c r="A329" s="47"/>
      <c r="B329" s="25"/>
      <c r="C329" s="340"/>
      <c r="D329" s="25"/>
      <c r="E329" s="25"/>
      <c r="F329" s="25"/>
      <c r="G329" s="25"/>
      <c r="H329" s="25"/>
      <c r="I329" s="25"/>
      <c r="J329" s="25"/>
    </row>
    <row r="330" spans="1:10" s="39" customFormat="1">
      <c r="A330" s="47"/>
      <c r="B330" s="25"/>
      <c r="C330" s="340"/>
      <c r="D330" s="25"/>
      <c r="E330" s="25"/>
      <c r="F330" s="25"/>
      <c r="G330" s="25"/>
      <c r="H330" s="25"/>
      <c r="I330" s="25"/>
      <c r="J330" s="25"/>
    </row>
    <row r="331" spans="1:10" s="39" customFormat="1">
      <c r="A331" s="47"/>
      <c r="B331" s="25"/>
      <c r="C331" s="340"/>
      <c r="D331" s="25"/>
      <c r="E331" s="25"/>
      <c r="F331" s="25"/>
      <c r="G331" s="25"/>
      <c r="H331" s="25"/>
      <c r="I331" s="25"/>
      <c r="J331" s="25"/>
    </row>
    <row r="332" spans="1:10" s="39" customFormat="1">
      <c r="A332" s="47"/>
      <c r="B332" s="25"/>
      <c r="C332" s="340"/>
      <c r="D332" s="25"/>
      <c r="E332" s="25"/>
      <c r="F332" s="25"/>
      <c r="G332" s="25"/>
      <c r="H332" s="25"/>
      <c r="I332" s="25"/>
      <c r="J332" s="25"/>
    </row>
    <row r="333" spans="1:10" s="39" customFormat="1">
      <c r="A333" s="47"/>
      <c r="B333" s="25"/>
      <c r="C333" s="340"/>
      <c r="D333" s="25"/>
      <c r="E333" s="25"/>
      <c r="F333" s="25"/>
      <c r="G333" s="25"/>
      <c r="H333" s="25"/>
      <c r="I333" s="25"/>
      <c r="J333" s="25"/>
    </row>
    <row r="334" spans="1:10" s="39" customFormat="1">
      <c r="A334" s="47"/>
      <c r="B334" s="25"/>
      <c r="C334" s="340"/>
      <c r="D334" s="25"/>
      <c r="E334" s="25"/>
      <c r="F334" s="25"/>
      <c r="G334" s="25"/>
      <c r="H334" s="25"/>
      <c r="I334" s="25"/>
      <c r="J334" s="25"/>
    </row>
    <row r="335" spans="1:10" s="39" customFormat="1">
      <c r="A335" s="47"/>
      <c r="B335" s="25"/>
      <c r="C335" s="340"/>
      <c r="D335" s="25"/>
      <c r="E335" s="25"/>
      <c r="F335" s="25"/>
      <c r="G335" s="25"/>
      <c r="H335" s="25"/>
      <c r="I335" s="25"/>
      <c r="J335" s="25"/>
    </row>
    <row r="336" spans="1:10" s="39" customFormat="1">
      <c r="A336" s="47"/>
      <c r="B336" s="25"/>
      <c r="C336" s="340"/>
      <c r="D336" s="25"/>
      <c r="E336" s="25"/>
      <c r="F336" s="25"/>
      <c r="G336" s="25"/>
      <c r="H336" s="25"/>
      <c r="I336" s="25"/>
      <c r="J336" s="25"/>
    </row>
    <row r="337" spans="1:10" s="39" customFormat="1">
      <c r="A337" s="47"/>
      <c r="B337" s="25"/>
      <c r="C337" s="340"/>
      <c r="D337" s="25"/>
      <c r="E337" s="25"/>
      <c r="F337" s="25"/>
      <c r="G337" s="25"/>
      <c r="H337" s="25"/>
      <c r="I337" s="25"/>
      <c r="J337" s="25"/>
    </row>
    <row r="338" spans="1:10" s="39" customFormat="1">
      <c r="A338" s="47"/>
      <c r="B338" s="25"/>
      <c r="C338" s="340"/>
      <c r="D338" s="25"/>
      <c r="E338" s="25"/>
      <c r="F338" s="25"/>
      <c r="G338" s="25"/>
      <c r="H338" s="25"/>
      <c r="I338" s="25"/>
      <c r="J338" s="25"/>
    </row>
    <row r="339" spans="1:10" s="39" customFormat="1">
      <c r="A339" s="47"/>
      <c r="B339" s="25"/>
      <c r="C339" s="340"/>
      <c r="D339" s="25"/>
      <c r="E339" s="25"/>
      <c r="F339" s="25"/>
      <c r="G339" s="25"/>
      <c r="H339" s="25"/>
      <c r="I339" s="25"/>
      <c r="J339" s="25"/>
    </row>
    <row r="340" spans="1:10" s="39" customFormat="1">
      <c r="A340" s="47"/>
      <c r="B340" s="25"/>
      <c r="C340" s="340"/>
      <c r="D340" s="25"/>
      <c r="E340" s="25"/>
      <c r="F340" s="25"/>
      <c r="G340" s="25"/>
      <c r="H340" s="25"/>
      <c r="I340" s="25"/>
      <c r="J340" s="25"/>
    </row>
    <row r="341" spans="1:10" s="39" customFormat="1">
      <c r="A341" s="47"/>
      <c r="B341" s="25"/>
      <c r="C341" s="340"/>
      <c r="D341" s="25"/>
      <c r="E341" s="25"/>
      <c r="F341" s="25"/>
      <c r="G341" s="25"/>
      <c r="H341" s="25"/>
      <c r="I341" s="25"/>
      <c r="J341" s="25"/>
    </row>
    <row r="342" spans="1:10" s="39" customFormat="1">
      <c r="A342" s="47"/>
      <c r="B342" s="25"/>
      <c r="C342" s="340"/>
      <c r="D342" s="25"/>
      <c r="E342" s="25"/>
      <c r="F342" s="25"/>
      <c r="G342" s="25"/>
      <c r="H342" s="25"/>
      <c r="I342" s="25"/>
      <c r="J342" s="25"/>
    </row>
    <row r="343" spans="1:10" s="39" customFormat="1">
      <c r="A343" s="47"/>
      <c r="B343" s="25"/>
      <c r="C343" s="340"/>
      <c r="D343" s="25"/>
      <c r="E343" s="25"/>
      <c r="F343" s="25"/>
      <c r="G343" s="25"/>
      <c r="H343" s="25"/>
      <c r="I343" s="25"/>
      <c r="J343" s="25"/>
    </row>
    <row r="344" spans="1:10" s="39" customFormat="1">
      <c r="A344" s="47"/>
      <c r="B344" s="25"/>
      <c r="C344" s="340"/>
      <c r="D344" s="25"/>
      <c r="E344" s="25"/>
      <c r="F344" s="25"/>
      <c r="G344" s="25"/>
      <c r="H344" s="25"/>
      <c r="I344" s="25"/>
      <c r="J344" s="25"/>
    </row>
    <row r="345" spans="1:10" s="39" customFormat="1">
      <c r="A345" s="47"/>
      <c r="B345" s="25"/>
      <c r="C345" s="340"/>
      <c r="D345" s="25"/>
      <c r="E345" s="25"/>
      <c r="F345" s="25"/>
      <c r="G345" s="25"/>
      <c r="H345" s="25"/>
      <c r="I345" s="25"/>
      <c r="J345" s="25"/>
    </row>
    <row r="346" spans="1:10" s="39" customFormat="1">
      <c r="A346" s="47"/>
      <c r="B346" s="25"/>
      <c r="C346" s="340"/>
      <c r="D346" s="25"/>
      <c r="E346" s="25"/>
      <c r="F346" s="25"/>
      <c r="G346" s="25"/>
      <c r="H346" s="25"/>
      <c r="I346" s="25"/>
      <c r="J346" s="25"/>
    </row>
    <row r="347" spans="1:10" s="39" customFormat="1">
      <c r="A347" s="47"/>
      <c r="B347" s="25"/>
      <c r="C347" s="340"/>
      <c r="D347" s="25"/>
      <c r="E347" s="25"/>
      <c r="F347" s="25"/>
      <c r="G347" s="25"/>
      <c r="H347" s="25"/>
      <c r="I347" s="25"/>
      <c r="J347" s="25"/>
    </row>
    <row r="348" spans="1:10" s="39" customFormat="1">
      <c r="A348" s="47"/>
      <c r="B348" s="25"/>
      <c r="C348" s="340"/>
      <c r="D348" s="25"/>
      <c r="E348" s="25"/>
      <c r="F348" s="25"/>
      <c r="G348" s="25"/>
      <c r="H348" s="25"/>
      <c r="I348" s="25"/>
      <c r="J348" s="25"/>
    </row>
    <row r="349" spans="1:10" s="39" customFormat="1">
      <c r="A349" s="47"/>
      <c r="B349" s="25"/>
      <c r="C349" s="340"/>
      <c r="D349" s="25"/>
      <c r="E349" s="25"/>
      <c r="F349" s="25"/>
      <c r="G349" s="25"/>
      <c r="H349" s="25"/>
      <c r="I349" s="25"/>
      <c r="J349" s="25"/>
    </row>
    <row r="350" spans="1:10" s="39" customFormat="1">
      <c r="A350" s="47"/>
      <c r="B350" s="25"/>
      <c r="C350" s="340"/>
      <c r="D350" s="25"/>
      <c r="E350" s="25"/>
      <c r="F350" s="25"/>
      <c r="G350" s="25"/>
      <c r="H350" s="25"/>
      <c r="I350" s="25"/>
      <c r="J350" s="25"/>
    </row>
    <row r="351" spans="1:10" s="39" customFormat="1">
      <c r="A351" s="47"/>
      <c r="B351" s="25"/>
      <c r="C351" s="340"/>
      <c r="D351" s="25"/>
      <c r="E351" s="25"/>
      <c r="F351" s="25"/>
      <c r="G351" s="25"/>
      <c r="H351" s="25"/>
      <c r="I351" s="25"/>
      <c r="J351" s="25"/>
    </row>
    <row r="352" spans="1:10" s="39" customFormat="1">
      <c r="A352" s="47"/>
      <c r="B352" s="25"/>
      <c r="C352" s="340"/>
      <c r="D352" s="25"/>
      <c r="E352" s="25"/>
      <c r="F352" s="25"/>
      <c r="G352" s="25"/>
      <c r="H352" s="25"/>
      <c r="I352" s="25"/>
      <c r="J352" s="25"/>
    </row>
    <row r="353" spans="1:10" s="39" customFormat="1">
      <c r="A353" s="47"/>
      <c r="B353" s="25"/>
      <c r="C353" s="340"/>
      <c r="D353" s="25"/>
      <c r="E353" s="25"/>
      <c r="F353" s="25"/>
      <c r="G353" s="25"/>
      <c r="H353" s="25"/>
      <c r="I353" s="25"/>
      <c r="J353" s="25"/>
    </row>
    <row r="354" spans="1:10" s="39" customFormat="1">
      <c r="A354" s="47"/>
      <c r="B354" s="25"/>
      <c r="C354" s="340"/>
      <c r="D354" s="25"/>
      <c r="E354" s="25"/>
      <c r="F354" s="25"/>
      <c r="G354" s="25"/>
      <c r="H354" s="25"/>
      <c r="I354" s="25"/>
      <c r="J354" s="25"/>
    </row>
    <row r="355" spans="1:10" s="39" customFormat="1">
      <c r="A355" s="47"/>
      <c r="B355" s="25"/>
      <c r="C355" s="340"/>
      <c r="D355" s="25"/>
      <c r="E355" s="25"/>
      <c r="F355" s="25"/>
      <c r="G355" s="25"/>
      <c r="H355" s="25"/>
      <c r="I355" s="25"/>
      <c r="J355" s="25"/>
    </row>
    <row r="356" spans="1:10" s="39" customFormat="1">
      <c r="A356" s="47"/>
      <c r="B356" s="25"/>
      <c r="C356" s="340"/>
      <c r="D356" s="25"/>
      <c r="E356" s="25"/>
      <c r="F356" s="25"/>
      <c r="G356" s="25"/>
      <c r="H356" s="25"/>
      <c r="I356" s="25"/>
      <c r="J356" s="25"/>
    </row>
    <row r="357" spans="1:10" s="39" customFormat="1">
      <c r="A357" s="47"/>
      <c r="B357" s="25"/>
      <c r="C357" s="340"/>
      <c r="D357" s="25"/>
      <c r="E357" s="25"/>
      <c r="F357" s="25"/>
      <c r="G357" s="25"/>
      <c r="H357" s="25"/>
      <c r="I357" s="25"/>
      <c r="J357" s="25"/>
    </row>
    <row r="358" spans="1:10" s="39" customFormat="1">
      <c r="A358" s="47"/>
      <c r="B358" s="25"/>
      <c r="C358" s="340"/>
      <c r="D358" s="25"/>
      <c r="E358" s="25"/>
      <c r="F358" s="25"/>
      <c r="G358" s="25"/>
      <c r="H358" s="25"/>
      <c r="I358" s="25"/>
      <c r="J358" s="25"/>
    </row>
    <row r="359" spans="1:10" s="39" customFormat="1">
      <c r="A359" s="47"/>
      <c r="B359" s="25"/>
      <c r="C359" s="340"/>
      <c r="D359" s="25"/>
      <c r="E359" s="25"/>
      <c r="F359" s="25"/>
      <c r="G359" s="25"/>
      <c r="H359" s="25"/>
      <c r="I359" s="25"/>
      <c r="J359" s="25"/>
    </row>
    <row r="360" spans="1:10" s="39" customFormat="1">
      <c r="A360" s="47"/>
      <c r="B360" s="25"/>
      <c r="C360" s="340"/>
      <c r="D360" s="25"/>
      <c r="E360" s="25"/>
      <c r="F360" s="25"/>
      <c r="G360" s="25"/>
      <c r="H360" s="25"/>
      <c r="I360" s="25"/>
      <c r="J360" s="25"/>
    </row>
    <row r="361" spans="1:10" s="39" customFormat="1">
      <c r="A361" s="47"/>
      <c r="B361" s="25"/>
      <c r="C361" s="340"/>
      <c r="D361" s="25"/>
      <c r="E361" s="25"/>
      <c r="F361" s="25"/>
      <c r="G361" s="25"/>
      <c r="H361" s="25"/>
      <c r="I361" s="25"/>
      <c r="J361" s="25"/>
    </row>
    <row r="362" spans="1:10" s="39" customFormat="1">
      <c r="A362" s="47"/>
      <c r="B362" s="25"/>
      <c r="C362" s="340"/>
      <c r="D362" s="25"/>
      <c r="E362" s="25"/>
      <c r="F362" s="25"/>
      <c r="G362" s="25"/>
      <c r="H362" s="25"/>
      <c r="I362" s="25"/>
      <c r="J362" s="25"/>
    </row>
    <row r="363" spans="1:10" s="39" customFormat="1">
      <c r="A363" s="47"/>
      <c r="B363" s="25"/>
      <c r="C363" s="340"/>
      <c r="D363" s="25"/>
      <c r="E363" s="25"/>
      <c r="F363" s="25"/>
      <c r="G363" s="25"/>
      <c r="H363" s="25"/>
      <c r="I363" s="25"/>
      <c r="J363" s="25"/>
    </row>
    <row r="364" spans="1:10" s="39" customFormat="1">
      <c r="A364" s="47"/>
      <c r="B364" s="25"/>
      <c r="C364" s="340"/>
      <c r="D364" s="25"/>
      <c r="E364" s="25"/>
      <c r="F364" s="25"/>
      <c r="G364" s="25"/>
      <c r="H364" s="25"/>
      <c r="I364" s="25"/>
      <c r="J364" s="25"/>
    </row>
    <row r="365" spans="1:10" s="39" customFormat="1">
      <c r="A365" s="47"/>
      <c r="B365" s="25"/>
      <c r="C365" s="340"/>
      <c r="D365" s="25"/>
      <c r="E365" s="25"/>
      <c r="F365" s="25"/>
      <c r="G365" s="25"/>
      <c r="H365" s="25"/>
      <c r="I365" s="25"/>
      <c r="J365" s="25"/>
    </row>
    <row r="366" spans="1:10" s="39" customFormat="1">
      <c r="A366" s="47"/>
      <c r="B366" s="25"/>
      <c r="C366" s="340"/>
      <c r="D366" s="25"/>
      <c r="E366" s="25"/>
      <c r="F366" s="25"/>
      <c r="G366" s="25"/>
      <c r="H366" s="25"/>
      <c r="I366" s="25"/>
      <c r="J366" s="25"/>
    </row>
    <row r="367" spans="1:10" s="39" customFormat="1">
      <c r="A367" s="47"/>
      <c r="B367" s="25"/>
      <c r="C367" s="340"/>
      <c r="D367" s="25"/>
      <c r="E367" s="25"/>
      <c r="F367" s="25"/>
      <c r="G367" s="25"/>
      <c r="H367" s="25"/>
      <c r="I367" s="25"/>
      <c r="J367" s="25"/>
    </row>
    <row r="368" spans="1:10" s="39" customFormat="1">
      <c r="A368" s="47"/>
      <c r="B368" s="25"/>
      <c r="C368" s="340"/>
      <c r="D368" s="25"/>
      <c r="E368" s="25"/>
      <c r="F368" s="25"/>
      <c r="G368" s="25"/>
      <c r="H368" s="25"/>
      <c r="I368" s="25"/>
      <c r="J368" s="25"/>
    </row>
    <row r="369" spans="1:10" s="39" customFormat="1">
      <c r="A369" s="47"/>
      <c r="B369" s="25"/>
      <c r="C369" s="340"/>
      <c r="D369" s="25"/>
      <c r="E369" s="25"/>
      <c r="F369" s="25"/>
      <c r="G369" s="25"/>
      <c r="H369" s="25"/>
      <c r="I369" s="25"/>
      <c r="J369" s="25"/>
    </row>
    <row r="370" spans="1:10" s="39" customFormat="1">
      <c r="A370" s="47"/>
      <c r="B370" s="25"/>
      <c r="C370" s="340"/>
      <c r="D370" s="25"/>
      <c r="E370" s="25"/>
      <c r="F370" s="25"/>
      <c r="G370" s="25"/>
      <c r="H370" s="25"/>
      <c r="I370" s="25"/>
      <c r="J370" s="25"/>
    </row>
    <row r="371" spans="1:10" s="39" customFormat="1">
      <c r="A371" s="47"/>
      <c r="B371" s="25"/>
      <c r="C371" s="340"/>
      <c r="D371" s="25"/>
      <c r="E371" s="25"/>
      <c r="F371" s="25"/>
      <c r="G371" s="25"/>
      <c r="H371" s="25"/>
      <c r="I371" s="25"/>
      <c r="J371" s="25"/>
    </row>
    <row r="372" spans="1:10" s="39" customFormat="1">
      <c r="A372" s="47"/>
      <c r="B372" s="25"/>
      <c r="C372" s="340"/>
      <c r="D372" s="25"/>
      <c r="E372" s="25"/>
      <c r="F372" s="25"/>
      <c r="G372" s="25"/>
      <c r="H372" s="25"/>
      <c r="I372" s="25"/>
      <c r="J372" s="25"/>
    </row>
    <row r="373" spans="1:10" s="39" customFormat="1">
      <c r="A373" s="47"/>
      <c r="B373" s="25"/>
      <c r="C373" s="340"/>
      <c r="D373" s="25"/>
      <c r="E373" s="25"/>
      <c r="F373" s="25"/>
      <c r="G373" s="25"/>
      <c r="H373" s="25"/>
      <c r="I373" s="25"/>
      <c r="J373" s="25"/>
    </row>
    <row r="374" spans="1:10" s="39" customFormat="1">
      <c r="A374" s="44"/>
      <c r="B374" s="25"/>
      <c r="C374" s="340"/>
      <c r="D374" s="25"/>
      <c r="E374" s="25"/>
      <c r="F374" s="25"/>
      <c r="G374" s="25"/>
      <c r="H374" s="25"/>
      <c r="I374" s="25"/>
      <c r="J374" s="25"/>
    </row>
  </sheetData>
  <mergeCells count="15">
    <mergeCell ref="A1:B1"/>
    <mergeCell ref="C5:E6"/>
    <mergeCell ref="C7:C8"/>
    <mergeCell ref="D7:E7"/>
    <mergeCell ref="K5:K8"/>
    <mergeCell ref="A2:K2"/>
    <mergeCell ref="A3:K3"/>
    <mergeCell ref="A4:K4"/>
    <mergeCell ref="A5:A8"/>
    <mergeCell ref="B5:B8"/>
    <mergeCell ref="I5:I8"/>
    <mergeCell ref="F5:H6"/>
    <mergeCell ref="F7:F8"/>
    <mergeCell ref="G7:H7"/>
    <mergeCell ref="J5:J8"/>
  </mergeCells>
  <pageMargins left="0.45" right="0.45" top="0.75" bottom="0.75" header="0.3" footer="0.3"/>
  <pageSetup paperSize="9" scale="64" fitToHeight="0"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X102"/>
  <sheetViews>
    <sheetView showZeros="0" view="pageBreakPreview" zoomScale="70" zoomScaleNormal="70" zoomScaleSheetLayoutView="70" workbookViewId="0">
      <pane ySplit="6" topLeftCell="A7" activePane="bottomLeft" state="frozen"/>
      <selection pane="bottomLeft" activeCell="AD11" sqref="AD11"/>
    </sheetView>
  </sheetViews>
  <sheetFormatPr defaultColWidth="9" defaultRowHeight="15.6"/>
  <cols>
    <col min="1" max="1" width="6.5" style="411" customWidth="1"/>
    <col min="2" max="2" width="49.69921875" style="349" customWidth="1"/>
    <col min="3" max="3" width="16.19921875" style="349" customWidth="1"/>
    <col min="4" max="4" width="12.3984375" style="585" customWidth="1"/>
    <col min="5" max="5" width="12.69921875" style="392" customWidth="1"/>
    <col min="6" max="12" width="12.3984375" style="392" hidden="1" customWidth="1"/>
    <col min="13" max="14" width="11.09765625" style="392" customWidth="1"/>
    <col min="15" max="15" width="11.8984375" style="392" hidden="1" customWidth="1"/>
    <col min="16" max="17" width="11.8984375" style="392" customWidth="1"/>
    <col min="18" max="18" width="11.8984375" style="392" hidden="1" customWidth="1"/>
    <col min="19" max="19" width="18.3984375" style="586" customWidth="1"/>
    <col min="20" max="20" width="18.5" style="349" hidden="1" customWidth="1"/>
    <col min="21" max="22" width="13.59765625" style="393" hidden="1" customWidth="1"/>
    <col min="23" max="23" width="12" style="393" hidden="1" customWidth="1"/>
    <col min="24" max="24" width="12.09765625" style="393" hidden="1" customWidth="1"/>
    <col min="25" max="25" width="0" style="349" hidden="1" customWidth="1"/>
    <col min="26" max="16384" width="9" style="349"/>
  </cols>
  <sheetData>
    <row r="1" spans="1:24" ht="15.75" customHeight="1">
      <c r="A1" s="550" t="s">
        <v>483</v>
      </c>
      <c r="B1" s="347"/>
      <c r="C1" s="347"/>
      <c r="D1" s="347"/>
      <c r="E1" s="347"/>
      <c r="F1" s="347"/>
      <c r="G1" s="347"/>
      <c r="H1" s="347"/>
      <c r="I1" s="347"/>
      <c r="J1" s="347"/>
      <c r="K1" s="347"/>
      <c r="L1" s="347"/>
      <c r="M1" s="347"/>
      <c r="N1" s="347"/>
      <c r="O1" s="347"/>
      <c r="P1" s="347"/>
      <c r="Q1" s="347"/>
      <c r="R1" s="347"/>
      <c r="S1" s="347"/>
    </row>
    <row r="2" spans="1:24" ht="20.25" customHeight="1">
      <c r="A2" s="718" t="s">
        <v>472</v>
      </c>
      <c r="B2" s="718"/>
      <c r="C2" s="718"/>
      <c r="D2" s="718"/>
      <c r="E2" s="718"/>
      <c r="F2" s="718"/>
      <c r="G2" s="718"/>
      <c r="H2" s="718"/>
      <c r="I2" s="718"/>
      <c r="J2" s="718"/>
      <c r="K2" s="718"/>
      <c r="L2" s="718"/>
      <c r="M2" s="718"/>
      <c r="N2" s="718"/>
      <c r="O2" s="718"/>
      <c r="P2" s="718"/>
      <c r="Q2" s="718"/>
      <c r="R2" s="718"/>
      <c r="S2" s="718"/>
    </row>
    <row r="3" spans="1:24" ht="20.25" customHeight="1">
      <c r="A3" s="719" t="str">
        <f>'06-VỐN S.NGHIỆP CTMT'!A3:K3</f>
        <v>(Kèm theo Báo cáo số 899/BC-UBND, ngày 28 háng 11 năm 2022 của UBND huyện Tuần Giáo)</v>
      </c>
      <c r="B3" s="720"/>
      <c r="C3" s="720"/>
      <c r="D3" s="720"/>
      <c r="E3" s="720"/>
      <c r="F3" s="720"/>
      <c r="G3" s="720"/>
      <c r="H3" s="720"/>
      <c r="I3" s="720"/>
      <c r="J3" s="720"/>
      <c r="K3" s="720"/>
      <c r="L3" s="720"/>
      <c r="M3" s="720"/>
      <c r="N3" s="720"/>
      <c r="O3" s="720"/>
      <c r="P3" s="720"/>
      <c r="Q3" s="720"/>
      <c r="R3" s="720"/>
      <c r="S3" s="720"/>
    </row>
    <row r="4" spans="1:24" ht="27.9" customHeight="1">
      <c r="B4" s="551"/>
      <c r="C4" s="551"/>
      <c r="D4" s="552"/>
      <c r="E4" s="717" t="s">
        <v>414</v>
      </c>
      <c r="F4" s="717"/>
      <c r="G4" s="717"/>
      <c r="H4" s="717"/>
      <c r="I4" s="717"/>
      <c r="J4" s="717"/>
      <c r="K4" s="717"/>
      <c r="L4" s="717"/>
      <c r="M4" s="717"/>
      <c r="N4" s="717"/>
      <c r="O4" s="717"/>
      <c r="P4" s="717"/>
      <c r="Q4" s="717"/>
      <c r="R4" s="717"/>
      <c r="S4" s="717"/>
    </row>
    <row r="5" spans="1:24" s="347" customFormat="1" ht="29.25" customHeight="1">
      <c r="A5" s="721" t="s">
        <v>49</v>
      </c>
      <c r="B5" s="721" t="s">
        <v>43</v>
      </c>
      <c r="C5" s="721" t="s">
        <v>27</v>
      </c>
      <c r="D5" s="721" t="s">
        <v>5</v>
      </c>
      <c r="E5" s="723" t="s">
        <v>45</v>
      </c>
      <c r="F5" s="724"/>
      <c r="G5" s="724"/>
      <c r="H5" s="724"/>
      <c r="I5" s="724"/>
      <c r="J5" s="724"/>
      <c r="K5" s="724"/>
      <c r="L5" s="725"/>
      <c r="M5" s="665" t="s">
        <v>81</v>
      </c>
      <c r="N5" s="665"/>
      <c r="O5" s="665" t="s">
        <v>82</v>
      </c>
      <c r="P5" s="665"/>
      <c r="Q5" s="665"/>
      <c r="R5" s="658" t="s">
        <v>245</v>
      </c>
      <c r="S5" s="721" t="s">
        <v>8</v>
      </c>
      <c r="U5" s="553"/>
      <c r="V5" s="476"/>
      <c r="W5" s="553"/>
      <c r="X5" s="553"/>
    </row>
    <row r="6" spans="1:24" s="347" customFormat="1" ht="55.5" customHeight="1">
      <c r="A6" s="722"/>
      <c r="B6" s="722"/>
      <c r="C6" s="722"/>
      <c r="D6" s="722"/>
      <c r="E6" s="726"/>
      <c r="F6" s="727"/>
      <c r="G6" s="727"/>
      <c r="H6" s="727"/>
      <c r="I6" s="727"/>
      <c r="J6" s="727"/>
      <c r="K6" s="727"/>
      <c r="L6" s="728"/>
      <c r="M6" s="462" t="s">
        <v>19</v>
      </c>
      <c r="N6" s="462" t="s">
        <v>408</v>
      </c>
      <c r="O6" s="462" t="s">
        <v>409</v>
      </c>
      <c r="P6" s="462" t="s">
        <v>19</v>
      </c>
      <c r="Q6" s="462" t="s">
        <v>408</v>
      </c>
      <c r="R6" s="660"/>
      <c r="S6" s="722"/>
      <c r="U6" s="553"/>
      <c r="V6" s="476"/>
      <c r="W6" s="553"/>
      <c r="X6" s="553"/>
    </row>
    <row r="7" spans="1:24" ht="18" customHeight="1">
      <c r="A7" s="554" t="s">
        <v>50</v>
      </c>
      <c r="B7" s="554" t="s">
        <v>51</v>
      </c>
      <c r="C7" s="554" t="s">
        <v>52</v>
      </c>
      <c r="D7" s="554" t="s">
        <v>53</v>
      </c>
      <c r="E7" s="555" t="s">
        <v>88</v>
      </c>
      <c r="F7" s="555" t="s">
        <v>491</v>
      </c>
      <c r="G7" s="555" t="s">
        <v>492</v>
      </c>
      <c r="H7" s="555" t="s">
        <v>495</v>
      </c>
      <c r="I7" s="555" t="s">
        <v>496</v>
      </c>
      <c r="J7" s="555" t="s">
        <v>497</v>
      </c>
      <c r="K7" s="555" t="s">
        <v>498</v>
      </c>
      <c r="L7" s="555" t="s">
        <v>499</v>
      </c>
      <c r="M7" s="397">
        <v>6</v>
      </c>
      <c r="N7" s="397">
        <v>7</v>
      </c>
      <c r="O7" s="397">
        <v>11</v>
      </c>
      <c r="P7" s="397">
        <v>8</v>
      </c>
      <c r="Q7" s="397">
        <v>9</v>
      </c>
      <c r="R7" s="556">
        <v>10</v>
      </c>
      <c r="S7" s="554" t="s">
        <v>237</v>
      </c>
      <c r="U7" s="557"/>
      <c r="V7" s="557"/>
    </row>
    <row r="8" spans="1:24" s="347" customFormat="1" ht="18.75" customHeight="1">
      <c r="A8" s="406"/>
      <c r="B8" s="406" t="s">
        <v>54</v>
      </c>
      <c r="C8" s="406"/>
      <c r="D8" s="558">
        <f>D9+D51+D72+D96</f>
        <v>237830</v>
      </c>
      <c r="E8" s="558">
        <f t="shared" ref="E8:R8" si="0">E9+E51+E72+E96</f>
        <v>51052.44200000001</v>
      </c>
      <c r="F8" s="558">
        <f t="shared" si="0"/>
        <v>43221</v>
      </c>
      <c r="G8" s="558">
        <f t="shared" si="0"/>
        <v>806.73599999999999</v>
      </c>
      <c r="H8" s="558">
        <f t="shared" si="0"/>
        <v>750</v>
      </c>
      <c r="I8" s="558">
        <f t="shared" si="0"/>
        <v>0</v>
      </c>
      <c r="J8" s="558">
        <f t="shared" si="0"/>
        <v>536.88</v>
      </c>
      <c r="K8" s="558">
        <f t="shared" si="0"/>
        <v>5737.8260000000009</v>
      </c>
      <c r="L8" s="559">
        <f t="shared" si="0"/>
        <v>1.7053025658242404E-13</v>
      </c>
      <c r="M8" s="558">
        <f t="shared" si="0"/>
        <v>43145.763290000003</v>
      </c>
      <c r="N8" s="558">
        <f t="shared" si="0"/>
        <v>197175.21499999997</v>
      </c>
      <c r="O8" s="558">
        <f t="shared" si="0"/>
        <v>0</v>
      </c>
      <c r="P8" s="558">
        <f t="shared" si="0"/>
        <v>50820.322000000007</v>
      </c>
      <c r="Q8" s="558">
        <f t="shared" si="0"/>
        <v>184660.39899999998</v>
      </c>
      <c r="R8" s="558">
        <f t="shared" si="0"/>
        <v>28241.637999999999</v>
      </c>
      <c r="S8" s="60"/>
      <c r="T8" s="475" t="e">
        <f>+#REF!-O8</f>
        <v>#REF!</v>
      </c>
      <c r="U8" s="476">
        <f>+D8-Q8</f>
        <v>53169.601000000024</v>
      </c>
      <c r="V8" s="557">
        <f>+E8-P8</f>
        <v>232.12000000000262</v>
      </c>
      <c r="W8" s="476">
        <f>+N8-Q8</f>
        <v>12514.815999999992</v>
      </c>
      <c r="X8" s="476"/>
    </row>
    <row r="9" spans="1:24">
      <c r="A9" s="469" t="s">
        <v>98</v>
      </c>
      <c r="B9" s="398" t="s">
        <v>99</v>
      </c>
      <c r="C9" s="398"/>
      <c r="D9" s="558">
        <f>D10+D43</f>
        <v>120110</v>
      </c>
      <c r="E9" s="558">
        <f t="shared" ref="E9:R9" si="1">E10+E43</f>
        <v>22726.725000000006</v>
      </c>
      <c r="F9" s="558">
        <f t="shared" si="1"/>
        <v>22849</v>
      </c>
      <c r="G9" s="558">
        <f t="shared" si="1"/>
        <v>602.36500000000001</v>
      </c>
      <c r="H9" s="558">
        <f t="shared" si="1"/>
        <v>0</v>
      </c>
      <c r="I9" s="558">
        <f t="shared" si="1"/>
        <v>-1298.021</v>
      </c>
      <c r="J9" s="558">
        <f t="shared" si="1"/>
        <v>0</v>
      </c>
      <c r="K9" s="558">
        <f t="shared" si="1"/>
        <v>828.52800000000002</v>
      </c>
      <c r="L9" s="558">
        <f t="shared" si="1"/>
        <v>-255.14699999999999</v>
      </c>
      <c r="M9" s="558">
        <f t="shared" si="1"/>
        <v>22118.022290000001</v>
      </c>
      <c r="N9" s="558">
        <f t="shared" si="1"/>
        <v>110082.87999999996</v>
      </c>
      <c r="O9" s="558">
        <f t="shared" si="1"/>
        <v>0</v>
      </c>
      <c r="P9" s="558">
        <f t="shared" si="1"/>
        <v>22503.036000000004</v>
      </c>
      <c r="Q9" s="558">
        <f t="shared" si="1"/>
        <v>102162.30899999998</v>
      </c>
      <c r="R9" s="558">
        <f t="shared" si="1"/>
        <v>10692.628000000001</v>
      </c>
      <c r="S9" s="560"/>
      <c r="T9" s="475" t="e">
        <f>+#REF!-O9</f>
        <v>#REF!</v>
      </c>
      <c r="U9" s="476">
        <f t="shared" ref="U9:U72" si="2">+D9-Q9</f>
        <v>17947.691000000021</v>
      </c>
      <c r="V9" s="557">
        <f t="shared" ref="V9:V72" si="3">+E9-P9</f>
        <v>223.68900000000212</v>
      </c>
      <c r="W9" s="476">
        <f t="shared" ref="W9:W72" si="4">+N9-Q9</f>
        <v>7920.5709999999817</v>
      </c>
      <c r="X9" s="476"/>
    </row>
    <row r="10" spans="1:24" s="347" customFormat="1">
      <c r="A10" s="406" t="s">
        <v>23</v>
      </c>
      <c r="B10" s="407" t="s">
        <v>56</v>
      </c>
      <c r="C10" s="407"/>
      <c r="D10" s="558">
        <f>D11</f>
        <v>108650</v>
      </c>
      <c r="E10" s="558">
        <f t="shared" ref="E10:R10" si="5">E11</f>
        <v>13690.923000000004</v>
      </c>
      <c r="F10" s="558">
        <f t="shared" si="5"/>
        <v>13549</v>
      </c>
      <c r="G10" s="558">
        <f t="shared" si="5"/>
        <v>602.36500000000001</v>
      </c>
      <c r="H10" s="558">
        <f t="shared" si="5"/>
        <v>0</v>
      </c>
      <c r="I10" s="558">
        <f t="shared" si="5"/>
        <v>-1145.354</v>
      </c>
      <c r="J10" s="558">
        <f t="shared" si="5"/>
        <v>0</v>
      </c>
      <c r="K10" s="558">
        <f t="shared" si="5"/>
        <v>828.52800000000002</v>
      </c>
      <c r="L10" s="558">
        <f t="shared" si="5"/>
        <v>-143.61599999999999</v>
      </c>
      <c r="M10" s="558">
        <f t="shared" si="5"/>
        <v>12034.470290000001</v>
      </c>
      <c r="N10" s="558">
        <f t="shared" si="5"/>
        <v>98993.388999999966</v>
      </c>
      <c r="O10" s="558">
        <f t="shared" si="5"/>
        <v>0</v>
      </c>
      <c r="P10" s="558">
        <f t="shared" si="5"/>
        <v>13508.234000000004</v>
      </c>
      <c r="Q10" s="558">
        <f t="shared" si="5"/>
        <v>93167.506999999983</v>
      </c>
      <c r="R10" s="558">
        <f t="shared" si="5"/>
        <v>8727.6280000000006</v>
      </c>
      <c r="S10" s="561"/>
      <c r="T10" s="475" t="e">
        <f>+#REF!-O10</f>
        <v>#REF!</v>
      </c>
      <c r="U10" s="476">
        <f t="shared" si="2"/>
        <v>15482.493000000017</v>
      </c>
      <c r="V10" s="557">
        <f t="shared" si="3"/>
        <v>182.68900000000031</v>
      </c>
      <c r="W10" s="476">
        <f t="shared" si="4"/>
        <v>5825.8819999999832</v>
      </c>
      <c r="X10" s="476"/>
    </row>
    <row r="11" spans="1:24" s="347" customFormat="1">
      <c r="A11" s="406" t="s">
        <v>28</v>
      </c>
      <c r="B11" s="407" t="s">
        <v>100</v>
      </c>
      <c r="C11" s="407"/>
      <c r="D11" s="558">
        <f>SUM(D12:D42)</f>
        <v>108650</v>
      </c>
      <c r="E11" s="558">
        <f t="shared" ref="E11:R11" si="6">SUM(E12:E42)</f>
        <v>13690.923000000004</v>
      </c>
      <c r="F11" s="558">
        <f t="shared" si="6"/>
        <v>13549</v>
      </c>
      <c r="G11" s="558">
        <f t="shared" si="6"/>
        <v>602.36500000000001</v>
      </c>
      <c r="H11" s="558">
        <f t="shared" si="6"/>
        <v>0</v>
      </c>
      <c r="I11" s="558">
        <f t="shared" si="6"/>
        <v>-1145.354</v>
      </c>
      <c r="J11" s="558">
        <f t="shared" si="6"/>
        <v>0</v>
      </c>
      <c r="K11" s="558">
        <f t="shared" si="6"/>
        <v>828.52800000000002</v>
      </c>
      <c r="L11" s="558">
        <f t="shared" si="6"/>
        <v>-143.61599999999999</v>
      </c>
      <c r="M11" s="558">
        <f t="shared" si="6"/>
        <v>12034.470290000001</v>
      </c>
      <c r="N11" s="558">
        <f t="shared" si="6"/>
        <v>98993.388999999966</v>
      </c>
      <c r="O11" s="558">
        <f t="shared" si="6"/>
        <v>0</v>
      </c>
      <c r="P11" s="558">
        <f t="shared" si="6"/>
        <v>13508.234000000004</v>
      </c>
      <c r="Q11" s="558">
        <f t="shared" si="6"/>
        <v>93167.506999999983</v>
      </c>
      <c r="R11" s="558">
        <f t="shared" si="6"/>
        <v>8727.6280000000006</v>
      </c>
      <c r="S11" s="562"/>
      <c r="T11" s="475" t="e">
        <f>+#REF!-O11</f>
        <v>#REF!</v>
      </c>
      <c r="U11" s="476">
        <f t="shared" si="2"/>
        <v>15482.493000000017</v>
      </c>
      <c r="V11" s="557">
        <f t="shared" si="3"/>
        <v>182.68900000000031</v>
      </c>
      <c r="W11" s="476">
        <f t="shared" si="4"/>
        <v>5825.8819999999832</v>
      </c>
      <c r="X11" s="476"/>
    </row>
    <row r="12" spans="1:24" s="566" customFormat="1">
      <c r="A12" s="563" t="s">
        <v>375</v>
      </c>
      <c r="B12" s="139" t="s">
        <v>101</v>
      </c>
      <c r="C12" s="140" t="s">
        <v>42</v>
      </c>
      <c r="D12" s="564">
        <v>5300</v>
      </c>
      <c r="E12" s="565">
        <f t="shared" ref="E12:E21" si="7">SUM(F12:K12)</f>
        <v>53.551000000000002</v>
      </c>
      <c r="F12" s="565">
        <v>53.551000000000002</v>
      </c>
      <c r="G12" s="565"/>
      <c r="H12" s="565"/>
      <c r="I12" s="565"/>
      <c r="J12" s="565"/>
      <c r="K12" s="565"/>
      <c r="L12" s="565"/>
      <c r="M12" s="402"/>
      <c r="N12" s="402">
        <v>5053.5510000000004</v>
      </c>
      <c r="O12" s="402"/>
      <c r="P12" s="402">
        <f t="shared" ref="P12:P26" si="8">E12</f>
        <v>53.551000000000002</v>
      </c>
      <c r="Q12" s="402">
        <f>N12</f>
        <v>5053.5510000000004</v>
      </c>
      <c r="R12" s="402"/>
      <c r="S12" s="140" t="s">
        <v>233</v>
      </c>
      <c r="T12" s="475"/>
      <c r="U12" s="476">
        <f t="shared" si="2"/>
        <v>246.44899999999961</v>
      </c>
      <c r="V12" s="557">
        <f t="shared" si="3"/>
        <v>0</v>
      </c>
      <c r="W12" s="476">
        <f t="shared" si="4"/>
        <v>0</v>
      </c>
      <c r="X12" s="476"/>
    </row>
    <row r="13" spans="1:24" s="566" customFormat="1">
      <c r="A13" s="563" t="s">
        <v>375</v>
      </c>
      <c r="B13" s="139" t="s">
        <v>102</v>
      </c>
      <c r="C13" s="140" t="s">
        <v>42</v>
      </c>
      <c r="D13" s="564">
        <v>2150</v>
      </c>
      <c r="E13" s="565">
        <f t="shared" si="7"/>
        <v>11.617000000000001</v>
      </c>
      <c r="F13" s="565">
        <v>11.617000000000001</v>
      </c>
      <c r="G13" s="565"/>
      <c r="H13" s="565"/>
      <c r="I13" s="565"/>
      <c r="J13" s="565"/>
      <c r="K13" s="565"/>
      <c r="L13" s="565"/>
      <c r="M13" s="402"/>
      <c r="N13" s="402">
        <v>2007.8789999999999</v>
      </c>
      <c r="O13" s="402"/>
      <c r="P13" s="402">
        <f t="shared" si="8"/>
        <v>11.617000000000001</v>
      </c>
      <c r="Q13" s="402">
        <f>N13</f>
        <v>2007.8789999999999</v>
      </c>
      <c r="R13" s="402"/>
      <c r="S13" s="140" t="s">
        <v>233</v>
      </c>
      <c r="T13" s="475"/>
      <c r="U13" s="476">
        <f t="shared" si="2"/>
        <v>142.12100000000009</v>
      </c>
      <c r="V13" s="557">
        <f t="shared" si="3"/>
        <v>0</v>
      </c>
      <c r="W13" s="476">
        <f t="shared" si="4"/>
        <v>0</v>
      </c>
      <c r="X13" s="476"/>
    </row>
    <row r="14" spans="1:24" s="566" customFormat="1">
      <c r="A14" s="563" t="s">
        <v>375</v>
      </c>
      <c r="B14" s="139" t="s">
        <v>103</v>
      </c>
      <c r="C14" s="140" t="s">
        <v>104</v>
      </c>
      <c r="D14" s="564">
        <v>4000</v>
      </c>
      <c r="E14" s="565">
        <f t="shared" si="7"/>
        <v>809.45099999999991</v>
      </c>
      <c r="F14" s="565">
        <v>809.45099999999991</v>
      </c>
      <c r="G14" s="565"/>
      <c r="H14" s="565"/>
      <c r="I14" s="565"/>
      <c r="J14" s="565"/>
      <c r="K14" s="565"/>
      <c r="L14" s="565"/>
      <c r="M14" s="402"/>
      <c r="N14" s="402">
        <v>3809.6550000000002</v>
      </c>
      <c r="O14" s="402"/>
      <c r="P14" s="402">
        <f t="shared" si="8"/>
        <v>809.45099999999991</v>
      </c>
      <c r="Q14" s="402">
        <v>3809.45</v>
      </c>
      <c r="R14" s="402">
        <f>N14-Q14</f>
        <v>0.20500000000038199</v>
      </c>
      <c r="S14" s="140" t="s">
        <v>233</v>
      </c>
      <c r="T14" s="475"/>
      <c r="U14" s="476">
        <f t="shared" si="2"/>
        <v>190.55000000000018</v>
      </c>
      <c r="V14" s="557">
        <f t="shared" si="3"/>
        <v>0</v>
      </c>
      <c r="W14" s="476">
        <f t="shared" si="4"/>
        <v>0.20500000000038199</v>
      </c>
      <c r="X14" s="476"/>
    </row>
    <row r="15" spans="1:24" s="566" customFormat="1">
      <c r="A15" s="563" t="s">
        <v>375</v>
      </c>
      <c r="B15" s="139" t="s">
        <v>105</v>
      </c>
      <c r="C15" s="140" t="s">
        <v>40</v>
      </c>
      <c r="D15" s="564">
        <v>2650</v>
      </c>
      <c r="E15" s="565">
        <f t="shared" si="7"/>
        <v>106.182</v>
      </c>
      <c r="F15" s="565">
        <v>106.182</v>
      </c>
      <c r="G15" s="565"/>
      <c r="H15" s="565"/>
      <c r="I15" s="565"/>
      <c r="J15" s="565"/>
      <c r="K15" s="565"/>
      <c r="L15" s="565"/>
      <c r="M15" s="402"/>
      <c r="N15" s="402">
        <v>2602.8119999999999</v>
      </c>
      <c r="O15" s="402"/>
      <c r="P15" s="402">
        <f t="shared" si="8"/>
        <v>106.182</v>
      </c>
      <c r="Q15" s="402">
        <v>2595.8069999999998</v>
      </c>
      <c r="R15" s="402">
        <f>N15-Q15</f>
        <v>7.0050000000001091</v>
      </c>
      <c r="S15" s="140" t="s">
        <v>233</v>
      </c>
      <c r="T15" s="475"/>
      <c r="U15" s="476">
        <f t="shared" si="2"/>
        <v>54.193000000000211</v>
      </c>
      <c r="V15" s="557">
        <f t="shared" si="3"/>
        <v>0</v>
      </c>
      <c r="W15" s="476">
        <f t="shared" si="4"/>
        <v>7.0050000000001091</v>
      </c>
      <c r="X15" s="476"/>
    </row>
    <row r="16" spans="1:24" s="566" customFormat="1">
      <c r="A16" s="563" t="s">
        <v>375</v>
      </c>
      <c r="B16" s="139" t="s">
        <v>106</v>
      </c>
      <c r="C16" s="140" t="s">
        <v>42</v>
      </c>
      <c r="D16" s="564">
        <v>10700</v>
      </c>
      <c r="E16" s="565">
        <f t="shared" si="7"/>
        <v>983.73900000000003</v>
      </c>
      <c r="F16" s="565">
        <v>1000</v>
      </c>
      <c r="G16" s="565"/>
      <c r="H16" s="565"/>
      <c r="I16" s="565">
        <v>-16.260999999999999</v>
      </c>
      <c r="J16" s="565"/>
      <c r="K16" s="565"/>
      <c r="L16" s="565"/>
      <c r="M16" s="402"/>
      <c r="N16" s="402">
        <v>9983.7389999999996</v>
      </c>
      <c r="O16" s="402"/>
      <c r="P16" s="402">
        <f t="shared" si="8"/>
        <v>983.73900000000003</v>
      </c>
      <c r="Q16" s="402">
        <f>N16</f>
        <v>9983.7389999999996</v>
      </c>
      <c r="R16" s="402"/>
      <c r="S16" s="140" t="s">
        <v>233</v>
      </c>
      <c r="T16" s="475"/>
      <c r="U16" s="476">
        <f t="shared" si="2"/>
        <v>716.26100000000042</v>
      </c>
      <c r="V16" s="557">
        <f t="shared" si="3"/>
        <v>0</v>
      </c>
      <c r="W16" s="476">
        <f t="shared" si="4"/>
        <v>0</v>
      </c>
      <c r="X16" s="476"/>
    </row>
    <row r="17" spans="1:24" s="566" customFormat="1">
      <c r="A17" s="563" t="s">
        <v>375</v>
      </c>
      <c r="B17" s="139" t="s">
        <v>107</v>
      </c>
      <c r="C17" s="140" t="s">
        <v>108</v>
      </c>
      <c r="D17" s="564">
        <v>2500</v>
      </c>
      <c r="E17" s="565">
        <f t="shared" si="7"/>
        <v>219.345</v>
      </c>
      <c r="F17" s="565">
        <v>350</v>
      </c>
      <c r="G17" s="565"/>
      <c r="H17" s="565"/>
      <c r="I17" s="565">
        <v>-130.655</v>
      </c>
      <c r="J17" s="565"/>
      <c r="K17" s="565"/>
      <c r="L17" s="565"/>
      <c r="M17" s="402"/>
      <c r="N17" s="402">
        <v>2219.3449999999998</v>
      </c>
      <c r="O17" s="402"/>
      <c r="P17" s="402">
        <f t="shared" si="8"/>
        <v>219.345</v>
      </c>
      <c r="Q17" s="402">
        <f>N17</f>
        <v>2219.3449999999998</v>
      </c>
      <c r="R17" s="402"/>
      <c r="S17" s="140" t="s">
        <v>233</v>
      </c>
      <c r="T17" s="475"/>
      <c r="U17" s="476">
        <f t="shared" si="2"/>
        <v>280.6550000000002</v>
      </c>
      <c r="V17" s="557">
        <f t="shared" si="3"/>
        <v>0</v>
      </c>
      <c r="W17" s="476">
        <f t="shared" si="4"/>
        <v>0</v>
      </c>
      <c r="X17" s="476"/>
    </row>
    <row r="18" spans="1:24" s="566" customFormat="1">
      <c r="A18" s="563" t="s">
        <v>375</v>
      </c>
      <c r="B18" s="139" t="s">
        <v>109</v>
      </c>
      <c r="C18" s="140" t="s">
        <v>104</v>
      </c>
      <c r="D18" s="564">
        <v>3200</v>
      </c>
      <c r="E18" s="565">
        <f t="shared" si="7"/>
        <v>147</v>
      </c>
      <c r="F18" s="565">
        <v>147</v>
      </c>
      <c r="G18" s="565"/>
      <c r="H18" s="565"/>
      <c r="I18" s="565"/>
      <c r="J18" s="565"/>
      <c r="K18" s="565"/>
      <c r="L18" s="565"/>
      <c r="M18" s="402"/>
      <c r="N18" s="402">
        <v>3045.2550000000001</v>
      </c>
      <c r="O18" s="402"/>
      <c r="P18" s="402">
        <f t="shared" si="8"/>
        <v>147</v>
      </c>
      <c r="Q18" s="402">
        <v>3027</v>
      </c>
      <c r="R18" s="402">
        <f>N18-Q18</f>
        <v>18.255000000000109</v>
      </c>
      <c r="S18" s="140" t="s">
        <v>233</v>
      </c>
      <c r="T18" s="475"/>
      <c r="U18" s="476">
        <f t="shared" si="2"/>
        <v>173</v>
      </c>
      <c r="V18" s="557">
        <f t="shared" si="3"/>
        <v>0</v>
      </c>
      <c r="W18" s="476">
        <f t="shared" si="4"/>
        <v>18.255000000000109</v>
      </c>
      <c r="X18" s="476"/>
    </row>
    <row r="19" spans="1:24" s="566" customFormat="1" ht="31.2">
      <c r="A19" s="563" t="s">
        <v>375</v>
      </c>
      <c r="B19" s="139" t="s">
        <v>110</v>
      </c>
      <c r="C19" s="140" t="s">
        <v>111</v>
      </c>
      <c r="D19" s="564">
        <v>8300</v>
      </c>
      <c r="E19" s="565">
        <f t="shared" si="7"/>
        <v>2541.1990000000001</v>
      </c>
      <c r="F19" s="565">
        <v>2541.1990000000001</v>
      </c>
      <c r="G19" s="565"/>
      <c r="H19" s="565"/>
      <c r="I19" s="565"/>
      <c r="J19" s="565"/>
      <c r="K19" s="565"/>
      <c r="L19" s="565"/>
      <c r="M19" s="565">
        <v>5193.3922899999998</v>
      </c>
      <c r="N19" s="402">
        <v>7932.7</v>
      </c>
      <c r="O19" s="402"/>
      <c r="P19" s="402">
        <f t="shared" si="8"/>
        <v>2541.1990000000001</v>
      </c>
      <c r="Q19" s="402">
        <v>5541.1989999999996</v>
      </c>
      <c r="R19" s="402">
        <v>2400</v>
      </c>
      <c r="S19" s="140"/>
      <c r="T19" s="475"/>
      <c r="U19" s="476">
        <f t="shared" si="2"/>
        <v>2758.8010000000004</v>
      </c>
      <c r="V19" s="557">
        <f t="shared" si="3"/>
        <v>0</v>
      </c>
      <c r="W19" s="476">
        <f t="shared" si="4"/>
        <v>2391.5010000000002</v>
      </c>
      <c r="X19" s="476"/>
    </row>
    <row r="20" spans="1:24" s="566" customFormat="1" ht="31.2">
      <c r="A20" s="563" t="s">
        <v>375</v>
      </c>
      <c r="B20" s="139" t="s">
        <v>112</v>
      </c>
      <c r="C20" s="140" t="s">
        <v>40</v>
      </c>
      <c r="D20" s="564">
        <v>9800</v>
      </c>
      <c r="E20" s="565">
        <f t="shared" si="7"/>
        <v>1000</v>
      </c>
      <c r="F20" s="565">
        <v>1000</v>
      </c>
      <c r="G20" s="565"/>
      <c r="H20" s="565"/>
      <c r="I20" s="565"/>
      <c r="J20" s="565"/>
      <c r="K20" s="565"/>
      <c r="L20" s="565"/>
      <c r="M20" s="565">
        <v>3205</v>
      </c>
      <c r="N20" s="402">
        <v>5570.2529999999997</v>
      </c>
      <c r="O20" s="402"/>
      <c r="P20" s="402">
        <f t="shared" si="8"/>
        <v>1000</v>
      </c>
      <c r="Q20" s="402">
        <v>3000</v>
      </c>
      <c r="R20" s="402">
        <v>5755</v>
      </c>
      <c r="S20" s="140"/>
      <c r="T20" s="475"/>
      <c r="U20" s="476">
        <f t="shared" si="2"/>
        <v>6800</v>
      </c>
      <c r="V20" s="557">
        <f t="shared" si="3"/>
        <v>0</v>
      </c>
      <c r="W20" s="476">
        <f t="shared" si="4"/>
        <v>2570.2529999999997</v>
      </c>
      <c r="X20" s="476"/>
    </row>
    <row r="21" spans="1:24" s="566" customFormat="1">
      <c r="A21" s="563" t="s">
        <v>375</v>
      </c>
      <c r="B21" s="139" t="s">
        <v>113</v>
      </c>
      <c r="C21" s="140" t="s">
        <v>41</v>
      </c>
      <c r="D21" s="564">
        <v>4500</v>
      </c>
      <c r="E21" s="565">
        <f t="shared" si="7"/>
        <v>1421.721</v>
      </c>
      <c r="F21" s="565">
        <v>1500</v>
      </c>
      <c r="G21" s="565"/>
      <c r="H21" s="565"/>
      <c r="I21" s="565">
        <v>-78.278999999999996</v>
      </c>
      <c r="J21" s="565"/>
      <c r="K21" s="565"/>
      <c r="L21" s="565"/>
      <c r="M21" s="402"/>
      <c r="N21" s="402">
        <v>4171.5029999999997</v>
      </c>
      <c r="O21" s="402"/>
      <c r="P21" s="402">
        <f t="shared" si="8"/>
        <v>1421.721</v>
      </c>
      <c r="Q21" s="402">
        <f>N21</f>
        <v>4171.5029999999997</v>
      </c>
      <c r="R21" s="402"/>
      <c r="S21" s="140" t="s">
        <v>233</v>
      </c>
      <c r="T21" s="475"/>
      <c r="U21" s="476">
        <f t="shared" si="2"/>
        <v>328.4970000000003</v>
      </c>
      <c r="V21" s="557">
        <f t="shared" si="3"/>
        <v>0</v>
      </c>
      <c r="W21" s="476">
        <f t="shared" si="4"/>
        <v>0</v>
      </c>
      <c r="X21" s="476"/>
    </row>
    <row r="22" spans="1:24" s="566" customFormat="1">
      <c r="A22" s="563" t="s">
        <v>375</v>
      </c>
      <c r="B22" s="139" t="s">
        <v>114</v>
      </c>
      <c r="C22" s="140" t="s">
        <v>41</v>
      </c>
      <c r="D22" s="564">
        <v>4000</v>
      </c>
      <c r="E22" s="565">
        <f>SUM(F22:L22)</f>
        <v>673.63</v>
      </c>
      <c r="F22" s="565">
        <v>1500</v>
      </c>
      <c r="G22" s="565"/>
      <c r="H22" s="565"/>
      <c r="I22" s="565">
        <v>-826.22799999999995</v>
      </c>
      <c r="J22" s="565"/>
      <c r="K22" s="565"/>
      <c r="L22" s="567">
        <v>-0.14199999999999999</v>
      </c>
      <c r="M22" s="402">
        <v>201.55600000000001</v>
      </c>
      <c r="N22" s="402">
        <v>3975.11</v>
      </c>
      <c r="O22" s="402"/>
      <c r="P22" s="402">
        <f t="shared" si="8"/>
        <v>673.63</v>
      </c>
      <c r="Q22" s="402">
        <f>N22</f>
        <v>3975.11</v>
      </c>
      <c r="R22" s="402"/>
      <c r="S22" s="140" t="s">
        <v>233</v>
      </c>
      <c r="T22" s="475"/>
      <c r="U22" s="476">
        <f t="shared" si="2"/>
        <v>24.889999999999873</v>
      </c>
      <c r="V22" s="557">
        <f t="shared" si="3"/>
        <v>0</v>
      </c>
      <c r="W22" s="476">
        <f t="shared" si="4"/>
        <v>0</v>
      </c>
      <c r="X22" s="476"/>
    </row>
    <row r="23" spans="1:24" s="566" customFormat="1">
      <c r="A23" s="563" t="s">
        <v>375</v>
      </c>
      <c r="B23" s="139" t="s">
        <v>115</v>
      </c>
      <c r="C23" s="140" t="s">
        <v>40</v>
      </c>
      <c r="D23" s="564">
        <v>2600</v>
      </c>
      <c r="E23" s="565">
        <f>SUM(F23:K23)</f>
        <v>1000</v>
      </c>
      <c r="F23" s="565">
        <v>1000</v>
      </c>
      <c r="G23" s="565"/>
      <c r="H23" s="565"/>
      <c r="I23" s="565"/>
      <c r="J23" s="565"/>
      <c r="K23" s="565"/>
      <c r="L23" s="565"/>
      <c r="M23" s="402"/>
      <c r="N23" s="402">
        <v>2291.5</v>
      </c>
      <c r="O23" s="402"/>
      <c r="P23" s="402">
        <f t="shared" si="8"/>
        <v>1000</v>
      </c>
      <c r="Q23" s="402">
        <v>2000</v>
      </c>
      <c r="R23" s="402"/>
      <c r="S23" s="140" t="s">
        <v>233</v>
      </c>
      <c r="T23" s="475"/>
      <c r="U23" s="476">
        <f t="shared" si="2"/>
        <v>600</v>
      </c>
      <c r="V23" s="557">
        <f t="shared" si="3"/>
        <v>0</v>
      </c>
      <c r="W23" s="476">
        <f t="shared" si="4"/>
        <v>291.5</v>
      </c>
      <c r="X23" s="476"/>
    </row>
    <row r="24" spans="1:24" s="566" customFormat="1">
      <c r="A24" s="563" t="s">
        <v>375</v>
      </c>
      <c r="B24" s="139" t="s">
        <v>116</v>
      </c>
      <c r="C24" s="140" t="s">
        <v>36</v>
      </c>
      <c r="D24" s="564">
        <v>4500</v>
      </c>
      <c r="E24" s="565">
        <f>SUM(F24:K24)</f>
        <v>318.90600000000001</v>
      </c>
      <c r="F24" s="565">
        <v>400</v>
      </c>
      <c r="G24" s="565"/>
      <c r="H24" s="565"/>
      <c r="I24" s="565">
        <v>-81.093999999999994</v>
      </c>
      <c r="J24" s="565"/>
      <c r="K24" s="565"/>
      <c r="L24" s="565"/>
      <c r="M24" s="402"/>
      <c r="N24" s="402">
        <v>4331.5879999999997</v>
      </c>
      <c r="O24" s="402"/>
      <c r="P24" s="402">
        <f t="shared" si="8"/>
        <v>318.90600000000001</v>
      </c>
      <c r="Q24" s="402">
        <f>N24</f>
        <v>4331.5879999999997</v>
      </c>
      <c r="R24" s="402"/>
      <c r="S24" s="140" t="s">
        <v>233</v>
      </c>
      <c r="T24" s="475"/>
      <c r="U24" s="476">
        <f t="shared" si="2"/>
        <v>168.41200000000026</v>
      </c>
      <c r="V24" s="557">
        <f t="shared" si="3"/>
        <v>0</v>
      </c>
      <c r="W24" s="476">
        <f t="shared" si="4"/>
        <v>0</v>
      </c>
      <c r="X24" s="476"/>
    </row>
    <row r="25" spans="1:24" s="566" customFormat="1">
      <c r="A25" s="563" t="s">
        <v>375</v>
      </c>
      <c r="B25" s="139" t="s">
        <v>117</v>
      </c>
      <c r="C25" s="140" t="s">
        <v>118</v>
      </c>
      <c r="D25" s="564">
        <v>6000</v>
      </c>
      <c r="E25" s="565">
        <f>SUM(F25:K25)</f>
        <v>2800</v>
      </c>
      <c r="F25" s="565">
        <v>2800</v>
      </c>
      <c r="G25" s="565"/>
      <c r="H25" s="565"/>
      <c r="I25" s="565"/>
      <c r="J25" s="565"/>
      <c r="K25" s="565"/>
      <c r="L25" s="565"/>
      <c r="M25" s="402">
        <v>3434.5219999999999</v>
      </c>
      <c r="N25" s="402">
        <v>5822.4579999999996</v>
      </c>
      <c r="O25" s="402"/>
      <c r="P25" s="402">
        <f t="shared" si="8"/>
        <v>2800</v>
      </c>
      <c r="Q25" s="402">
        <v>5275.2950000000001</v>
      </c>
      <c r="R25" s="402">
        <f>N25-Q25</f>
        <v>547.16299999999956</v>
      </c>
      <c r="S25" s="140" t="s">
        <v>233</v>
      </c>
      <c r="T25" s="475"/>
      <c r="U25" s="476">
        <f t="shared" si="2"/>
        <v>724.70499999999993</v>
      </c>
      <c r="V25" s="557">
        <f t="shared" si="3"/>
        <v>0</v>
      </c>
      <c r="W25" s="476">
        <f>+N25-Q25</f>
        <v>547.16299999999956</v>
      </c>
      <c r="X25" s="476"/>
    </row>
    <row r="26" spans="1:24" s="566" customFormat="1">
      <c r="A26" s="563" t="s">
        <v>375</v>
      </c>
      <c r="B26" s="139" t="s">
        <v>119</v>
      </c>
      <c r="C26" s="140" t="s">
        <v>41</v>
      </c>
      <c r="D26" s="564">
        <v>1200</v>
      </c>
      <c r="E26" s="565">
        <f>SUM(F26:K26)</f>
        <v>118.78</v>
      </c>
      <c r="F26" s="565">
        <v>120</v>
      </c>
      <c r="G26" s="565"/>
      <c r="H26" s="565"/>
      <c r="I26" s="565">
        <v>-1.22</v>
      </c>
      <c r="J26" s="565"/>
      <c r="K26" s="565"/>
      <c r="L26" s="565"/>
      <c r="M26" s="402"/>
      <c r="N26" s="402">
        <v>1118.78</v>
      </c>
      <c r="O26" s="402"/>
      <c r="P26" s="402">
        <f t="shared" si="8"/>
        <v>118.78</v>
      </c>
      <c r="Q26" s="402">
        <f t="shared" ref="Q26:Q42" si="9">N26</f>
        <v>1118.78</v>
      </c>
      <c r="R26" s="402"/>
      <c r="S26" s="140" t="s">
        <v>233</v>
      </c>
      <c r="T26" s="475"/>
      <c r="U26" s="476">
        <f t="shared" si="2"/>
        <v>81.220000000000027</v>
      </c>
      <c r="V26" s="557">
        <f t="shared" si="3"/>
        <v>0</v>
      </c>
      <c r="W26" s="476">
        <f t="shared" si="4"/>
        <v>0</v>
      </c>
      <c r="X26" s="476"/>
    </row>
    <row r="27" spans="1:24" s="566" customFormat="1" ht="31.2">
      <c r="A27" s="563" t="s">
        <v>375</v>
      </c>
      <c r="B27" s="139" t="s">
        <v>120</v>
      </c>
      <c r="C27" s="140" t="s">
        <v>30</v>
      </c>
      <c r="D27" s="564">
        <v>5080</v>
      </c>
      <c r="E27" s="565">
        <f>SUM(F27:L27)</f>
        <v>68.50200000000001</v>
      </c>
      <c r="F27" s="565">
        <v>210</v>
      </c>
      <c r="G27" s="565"/>
      <c r="H27" s="565"/>
      <c r="I27" s="565"/>
      <c r="J27" s="565"/>
      <c r="K27" s="565"/>
      <c r="L27" s="565">
        <v>-141.49799999999999</v>
      </c>
      <c r="M27" s="402"/>
      <c r="N27" s="402">
        <v>4986.5969999999998</v>
      </c>
      <c r="O27" s="402"/>
      <c r="P27" s="402">
        <v>68.50200000000001</v>
      </c>
      <c r="Q27" s="402">
        <f t="shared" si="9"/>
        <v>4986.5969999999998</v>
      </c>
      <c r="R27" s="402"/>
      <c r="S27" s="140"/>
      <c r="T27" s="475"/>
      <c r="U27" s="476">
        <f t="shared" si="2"/>
        <v>93.403000000000247</v>
      </c>
      <c r="V27" s="557">
        <f t="shared" si="3"/>
        <v>0</v>
      </c>
      <c r="W27" s="476">
        <f t="shared" si="4"/>
        <v>0</v>
      </c>
      <c r="X27" s="476"/>
    </row>
    <row r="28" spans="1:24" s="566" customFormat="1">
      <c r="A28" s="563" t="s">
        <v>375</v>
      </c>
      <c r="B28" s="139" t="s">
        <v>216</v>
      </c>
      <c r="C28" s="140" t="s">
        <v>161</v>
      </c>
      <c r="D28" s="564">
        <v>2700</v>
      </c>
      <c r="E28" s="565">
        <f t="shared" ref="E28:E40" si="10">SUM(F28:K28)</f>
        <v>14.579000000000001</v>
      </c>
      <c r="F28" s="565"/>
      <c r="G28" s="565">
        <v>14.759</v>
      </c>
      <c r="H28" s="565"/>
      <c r="I28" s="565">
        <v>-0.18</v>
      </c>
      <c r="J28" s="565"/>
      <c r="K28" s="565"/>
      <c r="L28" s="565"/>
      <c r="M28" s="402"/>
      <c r="N28" s="402">
        <v>2535.1320000000001</v>
      </c>
      <c r="O28" s="402"/>
      <c r="P28" s="402">
        <f t="shared" ref="P28:P40" si="11">E28</f>
        <v>14.579000000000001</v>
      </c>
      <c r="Q28" s="402">
        <f>N28</f>
        <v>2535.1320000000001</v>
      </c>
      <c r="R28" s="402"/>
      <c r="S28" s="140" t="s">
        <v>233</v>
      </c>
      <c r="T28" s="475"/>
      <c r="U28" s="476">
        <f t="shared" si="2"/>
        <v>164.86799999999994</v>
      </c>
      <c r="V28" s="557">
        <f t="shared" si="3"/>
        <v>0</v>
      </c>
      <c r="W28" s="476">
        <f t="shared" si="4"/>
        <v>0</v>
      </c>
      <c r="X28" s="476"/>
    </row>
    <row r="29" spans="1:24" s="566" customFormat="1">
      <c r="A29" s="563" t="s">
        <v>375</v>
      </c>
      <c r="B29" s="139" t="s">
        <v>217</v>
      </c>
      <c r="C29" s="140" t="s">
        <v>40</v>
      </c>
      <c r="D29" s="564">
        <v>1750</v>
      </c>
      <c r="E29" s="565">
        <f t="shared" si="10"/>
        <v>9.0730000000000004</v>
      </c>
      <c r="F29" s="565"/>
      <c r="G29" s="565">
        <v>9.0730000000000004</v>
      </c>
      <c r="H29" s="565"/>
      <c r="I29" s="565"/>
      <c r="J29" s="565"/>
      <c r="K29" s="565"/>
      <c r="L29" s="565"/>
      <c r="M29" s="402"/>
      <c r="N29" s="402">
        <v>1543.874</v>
      </c>
      <c r="O29" s="402"/>
      <c r="P29" s="402">
        <f t="shared" si="11"/>
        <v>9.0730000000000004</v>
      </c>
      <c r="Q29" s="402">
        <f t="shared" ref="Q29:Q37" si="12">N29</f>
        <v>1543.874</v>
      </c>
      <c r="R29" s="402"/>
      <c r="S29" s="140" t="s">
        <v>233</v>
      </c>
      <c r="T29" s="475"/>
      <c r="U29" s="476">
        <f t="shared" si="2"/>
        <v>206.12599999999998</v>
      </c>
      <c r="V29" s="557">
        <f t="shared" si="3"/>
        <v>0</v>
      </c>
      <c r="W29" s="476">
        <f t="shared" si="4"/>
        <v>0</v>
      </c>
      <c r="X29" s="476"/>
    </row>
    <row r="30" spans="1:24" s="566" customFormat="1" ht="31.2">
      <c r="A30" s="563" t="s">
        <v>375</v>
      </c>
      <c r="B30" s="139" t="s">
        <v>218</v>
      </c>
      <c r="C30" s="140" t="s">
        <v>461</v>
      </c>
      <c r="D30" s="564">
        <v>5000</v>
      </c>
      <c r="E30" s="565">
        <f t="shared" si="10"/>
        <v>91.766999999999996</v>
      </c>
      <c r="F30" s="565"/>
      <c r="G30" s="565">
        <v>91.766999999999996</v>
      </c>
      <c r="H30" s="565"/>
      <c r="I30" s="565"/>
      <c r="J30" s="565"/>
      <c r="K30" s="565"/>
      <c r="L30" s="565"/>
      <c r="M30" s="402"/>
      <c r="N30" s="402">
        <v>4914.8599999999997</v>
      </c>
      <c r="O30" s="402"/>
      <c r="P30" s="402">
        <f t="shared" si="11"/>
        <v>91.766999999999996</v>
      </c>
      <c r="Q30" s="402">
        <f t="shared" si="12"/>
        <v>4914.8599999999997</v>
      </c>
      <c r="R30" s="402"/>
      <c r="S30" s="140" t="s">
        <v>233</v>
      </c>
      <c r="T30" s="475"/>
      <c r="U30" s="476">
        <f t="shared" si="2"/>
        <v>85.140000000000327</v>
      </c>
      <c r="V30" s="557">
        <f t="shared" si="3"/>
        <v>0</v>
      </c>
      <c r="W30" s="476">
        <f t="shared" si="4"/>
        <v>0</v>
      </c>
      <c r="X30" s="476"/>
    </row>
    <row r="31" spans="1:24" s="566" customFormat="1">
      <c r="A31" s="563" t="s">
        <v>375</v>
      </c>
      <c r="B31" s="139" t="s">
        <v>219</v>
      </c>
      <c r="C31" s="140" t="s">
        <v>40</v>
      </c>
      <c r="D31" s="564">
        <v>2800</v>
      </c>
      <c r="E31" s="565">
        <f t="shared" si="10"/>
        <v>63.707000000000001</v>
      </c>
      <c r="F31" s="565"/>
      <c r="G31" s="565">
        <v>63.707000000000001</v>
      </c>
      <c r="H31" s="565"/>
      <c r="I31" s="565"/>
      <c r="J31" s="565"/>
      <c r="K31" s="565"/>
      <c r="L31" s="565"/>
      <c r="M31" s="402"/>
      <c r="N31" s="402">
        <v>2459.3130000000001</v>
      </c>
      <c r="O31" s="402"/>
      <c r="P31" s="402">
        <f t="shared" si="11"/>
        <v>63.707000000000001</v>
      </c>
      <c r="Q31" s="402">
        <f t="shared" si="12"/>
        <v>2459.3130000000001</v>
      </c>
      <c r="R31" s="402"/>
      <c r="S31" s="140" t="s">
        <v>233</v>
      </c>
      <c r="T31" s="475"/>
      <c r="U31" s="476">
        <f t="shared" si="2"/>
        <v>340.6869999999999</v>
      </c>
      <c r="V31" s="557">
        <f t="shared" si="3"/>
        <v>0</v>
      </c>
      <c r="W31" s="476">
        <f t="shared" si="4"/>
        <v>0</v>
      </c>
      <c r="X31" s="476"/>
    </row>
    <row r="32" spans="1:24" s="566" customFormat="1">
      <c r="A32" s="563" t="s">
        <v>375</v>
      </c>
      <c r="B32" s="139" t="s">
        <v>220</v>
      </c>
      <c r="C32" s="140" t="s">
        <v>161</v>
      </c>
      <c r="D32" s="564">
        <v>2700</v>
      </c>
      <c r="E32" s="565">
        <f t="shared" si="10"/>
        <v>16.626000000000001</v>
      </c>
      <c r="F32" s="565"/>
      <c r="G32" s="565">
        <v>16.626000000000001</v>
      </c>
      <c r="H32" s="565"/>
      <c r="I32" s="565"/>
      <c r="J32" s="565"/>
      <c r="K32" s="565"/>
      <c r="L32" s="565"/>
      <c r="M32" s="402"/>
      <c r="N32" s="402">
        <v>2424.5819999999999</v>
      </c>
      <c r="O32" s="402"/>
      <c r="P32" s="402">
        <f t="shared" si="11"/>
        <v>16.626000000000001</v>
      </c>
      <c r="Q32" s="402">
        <f t="shared" si="12"/>
        <v>2424.5819999999999</v>
      </c>
      <c r="R32" s="402"/>
      <c r="S32" s="140" t="s">
        <v>233</v>
      </c>
      <c r="T32" s="475"/>
      <c r="U32" s="476">
        <f t="shared" si="2"/>
        <v>275.41800000000012</v>
      </c>
      <c r="V32" s="557">
        <f t="shared" si="3"/>
        <v>0</v>
      </c>
      <c r="W32" s="476">
        <f t="shared" si="4"/>
        <v>0</v>
      </c>
      <c r="X32" s="476"/>
    </row>
    <row r="33" spans="1:24" s="566" customFormat="1" ht="31.2">
      <c r="A33" s="563" t="s">
        <v>375</v>
      </c>
      <c r="B33" s="139" t="s">
        <v>460</v>
      </c>
      <c r="C33" s="140" t="s">
        <v>38</v>
      </c>
      <c r="D33" s="564">
        <v>2800</v>
      </c>
      <c r="E33" s="565">
        <f t="shared" si="10"/>
        <v>84.075999999999993</v>
      </c>
      <c r="F33" s="565"/>
      <c r="G33" s="565">
        <v>84.075999999999993</v>
      </c>
      <c r="H33" s="565"/>
      <c r="I33" s="565"/>
      <c r="J33" s="565"/>
      <c r="K33" s="565"/>
      <c r="L33" s="565"/>
      <c r="M33" s="402"/>
      <c r="N33" s="402">
        <v>2664.317</v>
      </c>
      <c r="O33" s="402"/>
      <c r="P33" s="402">
        <f t="shared" si="11"/>
        <v>84.075999999999993</v>
      </c>
      <c r="Q33" s="402">
        <f t="shared" si="12"/>
        <v>2664.317</v>
      </c>
      <c r="R33" s="402"/>
      <c r="S33" s="140" t="s">
        <v>233</v>
      </c>
      <c r="T33" s="475"/>
      <c r="U33" s="476">
        <f t="shared" si="2"/>
        <v>135.68299999999999</v>
      </c>
      <c r="V33" s="557">
        <f t="shared" si="3"/>
        <v>0</v>
      </c>
      <c r="W33" s="476">
        <f t="shared" si="4"/>
        <v>0</v>
      </c>
      <c r="X33" s="476"/>
    </row>
    <row r="34" spans="1:24" s="566" customFormat="1">
      <c r="A34" s="563" t="s">
        <v>375</v>
      </c>
      <c r="B34" s="139" t="s">
        <v>222</v>
      </c>
      <c r="C34" s="140" t="s">
        <v>41</v>
      </c>
      <c r="D34" s="564">
        <v>2500</v>
      </c>
      <c r="E34" s="565">
        <f t="shared" si="10"/>
        <v>66.519000000000005</v>
      </c>
      <c r="F34" s="565"/>
      <c r="G34" s="565">
        <v>66.519000000000005</v>
      </c>
      <c r="H34" s="565"/>
      <c r="I34" s="565"/>
      <c r="J34" s="565"/>
      <c r="K34" s="565"/>
      <c r="L34" s="565"/>
      <c r="M34" s="402"/>
      <c r="N34" s="402">
        <v>2322.7130000000002</v>
      </c>
      <c r="O34" s="402"/>
      <c r="P34" s="402">
        <f t="shared" si="11"/>
        <v>66.519000000000005</v>
      </c>
      <c r="Q34" s="402">
        <f t="shared" si="12"/>
        <v>2322.7130000000002</v>
      </c>
      <c r="R34" s="402"/>
      <c r="S34" s="140" t="s">
        <v>233</v>
      </c>
      <c r="T34" s="475"/>
      <c r="U34" s="476">
        <f t="shared" si="2"/>
        <v>177.28699999999981</v>
      </c>
      <c r="V34" s="557">
        <f t="shared" si="3"/>
        <v>0</v>
      </c>
      <c r="W34" s="476">
        <f t="shared" si="4"/>
        <v>0</v>
      </c>
      <c r="X34" s="476"/>
    </row>
    <row r="35" spans="1:24" s="566" customFormat="1" hidden="1">
      <c r="A35" s="563" t="s">
        <v>375</v>
      </c>
      <c r="B35" s="139" t="s">
        <v>223</v>
      </c>
      <c r="C35" s="140"/>
      <c r="D35" s="564"/>
      <c r="E35" s="565">
        <f t="shared" si="10"/>
        <v>0</v>
      </c>
      <c r="F35" s="565"/>
      <c r="G35" s="565">
        <v>11.436999999999999</v>
      </c>
      <c r="H35" s="565"/>
      <c r="I35" s="565">
        <v>-11.436999999999999</v>
      </c>
      <c r="J35" s="565"/>
      <c r="K35" s="565"/>
      <c r="L35" s="565"/>
      <c r="M35" s="402"/>
      <c r="N35" s="402"/>
      <c r="O35" s="402"/>
      <c r="P35" s="402">
        <f t="shared" si="11"/>
        <v>0</v>
      </c>
      <c r="Q35" s="402"/>
      <c r="R35" s="402"/>
      <c r="S35" s="140"/>
      <c r="T35" s="475"/>
      <c r="U35" s="476">
        <f t="shared" si="2"/>
        <v>0</v>
      </c>
      <c r="V35" s="557">
        <f t="shared" si="3"/>
        <v>0</v>
      </c>
      <c r="W35" s="476">
        <f t="shared" si="4"/>
        <v>0</v>
      </c>
      <c r="X35" s="476"/>
    </row>
    <row r="36" spans="1:24" s="566" customFormat="1">
      <c r="A36" s="563" t="s">
        <v>375</v>
      </c>
      <c r="B36" s="139" t="s">
        <v>462</v>
      </c>
      <c r="C36" s="140" t="s">
        <v>104</v>
      </c>
      <c r="D36" s="564">
        <v>1730</v>
      </c>
      <c r="E36" s="568">
        <f t="shared" si="10"/>
        <v>0.04</v>
      </c>
      <c r="F36" s="565"/>
      <c r="G36" s="568">
        <f>40000/1000000</f>
        <v>0.04</v>
      </c>
      <c r="H36" s="565"/>
      <c r="I36" s="565"/>
      <c r="J36" s="565"/>
      <c r="K36" s="565"/>
      <c r="L36" s="565"/>
      <c r="M36" s="402"/>
      <c r="N36" s="402">
        <v>1654.0419999999999</v>
      </c>
      <c r="O36" s="402"/>
      <c r="P36" s="569">
        <f t="shared" si="11"/>
        <v>0.04</v>
      </c>
      <c r="Q36" s="402">
        <f t="shared" si="12"/>
        <v>1654.0419999999999</v>
      </c>
      <c r="R36" s="402"/>
      <c r="S36" s="140" t="s">
        <v>233</v>
      </c>
      <c r="T36" s="475"/>
      <c r="U36" s="476">
        <f t="shared" si="2"/>
        <v>75.958000000000084</v>
      </c>
      <c r="V36" s="557">
        <f t="shared" si="3"/>
        <v>0</v>
      </c>
      <c r="W36" s="476">
        <f t="shared" si="4"/>
        <v>0</v>
      </c>
      <c r="X36" s="476"/>
    </row>
    <row r="37" spans="1:24" s="566" customFormat="1">
      <c r="A37" s="563" t="s">
        <v>375</v>
      </c>
      <c r="B37" s="139" t="s">
        <v>225</v>
      </c>
      <c r="C37" s="140" t="s">
        <v>42</v>
      </c>
      <c r="D37" s="564">
        <v>5000</v>
      </c>
      <c r="E37" s="565">
        <f t="shared" si="10"/>
        <v>244.36099999999999</v>
      </c>
      <c r="F37" s="565"/>
      <c r="G37" s="565">
        <v>244.36099999999999</v>
      </c>
      <c r="H37" s="565"/>
      <c r="I37" s="565"/>
      <c r="J37" s="565"/>
      <c r="K37" s="565"/>
      <c r="L37" s="565"/>
      <c r="M37" s="402"/>
      <c r="N37" s="402">
        <v>4811.893</v>
      </c>
      <c r="O37" s="402"/>
      <c r="P37" s="402">
        <f t="shared" si="11"/>
        <v>244.36099999999999</v>
      </c>
      <c r="Q37" s="402">
        <f t="shared" si="12"/>
        <v>4811.893</v>
      </c>
      <c r="R37" s="402"/>
      <c r="S37" s="140" t="s">
        <v>233</v>
      </c>
      <c r="T37" s="475"/>
      <c r="U37" s="476">
        <f t="shared" si="2"/>
        <v>188.10699999999997</v>
      </c>
      <c r="V37" s="557">
        <f t="shared" si="3"/>
        <v>0</v>
      </c>
      <c r="W37" s="476">
        <f t="shared" si="4"/>
        <v>0</v>
      </c>
      <c r="X37" s="476"/>
    </row>
    <row r="38" spans="1:24" s="566" customFormat="1">
      <c r="A38" s="563" t="s">
        <v>375</v>
      </c>
      <c r="B38" s="139" t="s">
        <v>440</v>
      </c>
      <c r="C38" s="140" t="s">
        <v>355</v>
      </c>
      <c r="D38" s="564">
        <v>800</v>
      </c>
      <c r="E38" s="565">
        <f t="shared" si="10"/>
        <v>222.63399999999999</v>
      </c>
      <c r="F38" s="565"/>
      <c r="G38" s="565"/>
      <c r="H38" s="565"/>
      <c r="I38" s="565"/>
      <c r="J38" s="565"/>
      <c r="K38" s="565">
        <v>222.63399999999999</v>
      </c>
      <c r="L38" s="565"/>
      <c r="M38" s="402"/>
      <c r="N38" s="402">
        <v>722.63400000000001</v>
      </c>
      <c r="O38" s="402"/>
      <c r="P38" s="402">
        <f t="shared" si="11"/>
        <v>222.63399999999999</v>
      </c>
      <c r="Q38" s="402">
        <f t="shared" si="9"/>
        <v>722.63400000000001</v>
      </c>
      <c r="R38" s="402"/>
      <c r="S38" s="140" t="s">
        <v>233</v>
      </c>
      <c r="T38" s="475"/>
      <c r="U38" s="476">
        <f t="shared" si="2"/>
        <v>77.365999999999985</v>
      </c>
      <c r="V38" s="557">
        <f t="shared" si="3"/>
        <v>0</v>
      </c>
      <c r="W38" s="476">
        <f t="shared" si="4"/>
        <v>0</v>
      </c>
      <c r="X38" s="476"/>
    </row>
    <row r="39" spans="1:24" s="566" customFormat="1" ht="31.2">
      <c r="A39" s="563" t="s">
        <v>375</v>
      </c>
      <c r="B39" s="139" t="s">
        <v>441</v>
      </c>
      <c r="C39" s="140" t="s">
        <v>355</v>
      </c>
      <c r="D39" s="564">
        <v>1050</v>
      </c>
      <c r="E39" s="565">
        <f t="shared" si="10"/>
        <v>294.49599999999998</v>
      </c>
      <c r="F39" s="565"/>
      <c r="G39" s="565"/>
      <c r="H39" s="565"/>
      <c r="I39" s="565"/>
      <c r="J39" s="565"/>
      <c r="K39" s="565">
        <v>294.49599999999998</v>
      </c>
      <c r="L39" s="567"/>
      <c r="M39" s="402"/>
      <c r="N39" s="402">
        <v>994.49599999999998</v>
      </c>
      <c r="O39" s="402"/>
      <c r="P39" s="402">
        <f t="shared" si="11"/>
        <v>294.49599999999998</v>
      </c>
      <c r="Q39" s="402">
        <f t="shared" si="9"/>
        <v>994.49599999999998</v>
      </c>
      <c r="R39" s="402"/>
      <c r="S39" s="140" t="s">
        <v>233</v>
      </c>
      <c r="T39" s="475"/>
      <c r="U39" s="476">
        <f t="shared" si="2"/>
        <v>55.504000000000019</v>
      </c>
      <c r="V39" s="557">
        <f t="shared" si="3"/>
        <v>0</v>
      </c>
      <c r="W39" s="476">
        <f t="shared" si="4"/>
        <v>0</v>
      </c>
      <c r="X39" s="476"/>
    </row>
    <row r="40" spans="1:24" s="566" customFormat="1" ht="31.2">
      <c r="A40" s="563" t="s">
        <v>375</v>
      </c>
      <c r="B40" s="139" t="s">
        <v>442</v>
      </c>
      <c r="C40" s="140" t="s">
        <v>355</v>
      </c>
      <c r="D40" s="564">
        <v>160</v>
      </c>
      <c r="E40" s="565">
        <f t="shared" si="10"/>
        <v>7.0359999999999996</v>
      </c>
      <c r="F40" s="565"/>
      <c r="G40" s="565"/>
      <c r="H40" s="565"/>
      <c r="I40" s="565"/>
      <c r="J40" s="565"/>
      <c r="K40" s="565">
        <v>7.0359999999999996</v>
      </c>
      <c r="L40" s="565"/>
      <c r="M40" s="402"/>
      <c r="N40" s="402">
        <v>148.22200000000001</v>
      </c>
      <c r="O40" s="402"/>
      <c r="P40" s="402">
        <f t="shared" si="11"/>
        <v>7.0359999999999996</v>
      </c>
      <c r="Q40" s="402">
        <f t="shared" si="9"/>
        <v>148.22200000000001</v>
      </c>
      <c r="R40" s="402"/>
      <c r="S40" s="140" t="s">
        <v>233</v>
      </c>
      <c r="T40" s="475"/>
      <c r="U40" s="476">
        <f t="shared" si="2"/>
        <v>11.777999999999992</v>
      </c>
      <c r="V40" s="557">
        <f t="shared" si="3"/>
        <v>0</v>
      </c>
      <c r="W40" s="476">
        <f t="shared" si="4"/>
        <v>0</v>
      </c>
      <c r="X40" s="476"/>
    </row>
    <row r="41" spans="1:24" s="566" customFormat="1" ht="57" customHeight="1">
      <c r="A41" s="563" t="s">
        <v>375</v>
      </c>
      <c r="B41" s="139" t="s">
        <v>443</v>
      </c>
      <c r="C41" s="140" t="s">
        <v>36</v>
      </c>
      <c r="D41" s="564">
        <v>680</v>
      </c>
      <c r="E41" s="565">
        <f>SUM(F41:L41)</f>
        <v>30.018000000000001</v>
      </c>
      <c r="F41" s="565"/>
      <c r="G41" s="565"/>
      <c r="H41" s="565"/>
      <c r="I41" s="565"/>
      <c r="J41" s="565"/>
      <c r="K41" s="565">
        <v>31.994</v>
      </c>
      <c r="L41" s="567">
        <v>-1.976</v>
      </c>
      <c r="M41" s="402"/>
      <c r="N41" s="402">
        <v>602.18600000000004</v>
      </c>
      <c r="O41" s="402"/>
      <c r="P41" s="402">
        <v>30.018000000000001</v>
      </c>
      <c r="Q41" s="402">
        <f t="shared" si="9"/>
        <v>602.18600000000004</v>
      </c>
      <c r="R41" s="402"/>
      <c r="S41" s="140" t="s">
        <v>233</v>
      </c>
      <c r="T41" s="475"/>
      <c r="U41" s="476">
        <f t="shared" si="2"/>
        <v>77.813999999999965</v>
      </c>
      <c r="V41" s="557">
        <f t="shared" si="3"/>
        <v>0</v>
      </c>
      <c r="W41" s="476">
        <f t="shared" si="4"/>
        <v>0</v>
      </c>
      <c r="X41" s="476"/>
    </row>
    <row r="42" spans="1:24" s="566" customFormat="1" ht="46.8">
      <c r="A42" s="563" t="s">
        <v>375</v>
      </c>
      <c r="B42" s="139" t="s">
        <v>444</v>
      </c>
      <c r="C42" s="140" t="s">
        <v>445</v>
      </c>
      <c r="D42" s="564">
        <v>2500</v>
      </c>
      <c r="E42" s="565">
        <f>SUM(F42:K42)</f>
        <v>272.36799999999999</v>
      </c>
      <c r="F42" s="565"/>
      <c r="G42" s="565"/>
      <c r="H42" s="565"/>
      <c r="I42" s="565"/>
      <c r="J42" s="565"/>
      <c r="K42" s="565">
        <v>272.36799999999999</v>
      </c>
      <c r="L42" s="565"/>
      <c r="M42" s="402"/>
      <c r="N42" s="402">
        <v>2272.4</v>
      </c>
      <c r="O42" s="402"/>
      <c r="P42" s="402">
        <v>89.679000000000002</v>
      </c>
      <c r="Q42" s="402">
        <f t="shared" si="9"/>
        <v>2272.4</v>
      </c>
      <c r="R42" s="402"/>
      <c r="S42" s="140" t="s">
        <v>233</v>
      </c>
      <c r="T42" s="475"/>
      <c r="U42" s="476">
        <f t="shared" si="2"/>
        <v>227.59999999999991</v>
      </c>
      <c r="V42" s="557">
        <f t="shared" si="3"/>
        <v>182.68899999999999</v>
      </c>
      <c r="W42" s="476">
        <f t="shared" si="4"/>
        <v>0</v>
      </c>
      <c r="X42" s="476"/>
    </row>
    <row r="43" spans="1:24" s="347" customFormat="1">
      <c r="A43" s="570" t="s">
        <v>46</v>
      </c>
      <c r="B43" s="571" t="s">
        <v>66</v>
      </c>
      <c r="C43" s="571"/>
      <c r="D43" s="558">
        <f>D44</f>
        <v>11460</v>
      </c>
      <c r="E43" s="558">
        <f t="shared" ref="E43:R43" si="13">E44</f>
        <v>9035.8019999999997</v>
      </c>
      <c r="F43" s="558">
        <f t="shared" si="13"/>
        <v>9300</v>
      </c>
      <c r="G43" s="558">
        <f t="shared" si="13"/>
        <v>0</v>
      </c>
      <c r="H43" s="558">
        <f t="shared" si="13"/>
        <v>0</v>
      </c>
      <c r="I43" s="558">
        <f t="shared" si="13"/>
        <v>-152.667</v>
      </c>
      <c r="J43" s="558">
        <f t="shared" si="13"/>
        <v>0</v>
      </c>
      <c r="K43" s="558">
        <f t="shared" si="13"/>
        <v>0</v>
      </c>
      <c r="L43" s="558">
        <f t="shared" si="13"/>
        <v>-111.53100000000001</v>
      </c>
      <c r="M43" s="350">
        <f t="shared" si="13"/>
        <v>10083.552</v>
      </c>
      <c r="N43" s="350">
        <f t="shared" si="13"/>
        <v>11089.491</v>
      </c>
      <c r="O43" s="350">
        <f t="shared" si="13"/>
        <v>0</v>
      </c>
      <c r="P43" s="350">
        <f t="shared" si="13"/>
        <v>8994.8019999999997</v>
      </c>
      <c r="Q43" s="350">
        <f t="shared" si="13"/>
        <v>8994.8019999999997</v>
      </c>
      <c r="R43" s="350">
        <f t="shared" si="13"/>
        <v>1965</v>
      </c>
      <c r="S43" s="562"/>
      <c r="T43" s="475" t="e">
        <f>+#REF!-O43</f>
        <v>#REF!</v>
      </c>
      <c r="U43" s="476">
        <f t="shared" si="2"/>
        <v>2465.1980000000003</v>
      </c>
      <c r="V43" s="557">
        <f t="shared" si="3"/>
        <v>41</v>
      </c>
      <c r="W43" s="476">
        <f t="shared" si="4"/>
        <v>2094.6890000000003</v>
      </c>
      <c r="X43" s="476"/>
    </row>
    <row r="44" spans="1:24" s="347" customFormat="1">
      <c r="A44" s="572" t="s">
        <v>28</v>
      </c>
      <c r="B44" s="398" t="s">
        <v>121</v>
      </c>
      <c r="C44" s="571"/>
      <c r="D44" s="558">
        <f>SUM(D45:D50)</f>
        <v>11460</v>
      </c>
      <c r="E44" s="558">
        <f t="shared" ref="E44:R44" si="14">SUM(E45:E50)</f>
        <v>9035.8019999999997</v>
      </c>
      <c r="F44" s="558">
        <f t="shared" si="14"/>
        <v>9300</v>
      </c>
      <c r="G44" s="558">
        <f t="shared" si="14"/>
        <v>0</v>
      </c>
      <c r="H44" s="558">
        <f t="shared" si="14"/>
        <v>0</v>
      </c>
      <c r="I44" s="558">
        <f t="shared" si="14"/>
        <v>-152.667</v>
      </c>
      <c r="J44" s="558">
        <f t="shared" si="14"/>
        <v>0</v>
      </c>
      <c r="K44" s="558">
        <f t="shared" si="14"/>
        <v>0</v>
      </c>
      <c r="L44" s="558">
        <f t="shared" si="14"/>
        <v>-111.53100000000001</v>
      </c>
      <c r="M44" s="350">
        <f t="shared" si="14"/>
        <v>10083.552</v>
      </c>
      <c r="N44" s="350">
        <f t="shared" si="14"/>
        <v>11089.491</v>
      </c>
      <c r="O44" s="350">
        <f t="shared" si="14"/>
        <v>0</v>
      </c>
      <c r="P44" s="350">
        <f t="shared" si="14"/>
        <v>8994.8019999999997</v>
      </c>
      <c r="Q44" s="350">
        <f t="shared" si="14"/>
        <v>8994.8019999999997</v>
      </c>
      <c r="R44" s="350">
        <f t="shared" si="14"/>
        <v>1965</v>
      </c>
      <c r="S44" s="562"/>
      <c r="T44" s="475" t="e">
        <f>+#REF!-O44</f>
        <v>#REF!</v>
      </c>
      <c r="U44" s="476">
        <f t="shared" si="2"/>
        <v>2465.1980000000003</v>
      </c>
      <c r="V44" s="557">
        <f t="shared" si="3"/>
        <v>41</v>
      </c>
      <c r="W44" s="476">
        <f t="shared" si="4"/>
        <v>2094.6890000000003</v>
      </c>
      <c r="X44" s="476"/>
    </row>
    <row r="45" spans="1:24" ht="31.2">
      <c r="A45" s="573" t="s">
        <v>375</v>
      </c>
      <c r="B45" s="574" t="s">
        <v>122</v>
      </c>
      <c r="C45" s="140" t="s">
        <v>434</v>
      </c>
      <c r="D45" s="565">
        <v>1050</v>
      </c>
      <c r="E45" s="565">
        <f>SUM(F45:L45)</f>
        <v>1009</v>
      </c>
      <c r="F45" s="565">
        <v>1200</v>
      </c>
      <c r="G45" s="565"/>
      <c r="H45" s="565"/>
      <c r="I45" s="565">
        <v>-150</v>
      </c>
      <c r="J45" s="565"/>
      <c r="K45" s="565"/>
      <c r="L45" s="565">
        <v>-41</v>
      </c>
      <c r="M45" s="402">
        <f>884.5</f>
        <v>884.5</v>
      </c>
      <c r="N45" s="402">
        <v>1008.979</v>
      </c>
      <c r="O45" s="402"/>
      <c r="P45" s="402">
        <f>E45-41</f>
        <v>968</v>
      </c>
      <c r="Q45" s="402">
        <f t="shared" ref="Q45:Q50" si="15">P45</f>
        <v>968</v>
      </c>
      <c r="R45" s="402"/>
      <c r="S45" s="140"/>
      <c r="T45" s="475" t="e">
        <f>+#REF!-O45</f>
        <v>#REF!</v>
      </c>
      <c r="U45" s="476">
        <f t="shared" si="2"/>
        <v>82</v>
      </c>
      <c r="V45" s="557">
        <f t="shared" si="3"/>
        <v>41</v>
      </c>
      <c r="W45" s="476">
        <f t="shared" si="4"/>
        <v>40.979000000000042</v>
      </c>
      <c r="X45" s="476"/>
    </row>
    <row r="46" spans="1:24">
      <c r="A46" s="573" t="s">
        <v>375</v>
      </c>
      <c r="B46" s="575" t="s">
        <v>123</v>
      </c>
      <c r="C46" s="140" t="s">
        <v>128</v>
      </c>
      <c r="D46" s="565">
        <v>1500</v>
      </c>
      <c r="E46" s="565">
        <f>SUM(F46:K46)</f>
        <v>1200</v>
      </c>
      <c r="F46" s="565">
        <v>1200</v>
      </c>
      <c r="G46" s="565"/>
      <c r="H46" s="565"/>
      <c r="I46" s="565"/>
      <c r="J46" s="565"/>
      <c r="K46" s="565"/>
      <c r="L46" s="565"/>
      <c r="M46" s="402">
        <v>1167.3</v>
      </c>
      <c r="N46" s="402">
        <v>1351.39</v>
      </c>
      <c r="O46" s="402"/>
      <c r="P46" s="402">
        <f>E46</f>
        <v>1200</v>
      </c>
      <c r="Q46" s="402">
        <f t="shared" si="15"/>
        <v>1200</v>
      </c>
      <c r="R46" s="402">
        <v>155</v>
      </c>
      <c r="S46" s="140"/>
      <c r="T46" s="475" t="e">
        <f>+#REF!-O46</f>
        <v>#REF!</v>
      </c>
      <c r="U46" s="476">
        <f t="shared" si="2"/>
        <v>300</v>
      </c>
      <c r="V46" s="557">
        <f t="shared" si="3"/>
        <v>0</v>
      </c>
      <c r="W46" s="476">
        <f t="shared" si="4"/>
        <v>151.3900000000001</v>
      </c>
      <c r="X46" s="476"/>
    </row>
    <row r="47" spans="1:24" ht="31.2">
      <c r="A47" s="573" t="s">
        <v>375</v>
      </c>
      <c r="B47" s="575" t="s">
        <v>124</v>
      </c>
      <c r="C47" s="140" t="s">
        <v>104</v>
      </c>
      <c r="D47" s="565">
        <v>1500</v>
      </c>
      <c r="E47" s="565">
        <f>SUM(F47:K47)</f>
        <v>1000</v>
      </c>
      <c r="F47" s="565">
        <v>1000</v>
      </c>
      <c r="G47" s="565"/>
      <c r="H47" s="565"/>
      <c r="I47" s="565"/>
      <c r="J47" s="565"/>
      <c r="K47" s="565"/>
      <c r="L47" s="565"/>
      <c r="M47" s="402">
        <v>1199.3</v>
      </c>
      <c r="N47" s="402">
        <v>1410</v>
      </c>
      <c r="O47" s="402"/>
      <c r="P47" s="402">
        <f>E47</f>
        <v>1000</v>
      </c>
      <c r="Q47" s="402">
        <f t="shared" si="15"/>
        <v>1000</v>
      </c>
      <c r="R47" s="402">
        <v>410</v>
      </c>
      <c r="S47" s="140"/>
      <c r="T47" s="475" t="e">
        <f>+#REF!-O47</f>
        <v>#REF!</v>
      </c>
      <c r="U47" s="476">
        <f t="shared" si="2"/>
        <v>500</v>
      </c>
      <c r="V47" s="557">
        <f t="shared" si="3"/>
        <v>0</v>
      </c>
      <c r="W47" s="476">
        <f t="shared" si="4"/>
        <v>410</v>
      </c>
      <c r="X47" s="476"/>
    </row>
    <row r="48" spans="1:24" ht="46.8">
      <c r="A48" s="573" t="s">
        <v>375</v>
      </c>
      <c r="B48" s="574" t="s">
        <v>125</v>
      </c>
      <c r="C48" s="140" t="s">
        <v>30</v>
      </c>
      <c r="D48" s="565">
        <v>110</v>
      </c>
      <c r="E48" s="565">
        <f>SUM(F48:L48)</f>
        <v>97.316999999999993</v>
      </c>
      <c r="F48" s="565">
        <v>100</v>
      </c>
      <c r="G48" s="565"/>
      <c r="H48" s="565"/>
      <c r="I48" s="565">
        <v>-2.6669999999999998</v>
      </c>
      <c r="J48" s="565"/>
      <c r="K48" s="565"/>
      <c r="L48" s="567">
        <v>-1.6E-2</v>
      </c>
      <c r="M48" s="402">
        <v>91.798000000000002</v>
      </c>
      <c r="N48" s="402">
        <v>97.316999999999993</v>
      </c>
      <c r="O48" s="402"/>
      <c r="P48" s="402">
        <f>N48</f>
        <v>97.316999999999993</v>
      </c>
      <c r="Q48" s="402">
        <f t="shared" si="15"/>
        <v>97.316999999999993</v>
      </c>
      <c r="R48" s="402"/>
      <c r="S48" s="140" t="s">
        <v>233</v>
      </c>
      <c r="T48" s="475" t="e">
        <f>+#REF!-O48</f>
        <v>#REF!</v>
      </c>
      <c r="U48" s="476">
        <f t="shared" si="2"/>
        <v>12.683000000000007</v>
      </c>
      <c r="V48" s="557">
        <f t="shared" si="3"/>
        <v>0</v>
      </c>
      <c r="W48" s="476">
        <f t="shared" si="4"/>
        <v>0</v>
      </c>
      <c r="X48" s="476"/>
    </row>
    <row r="49" spans="1:24" ht="31.2">
      <c r="A49" s="573" t="s">
        <v>375</v>
      </c>
      <c r="B49" s="574" t="s">
        <v>126</v>
      </c>
      <c r="C49" s="140" t="s">
        <v>434</v>
      </c>
      <c r="D49" s="565">
        <v>5500</v>
      </c>
      <c r="E49" s="565">
        <f>SUM(F49:K49)</f>
        <v>4000</v>
      </c>
      <c r="F49" s="565">
        <v>4000</v>
      </c>
      <c r="G49" s="565"/>
      <c r="H49" s="565"/>
      <c r="I49" s="565"/>
      <c r="J49" s="565"/>
      <c r="K49" s="565"/>
      <c r="L49" s="565"/>
      <c r="M49" s="402">
        <v>5141.6660000000002</v>
      </c>
      <c r="N49" s="402">
        <v>5492.3050000000003</v>
      </c>
      <c r="O49" s="402"/>
      <c r="P49" s="402">
        <f>E49</f>
        <v>4000</v>
      </c>
      <c r="Q49" s="402">
        <f t="shared" si="15"/>
        <v>4000</v>
      </c>
      <c r="R49" s="402">
        <v>1400</v>
      </c>
      <c r="S49" s="140"/>
      <c r="T49" s="475" t="e">
        <f>+#REF!-O49</f>
        <v>#REF!</v>
      </c>
      <c r="U49" s="476">
        <f t="shared" si="2"/>
        <v>1500</v>
      </c>
      <c r="V49" s="557">
        <f t="shared" si="3"/>
        <v>0</v>
      </c>
      <c r="W49" s="476">
        <f t="shared" si="4"/>
        <v>1492.3050000000003</v>
      </c>
      <c r="X49" s="476"/>
    </row>
    <row r="50" spans="1:24">
      <c r="A50" s="573" t="s">
        <v>375</v>
      </c>
      <c r="B50" s="574" t="s">
        <v>127</v>
      </c>
      <c r="C50" s="576" t="s">
        <v>128</v>
      </c>
      <c r="D50" s="565">
        <v>1800</v>
      </c>
      <c r="E50" s="565">
        <f>SUM(F50:L50)</f>
        <v>1729.4849999999999</v>
      </c>
      <c r="F50" s="565">
        <v>1800</v>
      </c>
      <c r="G50" s="565"/>
      <c r="H50" s="565"/>
      <c r="I50" s="565"/>
      <c r="J50" s="565"/>
      <c r="K50" s="565"/>
      <c r="L50" s="565">
        <v>-70.515000000000001</v>
      </c>
      <c r="M50" s="402">
        <v>1598.9880000000001</v>
      </c>
      <c r="N50" s="402">
        <v>1729.5</v>
      </c>
      <c r="O50" s="402"/>
      <c r="P50" s="402">
        <v>1729.4849999999999</v>
      </c>
      <c r="Q50" s="402">
        <f t="shared" si="15"/>
        <v>1729.4849999999999</v>
      </c>
      <c r="R50" s="402"/>
      <c r="S50" s="140"/>
      <c r="T50" s="475" t="e">
        <f>+#REF!-O50</f>
        <v>#REF!</v>
      </c>
      <c r="U50" s="476">
        <f t="shared" si="2"/>
        <v>70.5150000000001</v>
      </c>
      <c r="V50" s="557">
        <f t="shared" si="3"/>
        <v>0</v>
      </c>
      <c r="W50" s="476">
        <f t="shared" si="4"/>
        <v>1.5000000000100044E-2</v>
      </c>
      <c r="X50" s="476"/>
    </row>
    <row r="51" spans="1:24">
      <c r="A51" s="406" t="s">
        <v>129</v>
      </c>
      <c r="B51" s="407" t="s">
        <v>130</v>
      </c>
      <c r="C51" s="407"/>
      <c r="D51" s="558">
        <f>D52+D68</f>
        <v>57300</v>
      </c>
      <c r="E51" s="558">
        <f t="shared" ref="E51:S51" si="16">E52+E68</f>
        <v>12275.417000000001</v>
      </c>
      <c r="F51" s="558">
        <f t="shared" si="16"/>
        <v>7300</v>
      </c>
      <c r="G51" s="558">
        <f t="shared" si="16"/>
        <v>93.867999999999995</v>
      </c>
      <c r="H51" s="558">
        <f t="shared" si="16"/>
        <v>0</v>
      </c>
      <c r="I51" s="558">
        <f t="shared" si="16"/>
        <v>-27.748999999999999</v>
      </c>
      <c r="J51" s="558">
        <f t="shared" si="16"/>
        <v>0</v>
      </c>
      <c r="K51" s="558">
        <f t="shared" si="16"/>
        <v>4909.2980000000007</v>
      </c>
      <c r="L51" s="558">
        <f t="shared" si="16"/>
        <v>0</v>
      </c>
      <c r="M51" s="558">
        <f t="shared" si="16"/>
        <v>10224.819</v>
      </c>
      <c r="N51" s="558">
        <f t="shared" si="16"/>
        <v>52149.532000000007</v>
      </c>
      <c r="O51" s="558">
        <f t="shared" si="16"/>
        <v>0</v>
      </c>
      <c r="P51" s="558">
        <f t="shared" si="16"/>
        <v>12275.417000000001</v>
      </c>
      <c r="Q51" s="558">
        <f t="shared" si="16"/>
        <v>50666.385999999999</v>
      </c>
      <c r="R51" s="558">
        <f t="shared" si="16"/>
        <v>1483.1460000000011</v>
      </c>
      <c r="S51" s="560">
        <f t="shared" si="16"/>
        <v>0</v>
      </c>
      <c r="T51" s="475" t="e">
        <f>+#REF!-O51</f>
        <v>#REF!</v>
      </c>
      <c r="U51" s="476">
        <f t="shared" si="2"/>
        <v>6633.6140000000014</v>
      </c>
      <c r="V51" s="557">
        <f t="shared" si="3"/>
        <v>0</v>
      </c>
      <c r="W51" s="476">
        <f t="shared" si="4"/>
        <v>1483.1460000000079</v>
      </c>
      <c r="X51" s="476"/>
    </row>
    <row r="52" spans="1:24">
      <c r="A52" s="406" t="s">
        <v>23</v>
      </c>
      <c r="B52" s="407" t="s">
        <v>56</v>
      </c>
      <c r="C52" s="407"/>
      <c r="D52" s="558">
        <f>D53</f>
        <v>57300</v>
      </c>
      <c r="E52" s="558">
        <f t="shared" ref="E52:R52" si="17">E53</f>
        <v>12275.417000000001</v>
      </c>
      <c r="F52" s="558">
        <f t="shared" si="17"/>
        <v>7300</v>
      </c>
      <c r="G52" s="558">
        <f t="shared" si="17"/>
        <v>93.867999999999995</v>
      </c>
      <c r="H52" s="558">
        <f t="shared" si="17"/>
        <v>0</v>
      </c>
      <c r="I52" s="558">
        <f t="shared" si="17"/>
        <v>-27.748999999999999</v>
      </c>
      <c r="J52" s="558">
        <f t="shared" si="17"/>
        <v>0</v>
      </c>
      <c r="K52" s="558">
        <f t="shared" si="17"/>
        <v>4909.2980000000007</v>
      </c>
      <c r="L52" s="558">
        <f t="shared" si="17"/>
        <v>0</v>
      </c>
      <c r="M52" s="558">
        <f t="shared" si="17"/>
        <v>10224.819</v>
      </c>
      <c r="N52" s="558">
        <f t="shared" si="17"/>
        <v>52149.532000000007</v>
      </c>
      <c r="O52" s="558">
        <f t="shared" si="17"/>
        <v>0</v>
      </c>
      <c r="P52" s="558">
        <f t="shared" si="17"/>
        <v>12275.417000000001</v>
      </c>
      <c r="Q52" s="558">
        <f t="shared" si="17"/>
        <v>50666.385999999999</v>
      </c>
      <c r="R52" s="558">
        <f t="shared" si="17"/>
        <v>1483.1460000000011</v>
      </c>
      <c r="S52" s="561"/>
      <c r="T52" s="475" t="e">
        <f>+#REF!-O52</f>
        <v>#REF!</v>
      </c>
      <c r="U52" s="476">
        <f t="shared" si="2"/>
        <v>6633.6140000000014</v>
      </c>
      <c r="V52" s="557">
        <f t="shared" si="3"/>
        <v>0</v>
      </c>
      <c r="W52" s="476">
        <f t="shared" si="4"/>
        <v>1483.1460000000079</v>
      </c>
      <c r="X52" s="476"/>
    </row>
    <row r="53" spans="1:24">
      <c r="A53" s="406" t="s">
        <v>28</v>
      </c>
      <c r="B53" s="407" t="s">
        <v>100</v>
      </c>
      <c r="C53" s="407"/>
      <c r="D53" s="558">
        <f>SUM(D54:D67)</f>
        <v>57300</v>
      </c>
      <c r="E53" s="558">
        <f t="shared" ref="E53:R53" si="18">SUM(E54:E67)</f>
        <v>12275.417000000001</v>
      </c>
      <c r="F53" s="558">
        <f t="shared" si="18"/>
        <v>7300</v>
      </c>
      <c r="G53" s="558">
        <f t="shared" si="18"/>
        <v>93.867999999999995</v>
      </c>
      <c r="H53" s="558">
        <f t="shared" si="18"/>
        <v>0</v>
      </c>
      <c r="I53" s="558">
        <f t="shared" si="18"/>
        <v>-27.748999999999999</v>
      </c>
      <c r="J53" s="558">
        <f t="shared" si="18"/>
        <v>0</v>
      </c>
      <c r="K53" s="558">
        <f t="shared" si="18"/>
        <v>4909.2980000000007</v>
      </c>
      <c r="L53" s="558">
        <f t="shared" si="18"/>
        <v>0</v>
      </c>
      <c r="M53" s="558">
        <f t="shared" si="18"/>
        <v>10224.819</v>
      </c>
      <c r="N53" s="558">
        <f t="shared" si="18"/>
        <v>52149.532000000007</v>
      </c>
      <c r="O53" s="558">
        <f t="shared" si="18"/>
        <v>0</v>
      </c>
      <c r="P53" s="558">
        <f t="shared" si="18"/>
        <v>12275.417000000001</v>
      </c>
      <c r="Q53" s="558">
        <f t="shared" si="18"/>
        <v>50666.385999999999</v>
      </c>
      <c r="R53" s="558">
        <f t="shared" si="18"/>
        <v>1483.1460000000011</v>
      </c>
      <c r="S53" s="577"/>
      <c r="T53" s="475" t="e">
        <f>+#REF!-O53</f>
        <v>#REF!</v>
      </c>
      <c r="U53" s="476">
        <f t="shared" si="2"/>
        <v>6633.6140000000014</v>
      </c>
      <c r="V53" s="557">
        <f t="shared" si="3"/>
        <v>0</v>
      </c>
      <c r="W53" s="476">
        <f t="shared" si="4"/>
        <v>1483.1460000000079</v>
      </c>
      <c r="X53" s="476"/>
    </row>
    <row r="54" spans="1:24">
      <c r="A54" s="399" t="s">
        <v>375</v>
      </c>
      <c r="B54" s="139" t="s">
        <v>131</v>
      </c>
      <c r="C54" s="13" t="s">
        <v>132</v>
      </c>
      <c r="D54" s="141">
        <v>3000</v>
      </c>
      <c r="E54" s="565">
        <f t="shared" ref="E54:E66" si="19">SUM(F54:K54)</f>
        <v>1300</v>
      </c>
      <c r="F54" s="565">
        <v>1300</v>
      </c>
      <c r="G54" s="565"/>
      <c r="H54" s="565"/>
      <c r="I54" s="565"/>
      <c r="J54" s="565"/>
      <c r="K54" s="565"/>
      <c r="L54" s="565"/>
      <c r="M54" s="350">
        <f>2267.377+121.529</f>
        <v>2388.9059999999999</v>
      </c>
      <c r="N54" s="350">
        <v>2746.7150000000001</v>
      </c>
      <c r="O54" s="350"/>
      <c r="P54" s="402">
        <v>1300</v>
      </c>
      <c r="Q54" s="402">
        <v>2572.2359999999999</v>
      </c>
      <c r="R54" s="402">
        <f>N54-Q54</f>
        <v>174.47900000000027</v>
      </c>
      <c r="S54" s="140"/>
      <c r="T54" s="475"/>
      <c r="U54" s="476">
        <f t="shared" si="2"/>
        <v>427.76400000000012</v>
      </c>
      <c r="V54" s="557">
        <f t="shared" si="3"/>
        <v>0</v>
      </c>
      <c r="W54" s="476">
        <f t="shared" si="4"/>
        <v>174.47900000000027</v>
      </c>
      <c r="X54" s="476"/>
    </row>
    <row r="55" spans="1:24">
      <c r="A55" s="399" t="s">
        <v>375</v>
      </c>
      <c r="B55" s="139" t="s">
        <v>133</v>
      </c>
      <c r="C55" s="13" t="s">
        <v>41</v>
      </c>
      <c r="D55" s="141">
        <v>2500</v>
      </c>
      <c r="E55" s="565">
        <f t="shared" si="19"/>
        <v>1050</v>
      </c>
      <c r="F55" s="565">
        <v>1050</v>
      </c>
      <c r="G55" s="565"/>
      <c r="H55" s="565"/>
      <c r="I55" s="565"/>
      <c r="J55" s="565"/>
      <c r="K55" s="565"/>
      <c r="L55" s="565"/>
      <c r="M55" s="402"/>
      <c r="N55" s="402">
        <v>2445.3710000000001</v>
      </c>
      <c r="O55" s="402"/>
      <c r="P55" s="402">
        <f t="shared" ref="P55:P67" si="20">E55</f>
        <v>1050</v>
      </c>
      <c r="Q55" s="402">
        <v>2050</v>
      </c>
      <c r="R55" s="402">
        <f>N55-Q55</f>
        <v>395.37100000000009</v>
      </c>
      <c r="S55" s="140" t="s">
        <v>233</v>
      </c>
      <c r="T55" s="475"/>
      <c r="U55" s="476">
        <f t="shared" si="2"/>
        <v>450</v>
      </c>
      <c r="V55" s="557">
        <f t="shared" si="3"/>
        <v>0</v>
      </c>
      <c r="W55" s="476">
        <f t="shared" si="4"/>
        <v>395.37100000000009</v>
      </c>
      <c r="X55" s="476"/>
    </row>
    <row r="56" spans="1:24" ht="31.2">
      <c r="A56" s="399" t="s">
        <v>375</v>
      </c>
      <c r="B56" s="139" t="s">
        <v>134</v>
      </c>
      <c r="C56" s="13" t="s">
        <v>41</v>
      </c>
      <c r="D56" s="141">
        <v>1250</v>
      </c>
      <c r="E56" s="565">
        <f t="shared" si="19"/>
        <v>422.25099999999998</v>
      </c>
      <c r="F56" s="565">
        <v>450</v>
      </c>
      <c r="G56" s="565"/>
      <c r="H56" s="565"/>
      <c r="I56" s="565">
        <v>-27.748999999999999</v>
      </c>
      <c r="J56" s="565"/>
      <c r="K56" s="565"/>
      <c r="L56" s="565"/>
      <c r="M56" s="402"/>
      <c r="N56" s="402">
        <v>1150.825</v>
      </c>
      <c r="O56" s="402"/>
      <c r="P56" s="402">
        <f t="shared" si="20"/>
        <v>422.25099999999998</v>
      </c>
      <c r="Q56" s="402">
        <f>N56</f>
        <v>1150.825</v>
      </c>
      <c r="R56" s="402"/>
      <c r="S56" s="140" t="s">
        <v>233</v>
      </c>
      <c r="T56" s="475"/>
      <c r="U56" s="476">
        <f t="shared" si="2"/>
        <v>99.174999999999955</v>
      </c>
      <c r="V56" s="557">
        <f t="shared" si="3"/>
        <v>0</v>
      </c>
      <c r="W56" s="476">
        <f t="shared" si="4"/>
        <v>0</v>
      </c>
      <c r="X56" s="476"/>
    </row>
    <row r="57" spans="1:24" ht="31.2">
      <c r="A57" s="399" t="s">
        <v>375</v>
      </c>
      <c r="B57" s="139" t="s">
        <v>135</v>
      </c>
      <c r="C57" s="13" t="s">
        <v>118</v>
      </c>
      <c r="D57" s="141">
        <v>3900</v>
      </c>
      <c r="E57" s="565">
        <f t="shared" si="19"/>
        <v>1500</v>
      </c>
      <c r="F57" s="565">
        <v>1500</v>
      </c>
      <c r="G57" s="565"/>
      <c r="H57" s="565"/>
      <c r="I57" s="565"/>
      <c r="J57" s="565"/>
      <c r="K57" s="565"/>
      <c r="L57" s="565"/>
      <c r="M57" s="402"/>
      <c r="N57" s="402">
        <v>3864.4879999999998</v>
      </c>
      <c r="O57" s="402"/>
      <c r="P57" s="402">
        <f t="shared" si="20"/>
        <v>1500</v>
      </c>
      <c r="Q57" s="402">
        <v>3500</v>
      </c>
      <c r="R57" s="402">
        <f>N57-Q57</f>
        <v>364.48799999999983</v>
      </c>
      <c r="S57" s="140" t="s">
        <v>233</v>
      </c>
      <c r="T57" s="475"/>
      <c r="U57" s="476">
        <f t="shared" si="2"/>
        <v>400</v>
      </c>
      <c r="V57" s="557">
        <f t="shared" si="3"/>
        <v>0</v>
      </c>
      <c r="W57" s="476">
        <f t="shared" si="4"/>
        <v>364.48799999999983</v>
      </c>
      <c r="X57" s="476"/>
    </row>
    <row r="58" spans="1:24" ht="31.2">
      <c r="A58" s="399" t="s">
        <v>375</v>
      </c>
      <c r="B58" s="139" t="s">
        <v>136</v>
      </c>
      <c r="C58" s="13" t="s">
        <v>41</v>
      </c>
      <c r="D58" s="141">
        <v>6000</v>
      </c>
      <c r="E58" s="565">
        <f t="shared" si="19"/>
        <v>500</v>
      </c>
      <c r="F58" s="565">
        <v>500</v>
      </c>
      <c r="G58" s="565"/>
      <c r="H58" s="565"/>
      <c r="I58" s="565"/>
      <c r="J58" s="565"/>
      <c r="K58" s="565"/>
      <c r="L58" s="565"/>
      <c r="M58" s="402">
        <v>554.99300000000005</v>
      </c>
      <c r="N58" s="402">
        <v>5714.7520000000004</v>
      </c>
      <c r="O58" s="402"/>
      <c r="P58" s="402">
        <f t="shared" si="20"/>
        <v>500</v>
      </c>
      <c r="Q58" s="402">
        <v>5500</v>
      </c>
      <c r="R58" s="402">
        <f>N58-Q58</f>
        <v>214.75200000000041</v>
      </c>
      <c r="S58" s="140" t="s">
        <v>233</v>
      </c>
      <c r="T58" s="475"/>
      <c r="U58" s="476">
        <f t="shared" si="2"/>
        <v>500</v>
      </c>
      <c r="V58" s="557">
        <f t="shared" si="3"/>
        <v>0</v>
      </c>
      <c r="W58" s="476">
        <f t="shared" si="4"/>
        <v>214.75200000000041</v>
      </c>
      <c r="X58" s="476"/>
    </row>
    <row r="59" spans="1:24" ht="31.2">
      <c r="A59" s="399" t="s">
        <v>375</v>
      </c>
      <c r="B59" s="139" t="s">
        <v>137</v>
      </c>
      <c r="C59" s="13" t="s">
        <v>118</v>
      </c>
      <c r="D59" s="141">
        <v>14950</v>
      </c>
      <c r="E59" s="565">
        <f t="shared" si="19"/>
        <v>2500</v>
      </c>
      <c r="F59" s="564">
        <v>2500</v>
      </c>
      <c r="G59" s="564"/>
      <c r="H59" s="564"/>
      <c r="I59" s="564"/>
      <c r="J59" s="564"/>
      <c r="K59" s="564"/>
      <c r="L59" s="564"/>
      <c r="M59" s="402">
        <v>2496.4009999999998</v>
      </c>
      <c r="N59" s="402">
        <v>14834.056</v>
      </c>
      <c r="O59" s="402"/>
      <c r="P59" s="402">
        <f t="shared" si="20"/>
        <v>2500</v>
      </c>
      <c r="Q59" s="402">
        <v>14500</v>
      </c>
      <c r="R59" s="402">
        <f>N59-Q59</f>
        <v>334.05600000000049</v>
      </c>
      <c r="S59" s="140" t="s">
        <v>233</v>
      </c>
      <c r="T59" s="475"/>
      <c r="U59" s="476">
        <f t="shared" si="2"/>
        <v>450</v>
      </c>
      <c r="V59" s="557">
        <f t="shared" si="3"/>
        <v>0</v>
      </c>
      <c r="W59" s="476">
        <f t="shared" si="4"/>
        <v>334.05600000000049</v>
      </c>
      <c r="X59" s="476"/>
    </row>
    <row r="60" spans="1:24">
      <c r="A60" s="399" t="s">
        <v>375</v>
      </c>
      <c r="B60" s="474" t="s">
        <v>226</v>
      </c>
      <c r="C60" s="13" t="s">
        <v>40</v>
      </c>
      <c r="D60" s="141">
        <v>1500</v>
      </c>
      <c r="E60" s="565">
        <f t="shared" si="19"/>
        <v>7.6619999999999999</v>
      </c>
      <c r="F60" s="564"/>
      <c r="G60" s="564">
        <v>7.6619999999999999</v>
      </c>
      <c r="H60" s="564"/>
      <c r="I60" s="564"/>
      <c r="J60" s="564"/>
      <c r="K60" s="564"/>
      <c r="L60" s="564"/>
      <c r="M60" s="402"/>
      <c r="N60" s="402">
        <v>1326.712</v>
      </c>
      <c r="O60" s="402"/>
      <c r="P60" s="402">
        <f t="shared" si="20"/>
        <v>7.6619999999999999</v>
      </c>
      <c r="Q60" s="402">
        <f t="shared" ref="Q60:Q67" si="21">N60</f>
        <v>1326.712</v>
      </c>
      <c r="R60" s="402"/>
      <c r="S60" s="140" t="s">
        <v>233</v>
      </c>
      <c r="T60" s="475"/>
      <c r="U60" s="476">
        <f t="shared" si="2"/>
        <v>173.28800000000001</v>
      </c>
      <c r="V60" s="557">
        <f t="shared" si="3"/>
        <v>0</v>
      </c>
      <c r="W60" s="476">
        <f t="shared" si="4"/>
        <v>0</v>
      </c>
      <c r="X60" s="476"/>
    </row>
    <row r="61" spans="1:24">
      <c r="A61" s="399" t="s">
        <v>375</v>
      </c>
      <c r="B61" s="474" t="s">
        <v>227</v>
      </c>
      <c r="C61" s="13" t="s">
        <v>41</v>
      </c>
      <c r="D61" s="141">
        <v>700</v>
      </c>
      <c r="E61" s="565">
        <f t="shared" si="19"/>
        <v>47.966000000000001</v>
      </c>
      <c r="F61" s="564"/>
      <c r="G61" s="564">
        <v>47.966000000000001</v>
      </c>
      <c r="H61" s="564"/>
      <c r="I61" s="564"/>
      <c r="J61" s="564"/>
      <c r="K61" s="564"/>
      <c r="L61" s="564"/>
      <c r="M61" s="402"/>
      <c r="N61" s="402">
        <v>623.96600000000001</v>
      </c>
      <c r="O61" s="402"/>
      <c r="P61" s="402">
        <f t="shared" si="20"/>
        <v>47.966000000000001</v>
      </c>
      <c r="Q61" s="402">
        <f t="shared" si="21"/>
        <v>623.96600000000001</v>
      </c>
      <c r="R61" s="402"/>
      <c r="S61" s="140" t="s">
        <v>233</v>
      </c>
      <c r="T61" s="475"/>
      <c r="U61" s="476">
        <f t="shared" si="2"/>
        <v>76.033999999999992</v>
      </c>
      <c r="V61" s="557">
        <f t="shared" si="3"/>
        <v>0</v>
      </c>
      <c r="W61" s="476">
        <f t="shared" si="4"/>
        <v>0</v>
      </c>
      <c r="X61" s="476"/>
    </row>
    <row r="62" spans="1:24">
      <c r="A62" s="399" t="s">
        <v>375</v>
      </c>
      <c r="B62" s="474" t="s">
        <v>228</v>
      </c>
      <c r="C62" s="13" t="s">
        <v>40</v>
      </c>
      <c r="D62" s="141">
        <v>2500</v>
      </c>
      <c r="E62" s="565">
        <f t="shared" si="19"/>
        <v>13.387</v>
      </c>
      <c r="F62" s="564"/>
      <c r="G62" s="564">
        <v>13.387</v>
      </c>
      <c r="H62" s="564"/>
      <c r="I62" s="564"/>
      <c r="J62" s="564"/>
      <c r="K62" s="564"/>
      <c r="L62" s="564"/>
      <c r="M62" s="402"/>
      <c r="N62" s="402">
        <v>2314.83</v>
      </c>
      <c r="O62" s="402"/>
      <c r="P62" s="402">
        <f t="shared" si="20"/>
        <v>13.387</v>
      </c>
      <c r="Q62" s="402">
        <f t="shared" si="21"/>
        <v>2314.83</v>
      </c>
      <c r="R62" s="402"/>
      <c r="S62" s="140" t="s">
        <v>233</v>
      </c>
      <c r="T62" s="475"/>
      <c r="U62" s="476">
        <f t="shared" si="2"/>
        <v>185.17000000000007</v>
      </c>
      <c r="V62" s="557">
        <f t="shared" si="3"/>
        <v>0</v>
      </c>
      <c r="W62" s="476">
        <f t="shared" si="4"/>
        <v>0</v>
      </c>
      <c r="X62" s="476"/>
    </row>
    <row r="63" spans="1:24">
      <c r="A63" s="399" t="s">
        <v>375</v>
      </c>
      <c r="B63" s="474" t="s">
        <v>229</v>
      </c>
      <c r="C63" s="13" t="s">
        <v>42</v>
      </c>
      <c r="D63" s="141">
        <v>2500</v>
      </c>
      <c r="E63" s="565">
        <f t="shared" si="19"/>
        <v>11.753</v>
      </c>
      <c r="F63" s="564"/>
      <c r="G63" s="564">
        <v>11.753</v>
      </c>
      <c r="H63" s="564"/>
      <c r="I63" s="564"/>
      <c r="J63" s="564"/>
      <c r="K63" s="564"/>
      <c r="L63" s="564"/>
      <c r="M63" s="402"/>
      <c r="N63" s="402">
        <v>1977.2560000000001</v>
      </c>
      <c r="O63" s="402"/>
      <c r="P63" s="402">
        <f t="shared" si="20"/>
        <v>11.753</v>
      </c>
      <c r="Q63" s="402">
        <f t="shared" si="21"/>
        <v>1977.2560000000001</v>
      </c>
      <c r="R63" s="402"/>
      <c r="S63" s="140" t="s">
        <v>233</v>
      </c>
      <c r="T63" s="475"/>
      <c r="U63" s="476">
        <f t="shared" si="2"/>
        <v>522.74399999999991</v>
      </c>
      <c r="V63" s="557">
        <f t="shared" si="3"/>
        <v>0</v>
      </c>
      <c r="W63" s="476">
        <f t="shared" si="4"/>
        <v>0</v>
      </c>
      <c r="X63" s="476"/>
    </row>
    <row r="64" spans="1:24">
      <c r="A64" s="399" t="s">
        <v>375</v>
      </c>
      <c r="B64" s="474" t="s">
        <v>230</v>
      </c>
      <c r="C64" s="13" t="s">
        <v>41</v>
      </c>
      <c r="D64" s="141">
        <v>2500</v>
      </c>
      <c r="E64" s="565">
        <f t="shared" si="19"/>
        <v>13.1</v>
      </c>
      <c r="F64" s="564"/>
      <c r="G64" s="564">
        <v>13.1</v>
      </c>
      <c r="H64" s="564"/>
      <c r="I64" s="564"/>
      <c r="J64" s="564"/>
      <c r="K64" s="564"/>
      <c r="L64" s="564"/>
      <c r="M64" s="402"/>
      <c r="N64" s="402">
        <v>2303.0450000000001</v>
      </c>
      <c r="O64" s="402"/>
      <c r="P64" s="402">
        <f t="shared" si="20"/>
        <v>13.1</v>
      </c>
      <c r="Q64" s="402">
        <f t="shared" si="21"/>
        <v>2303.0450000000001</v>
      </c>
      <c r="R64" s="402"/>
      <c r="S64" s="140" t="s">
        <v>233</v>
      </c>
      <c r="T64" s="475"/>
      <c r="U64" s="476">
        <f t="shared" si="2"/>
        <v>196.95499999999993</v>
      </c>
      <c r="V64" s="557">
        <f t="shared" si="3"/>
        <v>0</v>
      </c>
      <c r="W64" s="476">
        <f t="shared" si="4"/>
        <v>0</v>
      </c>
      <c r="X64" s="476"/>
    </row>
    <row r="65" spans="1:24" ht="31.2">
      <c r="A65" s="399" t="s">
        <v>375</v>
      </c>
      <c r="B65" s="474" t="s">
        <v>438</v>
      </c>
      <c r="C65" s="13" t="s">
        <v>41</v>
      </c>
      <c r="D65" s="141">
        <v>5500</v>
      </c>
      <c r="E65" s="565">
        <f t="shared" si="19"/>
        <v>2300.857</v>
      </c>
      <c r="F65" s="564"/>
      <c r="G65" s="564"/>
      <c r="H65" s="564"/>
      <c r="I65" s="564"/>
      <c r="J65" s="564"/>
      <c r="K65" s="564">
        <v>2300.857</v>
      </c>
      <c r="L65" s="564"/>
      <c r="M65" s="564">
        <v>2300.857</v>
      </c>
      <c r="N65" s="402">
        <f>5137.49-1250</f>
        <v>3887.49</v>
      </c>
      <c r="O65" s="402"/>
      <c r="P65" s="402">
        <f t="shared" si="20"/>
        <v>2300.857</v>
      </c>
      <c r="Q65" s="402">
        <f t="shared" si="21"/>
        <v>3887.49</v>
      </c>
      <c r="R65" s="402"/>
      <c r="S65" s="140" t="s">
        <v>233</v>
      </c>
      <c r="T65" s="475"/>
      <c r="U65" s="476">
        <f t="shared" si="2"/>
        <v>1612.5100000000002</v>
      </c>
      <c r="V65" s="557">
        <f t="shared" si="3"/>
        <v>0</v>
      </c>
      <c r="W65" s="476">
        <f t="shared" si="4"/>
        <v>0</v>
      </c>
      <c r="X65" s="476"/>
    </row>
    <row r="66" spans="1:24" ht="31.2">
      <c r="A66" s="399" t="s">
        <v>375</v>
      </c>
      <c r="B66" s="474" t="s">
        <v>155</v>
      </c>
      <c r="C66" s="13" t="s">
        <v>30</v>
      </c>
      <c r="D66" s="141">
        <v>5500</v>
      </c>
      <c r="E66" s="565">
        <f t="shared" si="19"/>
        <v>2483.6619999999998</v>
      </c>
      <c r="F66" s="564"/>
      <c r="G66" s="564"/>
      <c r="H66" s="564"/>
      <c r="I66" s="564"/>
      <c r="J66" s="564"/>
      <c r="K66" s="564">
        <v>2483.6619999999998</v>
      </c>
      <c r="L66" s="564"/>
      <c r="M66" s="564">
        <v>2483.6619999999998</v>
      </c>
      <c r="N66" s="402">
        <f>5350.662-1287</f>
        <v>4063.6620000000003</v>
      </c>
      <c r="O66" s="402"/>
      <c r="P66" s="402">
        <f t="shared" si="20"/>
        <v>2483.6619999999998</v>
      </c>
      <c r="Q66" s="402">
        <f t="shared" si="21"/>
        <v>4063.6620000000003</v>
      </c>
      <c r="R66" s="402"/>
      <c r="S66" s="140" t="s">
        <v>233</v>
      </c>
      <c r="T66" s="475"/>
      <c r="U66" s="476">
        <f t="shared" si="2"/>
        <v>1436.3379999999997</v>
      </c>
      <c r="V66" s="557">
        <f t="shared" si="3"/>
        <v>0</v>
      </c>
      <c r="W66" s="476">
        <f t="shared" si="4"/>
        <v>0</v>
      </c>
      <c r="X66" s="476"/>
    </row>
    <row r="67" spans="1:24">
      <c r="A67" s="399" t="s">
        <v>375</v>
      </c>
      <c r="B67" s="474" t="s">
        <v>439</v>
      </c>
      <c r="C67" s="13" t="s">
        <v>30</v>
      </c>
      <c r="D67" s="141">
        <v>5000</v>
      </c>
      <c r="E67" s="565">
        <f>SUM(F67:L67)</f>
        <v>124.779</v>
      </c>
      <c r="F67" s="564"/>
      <c r="G67" s="564"/>
      <c r="H67" s="564"/>
      <c r="I67" s="564"/>
      <c r="J67" s="564"/>
      <c r="K67" s="564">
        <v>124.779</v>
      </c>
      <c r="L67" s="564"/>
      <c r="M67" s="564"/>
      <c r="N67" s="402">
        <v>4896.3639999999996</v>
      </c>
      <c r="O67" s="402"/>
      <c r="P67" s="402">
        <f t="shared" si="20"/>
        <v>124.779</v>
      </c>
      <c r="Q67" s="402">
        <f t="shared" si="21"/>
        <v>4896.3639999999996</v>
      </c>
      <c r="R67" s="402"/>
      <c r="S67" s="140" t="s">
        <v>233</v>
      </c>
      <c r="T67" s="475"/>
      <c r="U67" s="476">
        <f t="shared" si="2"/>
        <v>103.63600000000042</v>
      </c>
      <c r="V67" s="557">
        <f t="shared" si="3"/>
        <v>0</v>
      </c>
      <c r="W67" s="476">
        <f t="shared" si="4"/>
        <v>0</v>
      </c>
      <c r="X67" s="476"/>
    </row>
    <row r="68" spans="1:24" s="347" customFormat="1" hidden="1">
      <c r="A68" s="570" t="s">
        <v>46</v>
      </c>
      <c r="B68" s="571" t="s">
        <v>66</v>
      </c>
      <c r="C68" s="571"/>
      <c r="D68" s="558">
        <f>D69</f>
        <v>0</v>
      </c>
      <c r="E68" s="558">
        <f t="shared" ref="E68:R68" si="22">E69</f>
        <v>0</v>
      </c>
      <c r="F68" s="558"/>
      <c r="G68" s="558"/>
      <c r="H68" s="558"/>
      <c r="I68" s="558"/>
      <c r="J68" s="558"/>
      <c r="K68" s="558"/>
      <c r="L68" s="558"/>
      <c r="M68" s="350">
        <f t="shared" si="22"/>
        <v>0</v>
      </c>
      <c r="N68" s="350">
        <f t="shared" si="22"/>
        <v>0</v>
      </c>
      <c r="O68" s="350">
        <f t="shared" si="22"/>
        <v>0</v>
      </c>
      <c r="P68" s="350">
        <f t="shared" si="22"/>
        <v>0</v>
      </c>
      <c r="Q68" s="350">
        <f t="shared" si="22"/>
        <v>0</v>
      </c>
      <c r="R68" s="350">
        <f t="shared" si="22"/>
        <v>0</v>
      </c>
      <c r="S68" s="578"/>
      <c r="T68" s="475" t="e">
        <f>+#REF!-O68</f>
        <v>#REF!</v>
      </c>
      <c r="U68" s="476">
        <f t="shared" si="2"/>
        <v>0</v>
      </c>
      <c r="V68" s="557">
        <f t="shared" si="3"/>
        <v>0</v>
      </c>
      <c r="W68" s="476">
        <f t="shared" si="4"/>
        <v>0</v>
      </c>
      <c r="X68" s="476"/>
    </row>
    <row r="69" spans="1:24" s="347" customFormat="1" hidden="1">
      <c r="A69" s="406" t="s">
        <v>28</v>
      </c>
      <c r="B69" s="398" t="s">
        <v>121</v>
      </c>
      <c r="C69" s="406"/>
      <c r="D69" s="579">
        <f>SUM(D70:D71)</f>
        <v>0</v>
      </c>
      <c r="E69" s="579">
        <f t="shared" ref="E69:R69" si="23">SUM(E70:E71)</f>
        <v>0</v>
      </c>
      <c r="F69" s="579"/>
      <c r="G69" s="579"/>
      <c r="H69" s="579"/>
      <c r="I69" s="579"/>
      <c r="J69" s="579"/>
      <c r="K69" s="579"/>
      <c r="L69" s="579"/>
      <c r="M69" s="350">
        <f t="shared" si="23"/>
        <v>0</v>
      </c>
      <c r="N69" s="350">
        <f t="shared" si="23"/>
        <v>0</v>
      </c>
      <c r="O69" s="350">
        <f t="shared" si="23"/>
        <v>0</v>
      </c>
      <c r="P69" s="350">
        <f t="shared" si="23"/>
        <v>0</v>
      </c>
      <c r="Q69" s="350">
        <f t="shared" si="23"/>
        <v>0</v>
      </c>
      <c r="R69" s="350">
        <f t="shared" si="23"/>
        <v>0</v>
      </c>
      <c r="S69" s="407"/>
      <c r="T69" s="475" t="e">
        <f>+#REF!-O69</f>
        <v>#REF!</v>
      </c>
      <c r="U69" s="476">
        <f t="shared" si="2"/>
        <v>0</v>
      </c>
      <c r="V69" s="557">
        <f t="shared" si="3"/>
        <v>0</v>
      </c>
      <c r="W69" s="476">
        <f t="shared" si="4"/>
        <v>0</v>
      </c>
      <c r="X69" s="476"/>
    </row>
    <row r="70" spans="1:24" hidden="1">
      <c r="A70" s="576"/>
      <c r="B70" s="580"/>
      <c r="C70" s="576"/>
      <c r="D70" s="564"/>
      <c r="E70" s="564"/>
      <c r="F70" s="564"/>
      <c r="G70" s="564"/>
      <c r="H70" s="564"/>
      <c r="I70" s="564"/>
      <c r="J70" s="564"/>
      <c r="K70" s="564"/>
      <c r="L70" s="564"/>
      <c r="M70" s="350"/>
      <c r="N70" s="350"/>
      <c r="O70" s="350"/>
      <c r="P70" s="350"/>
      <c r="Q70" s="350"/>
      <c r="R70" s="350"/>
      <c r="S70" s="140"/>
      <c r="T70" s="475"/>
      <c r="U70" s="476">
        <f t="shared" si="2"/>
        <v>0</v>
      </c>
      <c r="V70" s="557">
        <f t="shared" si="3"/>
        <v>0</v>
      </c>
      <c r="W70" s="476">
        <f t="shared" si="4"/>
        <v>0</v>
      </c>
      <c r="X70" s="476"/>
    </row>
    <row r="71" spans="1:24" hidden="1">
      <c r="A71" s="576"/>
      <c r="B71" s="580"/>
      <c r="C71" s="576"/>
      <c r="D71" s="564"/>
      <c r="E71" s="564"/>
      <c r="F71" s="564"/>
      <c r="G71" s="564"/>
      <c r="H71" s="564"/>
      <c r="I71" s="564"/>
      <c r="J71" s="564"/>
      <c r="K71" s="564"/>
      <c r="L71" s="564"/>
      <c r="M71" s="350"/>
      <c r="N71" s="350"/>
      <c r="O71" s="350"/>
      <c r="P71" s="350"/>
      <c r="Q71" s="350"/>
      <c r="R71" s="350"/>
      <c r="S71" s="140"/>
      <c r="T71" s="475"/>
      <c r="U71" s="476">
        <f t="shared" si="2"/>
        <v>0</v>
      </c>
      <c r="V71" s="557">
        <f t="shared" si="3"/>
        <v>0</v>
      </c>
      <c r="W71" s="476">
        <f t="shared" si="4"/>
        <v>0</v>
      </c>
      <c r="X71" s="476"/>
    </row>
    <row r="72" spans="1:24">
      <c r="A72" s="406" t="s">
        <v>138</v>
      </c>
      <c r="B72" s="398" t="s">
        <v>139</v>
      </c>
      <c r="C72" s="398"/>
      <c r="D72" s="558">
        <f>D73+D85</f>
        <v>49420</v>
      </c>
      <c r="E72" s="558">
        <f t="shared" ref="E72:R72" si="24">E73+E85</f>
        <v>13513.3</v>
      </c>
      <c r="F72" s="558">
        <f t="shared" si="24"/>
        <v>10535</v>
      </c>
      <c r="G72" s="558">
        <f t="shared" si="24"/>
        <v>110.50300000000001</v>
      </c>
      <c r="H72" s="558">
        <f t="shared" si="24"/>
        <v>750</v>
      </c>
      <c r="I72" s="558">
        <f t="shared" si="24"/>
        <v>1325.77</v>
      </c>
      <c r="J72" s="558">
        <f t="shared" si="24"/>
        <v>536.88</v>
      </c>
      <c r="K72" s="558">
        <f t="shared" si="24"/>
        <v>0</v>
      </c>
      <c r="L72" s="558">
        <f t="shared" si="24"/>
        <v>255.14700000000016</v>
      </c>
      <c r="M72" s="558">
        <f t="shared" si="24"/>
        <v>10802.921999999999</v>
      </c>
      <c r="N72" s="558">
        <f t="shared" si="24"/>
        <v>32405.803</v>
      </c>
      <c r="O72" s="558">
        <f t="shared" si="24"/>
        <v>0</v>
      </c>
      <c r="P72" s="558">
        <f t="shared" si="24"/>
        <v>13504.868999999999</v>
      </c>
      <c r="Q72" s="558">
        <f t="shared" si="24"/>
        <v>29294.704000000002</v>
      </c>
      <c r="R72" s="558">
        <f t="shared" si="24"/>
        <v>16065.864</v>
      </c>
      <c r="S72" s="140"/>
      <c r="T72" s="475" t="e">
        <f>+#REF!-O72</f>
        <v>#REF!</v>
      </c>
      <c r="U72" s="476">
        <f t="shared" si="2"/>
        <v>20125.295999999998</v>
      </c>
      <c r="V72" s="557">
        <f t="shared" si="3"/>
        <v>8.4310000000004948</v>
      </c>
      <c r="W72" s="476">
        <f t="shared" si="4"/>
        <v>3111.0989999999983</v>
      </c>
      <c r="X72" s="476"/>
    </row>
    <row r="73" spans="1:24">
      <c r="A73" s="406" t="s">
        <v>23</v>
      </c>
      <c r="B73" s="581" t="s">
        <v>56</v>
      </c>
      <c r="C73" s="581"/>
      <c r="D73" s="558">
        <f>D74</f>
        <v>37250</v>
      </c>
      <c r="E73" s="558">
        <f t="shared" ref="E73:R73" si="25">E74</f>
        <v>9295.9380000000001</v>
      </c>
      <c r="F73" s="558">
        <f t="shared" si="25"/>
        <v>6168</v>
      </c>
      <c r="G73" s="558">
        <f t="shared" si="25"/>
        <v>110.50300000000001</v>
      </c>
      <c r="H73" s="558">
        <f t="shared" si="25"/>
        <v>0</v>
      </c>
      <c r="I73" s="558">
        <f t="shared" si="25"/>
        <v>862.95500000000004</v>
      </c>
      <c r="J73" s="558">
        <f t="shared" si="25"/>
        <v>536.88</v>
      </c>
      <c r="K73" s="558">
        <f t="shared" si="25"/>
        <v>0</v>
      </c>
      <c r="L73" s="558">
        <f t="shared" si="25"/>
        <v>1617.6000000000001</v>
      </c>
      <c r="M73" s="558">
        <f t="shared" si="25"/>
        <v>4279.6139999999996</v>
      </c>
      <c r="N73" s="558">
        <f t="shared" si="25"/>
        <v>25245.021000000001</v>
      </c>
      <c r="O73" s="558">
        <f t="shared" si="25"/>
        <v>0</v>
      </c>
      <c r="P73" s="558">
        <f t="shared" si="25"/>
        <v>9287.491</v>
      </c>
      <c r="Q73" s="558">
        <f t="shared" si="25"/>
        <v>25077.326000000001</v>
      </c>
      <c r="R73" s="558">
        <f t="shared" si="25"/>
        <v>8719.5450000000001</v>
      </c>
      <c r="S73" s="561"/>
      <c r="T73" s="475" t="e">
        <f>+#REF!-O73</f>
        <v>#REF!</v>
      </c>
      <c r="U73" s="476">
        <f t="shared" ref="U73:U101" si="26">+D73-Q73</f>
        <v>12172.673999999999</v>
      </c>
      <c r="V73" s="557">
        <f t="shared" ref="V73:V100" si="27">+E73-P73</f>
        <v>8.4470000000001164</v>
      </c>
      <c r="W73" s="476">
        <f t="shared" ref="W73:W101" si="28">+N73-Q73</f>
        <v>167.69499999999971</v>
      </c>
      <c r="X73" s="476"/>
    </row>
    <row r="74" spans="1:24">
      <c r="A74" s="406" t="s">
        <v>28</v>
      </c>
      <c r="B74" s="407" t="s">
        <v>100</v>
      </c>
      <c r="C74" s="407"/>
      <c r="D74" s="558">
        <f>SUM(D75:D84)</f>
        <v>37250</v>
      </c>
      <c r="E74" s="558">
        <f t="shared" ref="E74:R74" si="29">SUM(E75:E84)</f>
        <v>9295.9380000000001</v>
      </c>
      <c r="F74" s="558">
        <f t="shared" si="29"/>
        <v>6168</v>
      </c>
      <c r="G74" s="558">
        <f t="shared" si="29"/>
        <v>110.50300000000001</v>
      </c>
      <c r="H74" s="558">
        <f t="shared" si="29"/>
        <v>0</v>
      </c>
      <c r="I74" s="558">
        <f t="shared" si="29"/>
        <v>862.95500000000004</v>
      </c>
      <c r="J74" s="558">
        <f t="shared" si="29"/>
        <v>536.88</v>
      </c>
      <c r="K74" s="558">
        <f t="shared" si="29"/>
        <v>0</v>
      </c>
      <c r="L74" s="558">
        <f t="shared" si="29"/>
        <v>1617.6000000000001</v>
      </c>
      <c r="M74" s="558">
        <f t="shared" si="29"/>
        <v>4279.6139999999996</v>
      </c>
      <c r="N74" s="558">
        <f t="shared" si="29"/>
        <v>25245.021000000001</v>
      </c>
      <c r="O74" s="558">
        <f t="shared" si="29"/>
        <v>0</v>
      </c>
      <c r="P74" s="558">
        <f t="shared" si="29"/>
        <v>9287.491</v>
      </c>
      <c r="Q74" s="558">
        <f t="shared" si="29"/>
        <v>25077.326000000001</v>
      </c>
      <c r="R74" s="558">
        <f t="shared" si="29"/>
        <v>8719.5450000000001</v>
      </c>
      <c r="S74" s="562"/>
      <c r="T74" s="475" t="e">
        <f>+#REF!-O74</f>
        <v>#REF!</v>
      </c>
      <c r="U74" s="476">
        <f t="shared" si="26"/>
        <v>12172.673999999999</v>
      </c>
      <c r="V74" s="557">
        <f t="shared" si="27"/>
        <v>8.4470000000001164</v>
      </c>
      <c r="W74" s="476">
        <f t="shared" si="28"/>
        <v>167.69499999999971</v>
      </c>
      <c r="X74" s="476"/>
    </row>
    <row r="75" spans="1:24" s="347" customFormat="1">
      <c r="A75" s="582" t="s">
        <v>375</v>
      </c>
      <c r="B75" s="139" t="s">
        <v>140</v>
      </c>
      <c r="C75" s="13" t="s">
        <v>30</v>
      </c>
      <c r="D75" s="141">
        <v>11800</v>
      </c>
      <c r="E75" s="565">
        <f t="shared" ref="E75:E84" si="30">SUM(F75:L75)</f>
        <v>2000</v>
      </c>
      <c r="F75" s="583">
        <v>2000</v>
      </c>
      <c r="G75" s="583"/>
      <c r="H75" s="583"/>
      <c r="I75" s="583"/>
      <c r="J75" s="583"/>
      <c r="K75" s="583"/>
      <c r="L75" s="583"/>
      <c r="M75" s="402">
        <f>2006+80</f>
        <v>2086</v>
      </c>
      <c r="N75" s="402">
        <v>2601.15</v>
      </c>
      <c r="O75" s="402"/>
      <c r="P75" s="402">
        <v>2000</v>
      </c>
      <c r="Q75" s="402">
        <v>2500</v>
      </c>
      <c r="R75" s="402">
        <f>D75-Q75-647</f>
        <v>8653</v>
      </c>
      <c r="S75" s="140"/>
      <c r="T75" s="475"/>
      <c r="U75" s="476">
        <f t="shared" si="26"/>
        <v>9300</v>
      </c>
      <c r="V75" s="557">
        <f t="shared" si="27"/>
        <v>0</v>
      </c>
      <c r="W75" s="476">
        <f t="shared" si="28"/>
        <v>101.15000000000009</v>
      </c>
      <c r="X75" s="476"/>
    </row>
    <row r="76" spans="1:24">
      <c r="A76" s="582" t="s">
        <v>375</v>
      </c>
      <c r="B76" s="139" t="s">
        <v>141</v>
      </c>
      <c r="C76" s="13" t="s">
        <v>30</v>
      </c>
      <c r="D76" s="103">
        <v>5000</v>
      </c>
      <c r="E76" s="565">
        <f t="shared" si="30"/>
        <v>459.19799999999998</v>
      </c>
      <c r="F76" s="103">
        <v>450</v>
      </c>
      <c r="G76" s="103">
        <v>9.1980000000000004</v>
      </c>
      <c r="H76" s="103"/>
      <c r="I76" s="103"/>
      <c r="J76" s="103"/>
      <c r="K76" s="103"/>
      <c r="L76" s="103"/>
      <c r="M76" s="402"/>
      <c r="N76" s="402">
        <v>4898.9470000000001</v>
      </c>
      <c r="O76" s="402"/>
      <c r="P76" s="402">
        <v>459.19799999999998</v>
      </c>
      <c r="Q76" s="402">
        <v>4870.8379999999997</v>
      </c>
      <c r="R76" s="402">
        <f>N76-Q76</f>
        <v>28.109000000000378</v>
      </c>
      <c r="S76" s="140" t="s">
        <v>233</v>
      </c>
      <c r="T76" s="475"/>
      <c r="U76" s="476">
        <f t="shared" si="26"/>
        <v>129.16200000000026</v>
      </c>
      <c r="V76" s="557">
        <f t="shared" si="27"/>
        <v>0</v>
      </c>
      <c r="W76" s="476">
        <f t="shared" si="28"/>
        <v>28.109000000000378</v>
      </c>
      <c r="X76" s="476"/>
    </row>
    <row r="77" spans="1:24" s="347" customFormat="1" ht="31.2">
      <c r="A77" s="582" t="s">
        <v>375</v>
      </c>
      <c r="B77" s="139" t="s">
        <v>142</v>
      </c>
      <c r="C77" s="13" t="s">
        <v>30</v>
      </c>
      <c r="D77" s="141">
        <v>5300</v>
      </c>
      <c r="E77" s="565">
        <f t="shared" si="30"/>
        <v>1533.5929999999998</v>
      </c>
      <c r="F77" s="583">
        <v>2200</v>
      </c>
      <c r="G77" s="583"/>
      <c r="H77" s="583"/>
      <c r="I77" s="583"/>
      <c r="J77" s="583"/>
      <c r="K77" s="583"/>
      <c r="L77" s="583">
        <v>-666.40700000000004</v>
      </c>
      <c r="M77" s="402">
        <f>991.9+139.714</f>
        <v>1131.614</v>
      </c>
      <c r="N77" s="402">
        <v>3630.9140000000002</v>
      </c>
      <c r="O77" s="402"/>
      <c r="P77" s="402">
        <f>1388.261+93.654+49.714</f>
        <v>1531.6289999999999</v>
      </c>
      <c r="Q77" s="402">
        <f>N77</f>
        <v>3630.9140000000002</v>
      </c>
      <c r="R77" s="402"/>
      <c r="S77" s="584" t="s">
        <v>459</v>
      </c>
      <c r="T77" s="475"/>
      <c r="U77" s="476">
        <f t="shared" si="26"/>
        <v>1669.0859999999998</v>
      </c>
      <c r="V77" s="557">
        <f t="shared" si="27"/>
        <v>1.9639999999999418</v>
      </c>
      <c r="W77" s="476">
        <f t="shared" si="28"/>
        <v>0</v>
      </c>
      <c r="X77" s="476"/>
    </row>
    <row r="78" spans="1:24" s="347" customFormat="1">
      <c r="A78" s="582" t="s">
        <v>375</v>
      </c>
      <c r="B78" s="139" t="s">
        <v>143</v>
      </c>
      <c r="C78" s="13" t="s">
        <v>30</v>
      </c>
      <c r="D78" s="141">
        <v>4100</v>
      </c>
      <c r="E78" s="565">
        <f t="shared" si="30"/>
        <v>2026.808</v>
      </c>
      <c r="F78" s="583">
        <v>550</v>
      </c>
      <c r="G78" s="583"/>
      <c r="H78" s="583"/>
      <c r="I78" s="583"/>
      <c r="J78" s="583"/>
      <c r="K78" s="583"/>
      <c r="L78" s="583">
        <v>1476.808</v>
      </c>
      <c r="M78" s="402">
        <v>1062</v>
      </c>
      <c r="N78" s="402">
        <v>4065.2440000000001</v>
      </c>
      <c r="O78" s="402"/>
      <c r="P78" s="402">
        <f>E78</f>
        <v>2026.808</v>
      </c>
      <c r="Q78" s="402">
        <f>2000+P78</f>
        <v>4026.808</v>
      </c>
      <c r="R78" s="402">
        <f>N78-Q78</f>
        <v>38.436000000000149</v>
      </c>
      <c r="S78" s="140"/>
      <c r="T78" s="475"/>
      <c r="U78" s="476">
        <f t="shared" si="26"/>
        <v>73.192000000000007</v>
      </c>
      <c r="V78" s="557">
        <f t="shared" si="27"/>
        <v>0</v>
      </c>
      <c r="W78" s="476">
        <f t="shared" si="28"/>
        <v>38.436000000000149</v>
      </c>
      <c r="X78" s="476"/>
    </row>
    <row r="79" spans="1:24" s="347" customFormat="1" ht="31.2">
      <c r="A79" s="582" t="s">
        <v>375</v>
      </c>
      <c r="B79" s="139" t="s">
        <v>144</v>
      </c>
      <c r="C79" s="14" t="s">
        <v>145</v>
      </c>
      <c r="D79" s="141">
        <v>3500</v>
      </c>
      <c r="E79" s="565">
        <f t="shared" si="30"/>
        <v>2491.6239999999998</v>
      </c>
      <c r="F79" s="583">
        <v>843</v>
      </c>
      <c r="G79" s="583"/>
      <c r="H79" s="583"/>
      <c r="I79" s="583">
        <v>800</v>
      </c>
      <c r="J79" s="583"/>
      <c r="K79" s="583"/>
      <c r="L79" s="583">
        <v>848.62400000000002</v>
      </c>
      <c r="M79" s="402"/>
      <c r="N79" s="402">
        <v>3491.6239999999998</v>
      </c>
      <c r="O79" s="402"/>
      <c r="P79" s="402">
        <f>E79</f>
        <v>2491.6239999999998</v>
      </c>
      <c r="Q79" s="402">
        <f>1000+P79</f>
        <v>3491.6239999999998</v>
      </c>
      <c r="R79" s="402">
        <f>N79-Q79</f>
        <v>0</v>
      </c>
      <c r="S79" s="140" t="s">
        <v>233</v>
      </c>
      <c r="T79" s="475"/>
      <c r="U79" s="476">
        <f t="shared" si="26"/>
        <v>8.3760000000002037</v>
      </c>
      <c r="V79" s="557">
        <f t="shared" si="27"/>
        <v>0</v>
      </c>
      <c r="W79" s="476">
        <f t="shared" si="28"/>
        <v>0</v>
      </c>
      <c r="X79" s="476"/>
    </row>
    <row r="80" spans="1:24" s="347" customFormat="1">
      <c r="A80" s="582" t="s">
        <v>375</v>
      </c>
      <c r="B80" s="139" t="s">
        <v>146</v>
      </c>
      <c r="C80" s="13" t="s">
        <v>42</v>
      </c>
      <c r="D80" s="141">
        <v>1450</v>
      </c>
      <c r="E80" s="565">
        <f t="shared" si="30"/>
        <v>93.66</v>
      </c>
      <c r="F80" s="583">
        <v>125</v>
      </c>
      <c r="G80" s="583"/>
      <c r="H80" s="583"/>
      <c r="I80" s="583"/>
      <c r="J80" s="583"/>
      <c r="K80" s="583"/>
      <c r="L80" s="583">
        <v>-31.34</v>
      </c>
      <c r="M80" s="402"/>
      <c r="N80" s="402">
        <f>759.058+31.667+55.51</f>
        <v>846.23500000000001</v>
      </c>
      <c r="O80" s="402"/>
      <c r="P80" s="402">
        <f>31.667+55.51</f>
        <v>87.176999999999992</v>
      </c>
      <c r="Q80" s="402">
        <f>N80</f>
        <v>846.23500000000001</v>
      </c>
      <c r="R80" s="402"/>
      <c r="S80" s="584" t="s">
        <v>456</v>
      </c>
      <c r="T80" s="475"/>
      <c r="U80" s="476">
        <f t="shared" si="26"/>
        <v>603.76499999999999</v>
      </c>
      <c r="V80" s="557">
        <f t="shared" si="27"/>
        <v>6.4830000000000041</v>
      </c>
      <c r="W80" s="476">
        <f t="shared" si="28"/>
        <v>0</v>
      </c>
      <c r="X80" s="476"/>
    </row>
    <row r="81" spans="1:24" s="347" customFormat="1">
      <c r="A81" s="582" t="s">
        <v>375</v>
      </c>
      <c r="B81" s="139" t="s">
        <v>446</v>
      </c>
      <c r="C81" s="13" t="s">
        <v>30</v>
      </c>
      <c r="D81" s="141">
        <v>1450</v>
      </c>
      <c r="E81" s="565">
        <f t="shared" si="30"/>
        <v>81.042000000000002</v>
      </c>
      <c r="F81" s="583"/>
      <c r="G81" s="583">
        <v>81.042000000000002</v>
      </c>
      <c r="H81" s="583"/>
      <c r="I81" s="583"/>
      <c r="J81" s="583"/>
      <c r="K81" s="583"/>
      <c r="L81" s="583"/>
      <c r="M81" s="402"/>
      <c r="N81" s="402">
        <v>1402.2070000000001</v>
      </c>
      <c r="O81" s="402"/>
      <c r="P81" s="402">
        <f>E81</f>
        <v>81.042000000000002</v>
      </c>
      <c r="Q81" s="402">
        <f>N81</f>
        <v>1402.2070000000001</v>
      </c>
      <c r="R81" s="402"/>
      <c r="S81" s="140" t="s">
        <v>233</v>
      </c>
      <c r="T81" s="475"/>
      <c r="U81" s="476">
        <f t="shared" si="26"/>
        <v>47.792999999999893</v>
      </c>
      <c r="V81" s="557">
        <f t="shared" si="27"/>
        <v>0</v>
      </c>
      <c r="W81" s="476">
        <f t="shared" si="28"/>
        <v>0</v>
      </c>
      <c r="X81" s="476"/>
    </row>
    <row r="82" spans="1:24" s="347" customFormat="1">
      <c r="A82" s="582" t="s">
        <v>375</v>
      </c>
      <c r="B82" s="139" t="s">
        <v>447</v>
      </c>
      <c r="C82" s="13" t="s">
        <v>75</v>
      </c>
      <c r="D82" s="141">
        <v>500</v>
      </c>
      <c r="E82" s="565">
        <f t="shared" si="30"/>
        <v>20.263000000000002</v>
      </c>
      <c r="F82" s="583"/>
      <c r="G82" s="583">
        <v>20.263000000000002</v>
      </c>
      <c r="H82" s="583"/>
      <c r="I82" s="583"/>
      <c r="J82" s="583"/>
      <c r="K82" s="583"/>
      <c r="L82" s="583"/>
      <c r="M82" s="402"/>
      <c r="N82" s="402">
        <v>375.03399999999999</v>
      </c>
      <c r="O82" s="402"/>
      <c r="P82" s="402">
        <f>E82</f>
        <v>20.263000000000002</v>
      </c>
      <c r="Q82" s="402">
        <f>N82</f>
        <v>375.03399999999999</v>
      </c>
      <c r="R82" s="402"/>
      <c r="S82" s="140" t="s">
        <v>233</v>
      </c>
      <c r="T82" s="475"/>
      <c r="U82" s="476">
        <f t="shared" si="26"/>
        <v>124.96600000000001</v>
      </c>
      <c r="V82" s="557">
        <f t="shared" si="27"/>
        <v>0</v>
      </c>
      <c r="W82" s="476">
        <f t="shared" si="28"/>
        <v>0</v>
      </c>
      <c r="X82" s="476"/>
    </row>
    <row r="83" spans="1:24" s="347" customFormat="1" ht="31.2">
      <c r="A83" s="582" t="s">
        <v>375</v>
      </c>
      <c r="B83" s="139" t="s">
        <v>448</v>
      </c>
      <c r="C83" s="13" t="s">
        <v>174</v>
      </c>
      <c r="D83" s="141">
        <v>3250</v>
      </c>
      <c r="E83" s="565">
        <f t="shared" si="30"/>
        <v>526.79499999999996</v>
      </c>
      <c r="F83" s="583"/>
      <c r="G83" s="583"/>
      <c r="H83" s="583"/>
      <c r="I83" s="583"/>
      <c r="J83" s="583">
        <v>536.88</v>
      </c>
      <c r="K83" s="583"/>
      <c r="L83" s="583">
        <v>-10.085000000000001</v>
      </c>
      <c r="M83" s="402"/>
      <c r="N83" s="402">
        <f>Q83</f>
        <v>3238.7950000000001</v>
      </c>
      <c r="O83" s="402"/>
      <c r="P83" s="402">
        <f>E83</f>
        <v>526.79499999999996</v>
      </c>
      <c r="Q83" s="402">
        <f>P83+2712</f>
        <v>3238.7950000000001</v>
      </c>
      <c r="R83" s="402"/>
      <c r="S83" s="140" t="s">
        <v>233</v>
      </c>
      <c r="T83" s="475"/>
      <c r="U83" s="476">
        <f t="shared" si="26"/>
        <v>11.204999999999927</v>
      </c>
      <c r="V83" s="557">
        <f t="shared" si="27"/>
        <v>0</v>
      </c>
      <c r="W83" s="476">
        <f t="shared" si="28"/>
        <v>0</v>
      </c>
      <c r="X83" s="476"/>
    </row>
    <row r="84" spans="1:24" s="347" customFormat="1">
      <c r="A84" s="582" t="s">
        <v>375</v>
      </c>
      <c r="B84" s="139" t="s">
        <v>450</v>
      </c>
      <c r="C84" s="13" t="s">
        <v>39</v>
      </c>
      <c r="D84" s="141">
        <v>900</v>
      </c>
      <c r="E84" s="565">
        <f t="shared" si="30"/>
        <v>62.954999999999998</v>
      </c>
      <c r="F84" s="583"/>
      <c r="G84" s="583"/>
      <c r="H84" s="583"/>
      <c r="I84" s="583">
        <v>62.954999999999998</v>
      </c>
      <c r="J84" s="583"/>
      <c r="K84" s="583"/>
      <c r="L84" s="583"/>
      <c r="M84" s="402"/>
      <c r="N84" s="402">
        <v>694.87099999999998</v>
      </c>
      <c r="O84" s="402"/>
      <c r="P84" s="402">
        <f>E84</f>
        <v>62.954999999999998</v>
      </c>
      <c r="Q84" s="402">
        <f>N84</f>
        <v>694.87099999999998</v>
      </c>
      <c r="R84" s="402"/>
      <c r="S84" s="140" t="s">
        <v>233</v>
      </c>
      <c r="T84" s="475"/>
      <c r="U84" s="476">
        <f t="shared" si="26"/>
        <v>205.12900000000002</v>
      </c>
      <c r="V84" s="557">
        <f t="shared" si="27"/>
        <v>0</v>
      </c>
      <c r="W84" s="476">
        <f t="shared" si="28"/>
        <v>0</v>
      </c>
      <c r="X84" s="476"/>
    </row>
    <row r="85" spans="1:24" s="347" customFormat="1">
      <c r="A85" s="570" t="s">
        <v>46</v>
      </c>
      <c r="B85" s="571" t="s">
        <v>66</v>
      </c>
      <c r="C85" s="571"/>
      <c r="D85" s="558">
        <f>D86</f>
        <v>12170</v>
      </c>
      <c r="E85" s="558">
        <f t="shared" ref="E85:R85" si="31">E86</f>
        <v>4217.3620000000001</v>
      </c>
      <c r="F85" s="558">
        <f t="shared" si="31"/>
        <v>4367</v>
      </c>
      <c r="G85" s="558">
        <f t="shared" si="31"/>
        <v>0</v>
      </c>
      <c r="H85" s="558">
        <f t="shared" si="31"/>
        <v>750</v>
      </c>
      <c r="I85" s="558">
        <f t="shared" si="31"/>
        <v>462.815</v>
      </c>
      <c r="J85" s="558">
        <f t="shared" si="31"/>
        <v>0</v>
      </c>
      <c r="K85" s="558">
        <f t="shared" si="31"/>
        <v>0</v>
      </c>
      <c r="L85" s="558">
        <f t="shared" si="31"/>
        <v>-1362.453</v>
      </c>
      <c r="M85" s="558">
        <f t="shared" si="31"/>
        <v>6523.308</v>
      </c>
      <c r="N85" s="558">
        <f t="shared" si="31"/>
        <v>7160.7820000000002</v>
      </c>
      <c r="O85" s="558">
        <f t="shared" si="31"/>
        <v>0</v>
      </c>
      <c r="P85" s="558">
        <f t="shared" si="31"/>
        <v>4217.3779999999997</v>
      </c>
      <c r="Q85" s="558">
        <f t="shared" si="31"/>
        <v>4217.3779999999997</v>
      </c>
      <c r="R85" s="558">
        <f t="shared" si="31"/>
        <v>7346.3189999999995</v>
      </c>
      <c r="S85" s="581"/>
      <c r="T85" s="475" t="e">
        <f>+#REF!-O85</f>
        <v>#REF!</v>
      </c>
      <c r="U85" s="476">
        <f t="shared" si="26"/>
        <v>7952.6220000000003</v>
      </c>
      <c r="V85" s="557">
        <f t="shared" si="27"/>
        <v>-1.599999999962165E-2</v>
      </c>
      <c r="W85" s="476">
        <f t="shared" si="28"/>
        <v>2943.4040000000005</v>
      </c>
      <c r="X85" s="476"/>
    </row>
    <row r="86" spans="1:24" s="347" customFormat="1">
      <c r="A86" s="406" t="s">
        <v>28</v>
      </c>
      <c r="B86" s="398" t="s">
        <v>121</v>
      </c>
      <c r="C86" s="406"/>
      <c r="D86" s="558">
        <f>SUM(D87:D95)</f>
        <v>12170</v>
      </c>
      <c r="E86" s="558">
        <f t="shared" ref="E86:R86" si="32">SUM(E87:E95)</f>
        <v>4217.3620000000001</v>
      </c>
      <c r="F86" s="558">
        <f t="shared" si="32"/>
        <v>4367</v>
      </c>
      <c r="G86" s="558">
        <f t="shared" si="32"/>
        <v>0</v>
      </c>
      <c r="H86" s="558">
        <f t="shared" si="32"/>
        <v>750</v>
      </c>
      <c r="I86" s="558">
        <f t="shared" si="32"/>
        <v>462.815</v>
      </c>
      <c r="J86" s="558">
        <f t="shared" si="32"/>
        <v>0</v>
      </c>
      <c r="K86" s="558">
        <f t="shared" si="32"/>
        <v>0</v>
      </c>
      <c r="L86" s="558">
        <f t="shared" si="32"/>
        <v>-1362.453</v>
      </c>
      <c r="M86" s="558">
        <f t="shared" si="32"/>
        <v>6523.308</v>
      </c>
      <c r="N86" s="558">
        <f t="shared" si="32"/>
        <v>7160.7820000000002</v>
      </c>
      <c r="O86" s="558">
        <f t="shared" si="32"/>
        <v>0</v>
      </c>
      <c r="P86" s="558">
        <f t="shared" si="32"/>
        <v>4217.3779999999997</v>
      </c>
      <c r="Q86" s="558">
        <f t="shared" si="32"/>
        <v>4217.3779999999997</v>
      </c>
      <c r="R86" s="558">
        <f t="shared" si="32"/>
        <v>7346.3189999999995</v>
      </c>
      <c r="S86" s="581"/>
      <c r="T86" s="475" t="e">
        <f>+#REF!-O86</f>
        <v>#REF!</v>
      </c>
      <c r="U86" s="476">
        <f t="shared" si="26"/>
        <v>7952.6220000000003</v>
      </c>
      <c r="V86" s="557">
        <f t="shared" si="27"/>
        <v>-1.599999999962165E-2</v>
      </c>
      <c r="W86" s="476">
        <f t="shared" si="28"/>
        <v>2943.4040000000005</v>
      </c>
      <c r="X86" s="476"/>
    </row>
    <row r="87" spans="1:24" s="347" customFormat="1">
      <c r="A87" s="573" t="s">
        <v>375</v>
      </c>
      <c r="B87" s="139" t="s">
        <v>147</v>
      </c>
      <c r="C87" s="13" t="s">
        <v>30</v>
      </c>
      <c r="D87" s="565">
        <v>2500</v>
      </c>
      <c r="E87" s="583">
        <f>SUM(F87:K87)</f>
        <v>500</v>
      </c>
      <c r="F87" s="141">
        <v>500</v>
      </c>
      <c r="G87" s="141"/>
      <c r="H87" s="141"/>
      <c r="I87" s="141"/>
      <c r="J87" s="141"/>
      <c r="K87" s="141"/>
      <c r="L87" s="141"/>
      <c r="M87" s="402">
        <v>2010.172</v>
      </c>
      <c r="N87" s="402">
        <v>2145.319</v>
      </c>
      <c r="O87" s="402"/>
      <c r="P87" s="402">
        <f>E87</f>
        <v>500</v>
      </c>
      <c r="Q87" s="402">
        <f t="shared" ref="Q87:Q94" si="33">P87</f>
        <v>500</v>
      </c>
      <c r="R87" s="402">
        <f>N87-Q87</f>
        <v>1645.319</v>
      </c>
      <c r="S87" s="140"/>
      <c r="T87" s="475"/>
      <c r="U87" s="476">
        <f t="shared" si="26"/>
        <v>2000</v>
      </c>
      <c r="V87" s="557">
        <f t="shared" si="27"/>
        <v>0</v>
      </c>
      <c r="W87" s="476">
        <f t="shared" si="28"/>
        <v>1645.319</v>
      </c>
      <c r="X87" s="476"/>
    </row>
    <row r="88" spans="1:24" s="347" customFormat="1" ht="31.2">
      <c r="A88" s="573" t="s">
        <v>375</v>
      </c>
      <c r="B88" s="139" t="s">
        <v>148</v>
      </c>
      <c r="C88" s="13" t="s">
        <v>30</v>
      </c>
      <c r="D88" s="565">
        <v>1500</v>
      </c>
      <c r="E88" s="583">
        <f>SUM(F88:K88)</f>
        <v>1000</v>
      </c>
      <c r="F88" s="141">
        <v>1000</v>
      </c>
      <c r="G88" s="141"/>
      <c r="H88" s="141"/>
      <c r="I88" s="141"/>
      <c r="J88" s="141"/>
      <c r="K88" s="141"/>
      <c r="L88" s="141"/>
      <c r="M88" s="402">
        <v>1265.829</v>
      </c>
      <c r="N88" s="402">
        <v>1443.9649999999999</v>
      </c>
      <c r="O88" s="402"/>
      <c r="P88" s="402">
        <v>1000</v>
      </c>
      <c r="Q88" s="402">
        <f t="shared" si="33"/>
        <v>1000</v>
      </c>
      <c r="R88" s="402">
        <v>444</v>
      </c>
      <c r="S88" s="140"/>
      <c r="T88" s="475"/>
      <c r="U88" s="476">
        <f t="shared" si="26"/>
        <v>500</v>
      </c>
      <c r="V88" s="557">
        <f t="shared" si="27"/>
        <v>0</v>
      </c>
      <c r="W88" s="476">
        <f t="shared" si="28"/>
        <v>443.96499999999992</v>
      </c>
      <c r="X88" s="476"/>
    </row>
    <row r="89" spans="1:24" s="347" customFormat="1" ht="31.2">
      <c r="A89" s="573" t="s">
        <v>375</v>
      </c>
      <c r="B89" s="139" t="s">
        <v>149</v>
      </c>
      <c r="C89" s="13" t="s">
        <v>30</v>
      </c>
      <c r="D89" s="565">
        <v>520</v>
      </c>
      <c r="E89" s="583">
        <f>SUM(F89:L89)</f>
        <v>479.38400000000001</v>
      </c>
      <c r="F89" s="141">
        <v>1000</v>
      </c>
      <c r="G89" s="141"/>
      <c r="H89" s="141"/>
      <c r="I89" s="141">
        <v>-480</v>
      </c>
      <c r="J89" s="141"/>
      <c r="K89" s="141"/>
      <c r="L89" s="141">
        <v>-40.616</v>
      </c>
      <c r="M89" s="402">
        <v>446.68700000000001</v>
      </c>
      <c r="N89" s="402">
        <v>480.63600000000002</v>
      </c>
      <c r="O89" s="402"/>
      <c r="P89" s="402">
        <v>479.4</v>
      </c>
      <c r="Q89" s="402">
        <f t="shared" si="33"/>
        <v>479.4</v>
      </c>
      <c r="R89" s="402"/>
      <c r="S89" s="584" t="s">
        <v>500</v>
      </c>
      <c r="T89" s="475"/>
      <c r="U89" s="476">
        <f t="shared" si="26"/>
        <v>40.600000000000023</v>
      </c>
      <c r="V89" s="557">
        <f t="shared" si="27"/>
        <v>-1.5999999999962711E-2</v>
      </c>
      <c r="W89" s="476">
        <f t="shared" si="28"/>
        <v>1.2360000000000468</v>
      </c>
      <c r="X89" s="476"/>
    </row>
    <row r="90" spans="1:24" s="347" customFormat="1">
      <c r="A90" s="573" t="s">
        <v>375</v>
      </c>
      <c r="B90" s="139" t="s">
        <v>150</v>
      </c>
      <c r="C90" s="13" t="s">
        <v>30</v>
      </c>
      <c r="D90" s="565">
        <v>2500</v>
      </c>
      <c r="E90" s="583">
        <f>SUM(F90:K90)</f>
        <v>1500</v>
      </c>
      <c r="F90" s="141">
        <v>1500</v>
      </c>
      <c r="G90" s="141"/>
      <c r="H90" s="141"/>
      <c r="I90" s="141"/>
      <c r="J90" s="141"/>
      <c r="K90" s="141"/>
      <c r="L90" s="141"/>
      <c r="M90" s="402">
        <f>2062.642</f>
        <v>2062.6419999999998</v>
      </c>
      <c r="N90" s="402">
        <v>2352.884</v>
      </c>
      <c r="O90" s="402"/>
      <c r="P90" s="402">
        <f>E90</f>
        <v>1500</v>
      </c>
      <c r="Q90" s="402">
        <f t="shared" si="33"/>
        <v>1500</v>
      </c>
      <c r="R90" s="402">
        <f>D90-E90-143</f>
        <v>857</v>
      </c>
      <c r="S90" s="140"/>
      <c r="T90" s="475"/>
      <c r="U90" s="476">
        <f t="shared" si="26"/>
        <v>1000</v>
      </c>
      <c r="V90" s="557">
        <f t="shared" si="27"/>
        <v>0</v>
      </c>
      <c r="W90" s="476">
        <f t="shared" si="28"/>
        <v>852.88400000000001</v>
      </c>
      <c r="X90" s="476"/>
    </row>
    <row r="91" spans="1:24" s="347" customFormat="1" ht="31.2">
      <c r="A91" s="573" t="s">
        <v>375</v>
      </c>
      <c r="B91" s="139" t="s">
        <v>449</v>
      </c>
      <c r="C91" s="13" t="s">
        <v>42</v>
      </c>
      <c r="D91" s="141">
        <v>750</v>
      </c>
      <c r="E91" s="583">
        <f>SUM(F91:L91)</f>
        <v>737.97799999999995</v>
      </c>
      <c r="F91" s="583"/>
      <c r="G91" s="583"/>
      <c r="H91" s="583">
        <v>750</v>
      </c>
      <c r="I91" s="583"/>
      <c r="J91" s="583"/>
      <c r="K91" s="583"/>
      <c r="L91" s="583">
        <v>-12.022</v>
      </c>
      <c r="M91" s="402">
        <f>N91</f>
        <v>737.97799999999995</v>
      </c>
      <c r="N91" s="402">
        <v>737.97799999999995</v>
      </c>
      <c r="O91" s="402"/>
      <c r="P91" s="402">
        <f>N91</f>
        <v>737.97799999999995</v>
      </c>
      <c r="Q91" s="402">
        <f t="shared" si="33"/>
        <v>737.97799999999995</v>
      </c>
      <c r="R91" s="402"/>
      <c r="S91" s="584" t="s">
        <v>457</v>
      </c>
      <c r="T91" s="475"/>
      <c r="U91" s="476">
        <f t="shared" si="26"/>
        <v>12.022000000000048</v>
      </c>
      <c r="V91" s="557">
        <f t="shared" si="27"/>
        <v>0</v>
      </c>
      <c r="W91" s="476">
        <f t="shared" si="28"/>
        <v>0</v>
      </c>
      <c r="X91" s="476"/>
    </row>
    <row r="92" spans="1:24" s="347" customFormat="1" ht="47.25" customHeight="1">
      <c r="A92" s="573" t="s">
        <v>375</v>
      </c>
      <c r="B92" s="139" t="s">
        <v>451</v>
      </c>
      <c r="C92" s="13" t="s">
        <v>30</v>
      </c>
      <c r="D92" s="141">
        <v>600</v>
      </c>
      <c r="E92" s="583">
        <f>SUM(F92:L92)</f>
        <v>0</v>
      </c>
      <c r="F92" s="583"/>
      <c r="G92" s="583"/>
      <c r="H92" s="583"/>
      <c r="I92" s="583">
        <v>442.815</v>
      </c>
      <c r="J92" s="583"/>
      <c r="K92" s="583"/>
      <c r="L92" s="583">
        <v>-442.815</v>
      </c>
      <c r="M92" s="402"/>
      <c r="N92" s="402">
        <f>M92</f>
        <v>0</v>
      </c>
      <c r="O92" s="402"/>
      <c r="P92" s="402">
        <f>N92</f>
        <v>0</v>
      </c>
      <c r="Q92" s="402">
        <f t="shared" si="33"/>
        <v>0</v>
      </c>
      <c r="R92" s="402">
        <f>D92</f>
        <v>600</v>
      </c>
      <c r="S92" s="714" t="s">
        <v>509</v>
      </c>
      <c r="T92" s="475"/>
      <c r="U92" s="476">
        <f t="shared" si="26"/>
        <v>600</v>
      </c>
      <c r="V92" s="557">
        <f t="shared" si="27"/>
        <v>0</v>
      </c>
      <c r="W92" s="476">
        <f t="shared" si="28"/>
        <v>0</v>
      </c>
      <c r="X92" s="476"/>
    </row>
    <row r="93" spans="1:24" s="347" customFormat="1">
      <c r="A93" s="573" t="s">
        <v>375</v>
      </c>
      <c r="B93" s="139" t="s">
        <v>452</v>
      </c>
      <c r="C93" s="13" t="s">
        <v>41</v>
      </c>
      <c r="D93" s="141">
        <v>2000</v>
      </c>
      <c r="E93" s="583">
        <f>SUM(F93:L93)</f>
        <v>0</v>
      </c>
      <c r="F93" s="583"/>
      <c r="G93" s="583"/>
      <c r="H93" s="583"/>
      <c r="I93" s="583">
        <v>300</v>
      </c>
      <c r="J93" s="583"/>
      <c r="K93" s="583"/>
      <c r="L93" s="583">
        <v>-300</v>
      </c>
      <c r="M93" s="402"/>
      <c r="N93" s="402">
        <f>M93</f>
        <v>0</v>
      </c>
      <c r="O93" s="402"/>
      <c r="P93" s="402">
        <f>N93</f>
        <v>0</v>
      </c>
      <c r="Q93" s="402">
        <f t="shared" si="33"/>
        <v>0</v>
      </c>
      <c r="R93" s="402">
        <f>D93</f>
        <v>2000</v>
      </c>
      <c r="S93" s="715"/>
      <c r="T93" s="475"/>
      <c r="U93" s="476">
        <f t="shared" si="26"/>
        <v>2000</v>
      </c>
      <c r="V93" s="557">
        <f t="shared" si="27"/>
        <v>0</v>
      </c>
      <c r="W93" s="476">
        <f t="shared" si="28"/>
        <v>0</v>
      </c>
      <c r="X93" s="476"/>
    </row>
    <row r="94" spans="1:24" s="347" customFormat="1">
      <c r="A94" s="573" t="s">
        <v>375</v>
      </c>
      <c r="B94" s="139" t="s">
        <v>453</v>
      </c>
      <c r="C94" s="13" t="s">
        <v>30</v>
      </c>
      <c r="D94" s="141">
        <v>500</v>
      </c>
      <c r="E94" s="583">
        <f>SUM(F94:L94)</f>
        <v>0</v>
      </c>
      <c r="F94" s="583"/>
      <c r="G94" s="583"/>
      <c r="H94" s="583"/>
      <c r="I94" s="583">
        <v>200</v>
      </c>
      <c r="J94" s="583"/>
      <c r="K94" s="583"/>
      <c r="L94" s="583">
        <v>-200</v>
      </c>
      <c r="M94" s="402"/>
      <c r="N94" s="402">
        <f>M94</f>
        <v>0</v>
      </c>
      <c r="O94" s="402"/>
      <c r="P94" s="402">
        <f>N94</f>
        <v>0</v>
      </c>
      <c r="Q94" s="402">
        <f t="shared" si="33"/>
        <v>0</v>
      </c>
      <c r="R94" s="402">
        <f>D94-N94</f>
        <v>500</v>
      </c>
      <c r="S94" s="716"/>
      <c r="T94" s="475"/>
      <c r="U94" s="476">
        <f t="shared" si="26"/>
        <v>500</v>
      </c>
      <c r="V94" s="557">
        <f t="shared" si="27"/>
        <v>0</v>
      </c>
      <c r="W94" s="476">
        <f t="shared" si="28"/>
        <v>0</v>
      </c>
      <c r="X94" s="476"/>
    </row>
    <row r="95" spans="1:24" s="347" customFormat="1" ht="78">
      <c r="A95" s="573" t="s">
        <v>375</v>
      </c>
      <c r="B95" s="139" t="s">
        <v>156</v>
      </c>
      <c r="C95" s="13" t="s">
        <v>30</v>
      </c>
      <c r="D95" s="565">
        <v>1300</v>
      </c>
      <c r="E95" s="583">
        <f>SUM(F95:L95)</f>
        <v>0</v>
      </c>
      <c r="F95" s="141">
        <v>367</v>
      </c>
      <c r="G95" s="141"/>
      <c r="H95" s="141"/>
      <c r="I95" s="141"/>
      <c r="J95" s="141"/>
      <c r="K95" s="141"/>
      <c r="L95" s="141">
        <v>-367</v>
      </c>
      <c r="M95" s="402"/>
      <c r="N95" s="402"/>
      <c r="O95" s="402"/>
      <c r="P95" s="402"/>
      <c r="Q95" s="402"/>
      <c r="R95" s="402">
        <f>D95-N95</f>
        <v>1300</v>
      </c>
      <c r="S95" s="140" t="s">
        <v>458</v>
      </c>
      <c r="T95" s="475"/>
      <c r="U95" s="476">
        <f t="shared" si="26"/>
        <v>1300</v>
      </c>
      <c r="V95" s="557">
        <f t="shared" si="27"/>
        <v>0</v>
      </c>
      <c r="W95" s="476">
        <f t="shared" si="28"/>
        <v>0</v>
      </c>
      <c r="X95" s="476"/>
    </row>
    <row r="96" spans="1:24" s="347" customFormat="1">
      <c r="A96" s="406" t="s">
        <v>151</v>
      </c>
      <c r="B96" s="398" t="s">
        <v>152</v>
      </c>
      <c r="C96" s="398"/>
      <c r="D96" s="558">
        <f>D97</f>
        <v>11000</v>
      </c>
      <c r="E96" s="558">
        <f t="shared" ref="E96:R96" si="34">E97</f>
        <v>2537</v>
      </c>
      <c r="F96" s="558">
        <f t="shared" si="34"/>
        <v>2537</v>
      </c>
      <c r="G96" s="558">
        <f t="shared" si="34"/>
        <v>0</v>
      </c>
      <c r="H96" s="558">
        <f t="shared" si="34"/>
        <v>0</v>
      </c>
      <c r="I96" s="558">
        <f t="shared" si="34"/>
        <v>0</v>
      </c>
      <c r="J96" s="558">
        <f t="shared" si="34"/>
        <v>0</v>
      </c>
      <c r="K96" s="558">
        <f t="shared" si="34"/>
        <v>0</v>
      </c>
      <c r="L96" s="558">
        <f t="shared" si="34"/>
        <v>0</v>
      </c>
      <c r="M96" s="350">
        <f t="shared" si="34"/>
        <v>0</v>
      </c>
      <c r="N96" s="350">
        <f t="shared" si="34"/>
        <v>2537</v>
      </c>
      <c r="O96" s="350">
        <f t="shared" si="34"/>
        <v>0</v>
      </c>
      <c r="P96" s="350">
        <f t="shared" si="34"/>
        <v>2537</v>
      </c>
      <c r="Q96" s="350">
        <f t="shared" si="34"/>
        <v>2537</v>
      </c>
      <c r="R96" s="350">
        <f t="shared" si="34"/>
        <v>0</v>
      </c>
      <c r="S96" s="560"/>
      <c r="T96" s="475"/>
      <c r="U96" s="476">
        <f t="shared" si="26"/>
        <v>8463</v>
      </c>
      <c r="V96" s="557">
        <f t="shared" si="27"/>
        <v>0</v>
      </c>
      <c r="W96" s="476">
        <f t="shared" si="28"/>
        <v>0</v>
      </c>
      <c r="X96" s="476"/>
    </row>
    <row r="97" spans="1:24" s="347" customFormat="1">
      <c r="A97" s="572" t="s">
        <v>23</v>
      </c>
      <c r="B97" s="477" t="s">
        <v>153</v>
      </c>
      <c r="C97" s="469"/>
      <c r="D97" s="579">
        <f>D98</f>
        <v>11000</v>
      </c>
      <c r="E97" s="579">
        <f t="shared" ref="E97:R97" si="35">E98</f>
        <v>2537</v>
      </c>
      <c r="F97" s="579">
        <f t="shared" si="35"/>
        <v>2537</v>
      </c>
      <c r="G97" s="579">
        <f t="shared" si="35"/>
        <v>0</v>
      </c>
      <c r="H97" s="579">
        <f t="shared" si="35"/>
        <v>0</v>
      </c>
      <c r="I97" s="579">
        <f t="shared" si="35"/>
        <v>0</v>
      </c>
      <c r="J97" s="579">
        <f t="shared" si="35"/>
        <v>0</v>
      </c>
      <c r="K97" s="579">
        <f t="shared" si="35"/>
        <v>0</v>
      </c>
      <c r="L97" s="579">
        <f t="shared" si="35"/>
        <v>0</v>
      </c>
      <c r="M97" s="350">
        <f t="shared" si="35"/>
        <v>0</v>
      </c>
      <c r="N97" s="350">
        <f t="shared" si="35"/>
        <v>2537</v>
      </c>
      <c r="O97" s="350">
        <f t="shared" si="35"/>
        <v>0</v>
      </c>
      <c r="P97" s="350">
        <f t="shared" si="35"/>
        <v>2537</v>
      </c>
      <c r="Q97" s="350">
        <f t="shared" si="35"/>
        <v>2537</v>
      </c>
      <c r="R97" s="350">
        <f t="shared" si="35"/>
        <v>0</v>
      </c>
      <c r="S97" s="469"/>
      <c r="T97" s="475"/>
      <c r="U97" s="476">
        <f t="shared" si="26"/>
        <v>8463</v>
      </c>
      <c r="V97" s="557">
        <f t="shared" si="27"/>
        <v>0</v>
      </c>
      <c r="W97" s="476">
        <f t="shared" si="28"/>
        <v>0</v>
      </c>
      <c r="X97" s="476"/>
    </row>
    <row r="98" spans="1:24" s="347" customFormat="1">
      <c r="A98" s="138" t="s">
        <v>28</v>
      </c>
      <c r="B98" s="477" t="s">
        <v>100</v>
      </c>
      <c r="C98" s="140"/>
      <c r="D98" s="579">
        <f>SUM(D99:D100)</f>
        <v>11000</v>
      </c>
      <c r="E98" s="579">
        <f t="shared" ref="E98:R98" si="36">SUM(E99:E100)</f>
        <v>2537</v>
      </c>
      <c r="F98" s="579">
        <f t="shared" si="36"/>
        <v>2537</v>
      </c>
      <c r="G98" s="579">
        <f t="shared" si="36"/>
        <v>0</v>
      </c>
      <c r="H98" s="579">
        <f t="shared" si="36"/>
        <v>0</v>
      </c>
      <c r="I98" s="579">
        <f t="shared" si="36"/>
        <v>0</v>
      </c>
      <c r="J98" s="579">
        <f t="shared" si="36"/>
        <v>0</v>
      </c>
      <c r="K98" s="579">
        <f t="shared" si="36"/>
        <v>0</v>
      </c>
      <c r="L98" s="579">
        <f t="shared" si="36"/>
        <v>0</v>
      </c>
      <c r="M98" s="350">
        <f t="shared" si="36"/>
        <v>0</v>
      </c>
      <c r="N98" s="350">
        <f t="shared" si="36"/>
        <v>2537</v>
      </c>
      <c r="O98" s="350">
        <f t="shared" si="36"/>
        <v>0</v>
      </c>
      <c r="P98" s="350">
        <f t="shared" si="36"/>
        <v>2537</v>
      </c>
      <c r="Q98" s="350">
        <f t="shared" si="36"/>
        <v>2537</v>
      </c>
      <c r="R98" s="350">
        <f t="shared" si="36"/>
        <v>0</v>
      </c>
      <c r="S98" s="140"/>
      <c r="T98" s="475"/>
      <c r="U98" s="476">
        <f t="shared" si="26"/>
        <v>8463</v>
      </c>
      <c r="V98" s="557">
        <f t="shared" si="27"/>
        <v>0</v>
      </c>
      <c r="W98" s="476">
        <f t="shared" si="28"/>
        <v>0</v>
      </c>
      <c r="X98" s="476"/>
    </row>
    <row r="99" spans="1:24" s="347" customFormat="1" ht="31.2">
      <c r="A99" s="573" t="s">
        <v>375</v>
      </c>
      <c r="B99" s="574" t="s">
        <v>154</v>
      </c>
      <c r="C99" s="140" t="s">
        <v>41</v>
      </c>
      <c r="D99" s="565">
        <v>5500</v>
      </c>
      <c r="E99" s="565">
        <f>SUM(F99:K99)</f>
        <v>1250</v>
      </c>
      <c r="F99" s="565">
        <v>1250</v>
      </c>
      <c r="G99" s="565"/>
      <c r="H99" s="565"/>
      <c r="I99" s="565"/>
      <c r="J99" s="565"/>
      <c r="K99" s="565"/>
      <c r="L99" s="565"/>
      <c r="M99" s="350"/>
      <c r="N99" s="402">
        <f>E99</f>
        <v>1250</v>
      </c>
      <c r="O99" s="402"/>
      <c r="P99" s="402">
        <f>E99</f>
        <v>1250</v>
      </c>
      <c r="Q99" s="402">
        <f>E99</f>
        <v>1250</v>
      </c>
      <c r="R99" s="350"/>
      <c r="S99" s="140"/>
      <c r="T99" s="475"/>
      <c r="U99" s="476">
        <f t="shared" si="26"/>
        <v>4250</v>
      </c>
      <c r="V99" s="557">
        <f t="shared" si="27"/>
        <v>0</v>
      </c>
      <c r="W99" s="476">
        <f t="shared" si="28"/>
        <v>0</v>
      </c>
      <c r="X99" s="476"/>
    </row>
    <row r="100" spans="1:24" s="347" customFormat="1" ht="31.2">
      <c r="A100" s="573" t="s">
        <v>375</v>
      </c>
      <c r="B100" s="574" t="s">
        <v>155</v>
      </c>
      <c r="C100" s="140" t="s">
        <v>30</v>
      </c>
      <c r="D100" s="565">
        <v>5500</v>
      </c>
      <c r="E100" s="565">
        <f>SUM(F100:K100)</f>
        <v>1287</v>
      </c>
      <c r="F100" s="565">
        <v>1287</v>
      </c>
      <c r="G100" s="565"/>
      <c r="H100" s="565"/>
      <c r="I100" s="565"/>
      <c r="J100" s="565"/>
      <c r="K100" s="565"/>
      <c r="L100" s="565"/>
      <c r="M100" s="350"/>
      <c r="N100" s="402">
        <f>E100</f>
        <v>1287</v>
      </c>
      <c r="O100" s="402"/>
      <c r="P100" s="402">
        <f>E100</f>
        <v>1287</v>
      </c>
      <c r="Q100" s="402">
        <f>E100</f>
        <v>1287</v>
      </c>
      <c r="R100" s="350"/>
      <c r="S100" s="140"/>
      <c r="T100" s="475"/>
      <c r="U100" s="476">
        <f t="shared" si="26"/>
        <v>4213</v>
      </c>
      <c r="V100" s="557">
        <f t="shared" si="27"/>
        <v>0</v>
      </c>
      <c r="W100" s="476">
        <f t="shared" si="28"/>
        <v>0</v>
      </c>
      <c r="X100" s="476"/>
    </row>
    <row r="101" spans="1:24" s="347" customFormat="1" ht="16.2" thickBot="1">
      <c r="A101" s="621"/>
      <c r="B101" s="622"/>
      <c r="C101" s="623"/>
      <c r="D101" s="624"/>
      <c r="E101" s="624"/>
      <c r="F101" s="624"/>
      <c r="G101" s="624"/>
      <c r="H101" s="624"/>
      <c r="I101" s="624"/>
      <c r="J101" s="624"/>
      <c r="K101" s="624"/>
      <c r="L101" s="624"/>
      <c r="M101" s="624"/>
      <c r="N101" s="624"/>
      <c r="O101" s="624"/>
      <c r="P101" s="624"/>
      <c r="Q101" s="624"/>
      <c r="R101" s="624"/>
      <c r="S101" s="623"/>
      <c r="T101" s="475"/>
      <c r="U101" s="476">
        <f t="shared" si="26"/>
        <v>0</v>
      </c>
      <c r="V101" s="557">
        <f t="shared" ref="V101" si="37">E102-P102</f>
        <v>0</v>
      </c>
      <c r="W101" s="476">
        <f t="shared" si="28"/>
        <v>0</v>
      </c>
      <c r="X101" s="476"/>
    </row>
    <row r="102" spans="1:24" ht="16.2" thickTop="1"/>
  </sheetData>
  <mergeCells count="13">
    <mergeCell ref="S92:S94"/>
    <mergeCell ref="E4:S4"/>
    <mergeCell ref="A2:S2"/>
    <mergeCell ref="A3:S3"/>
    <mergeCell ref="A5:A6"/>
    <mergeCell ref="B5:B6"/>
    <mergeCell ref="C5:C6"/>
    <mergeCell ref="D5:D6"/>
    <mergeCell ref="S5:S6"/>
    <mergeCell ref="M5:N5"/>
    <mergeCell ref="R5:R6"/>
    <mergeCell ref="O5:Q5"/>
    <mergeCell ref="E5:L6"/>
  </mergeCells>
  <pageMargins left="0.60433070899999997" right="0.48622047200000001" top="0.59055118110236204" bottom="0.55118110236220497" header="0.31496062992126" footer="0.31496062992126"/>
  <pageSetup paperSize="8" scale="112" fitToHeight="0" orientation="landscape" verticalDpi="300" r:id="rId1"/>
  <headerFooter>
    <oddFooter>Page &amp;P of &amp;N</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Y34"/>
  <sheetViews>
    <sheetView view="pageBreakPreview" zoomScale="70" zoomScaleNormal="70" zoomScaleSheetLayoutView="70" workbookViewId="0">
      <selection activeCell="U11" sqref="U11"/>
    </sheetView>
  </sheetViews>
  <sheetFormatPr defaultColWidth="9" defaultRowHeight="15.6"/>
  <cols>
    <col min="1" max="1" width="6" style="341" customWidth="1"/>
    <col min="2" max="2" width="43.8984375" style="341" customWidth="1"/>
    <col min="3" max="3" width="14.8984375" style="343" customWidth="1"/>
    <col min="4" max="4" width="12.19921875" style="341" customWidth="1"/>
    <col min="5" max="5" width="13.69921875" style="341" hidden="1" customWidth="1"/>
    <col min="6" max="6" width="12.69921875" style="341" hidden="1" customWidth="1"/>
    <col min="7" max="7" width="14.8984375" style="341" customWidth="1"/>
    <col min="8" max="10" width="13.19921875" style="341" hidden="1" customWidth="1"/>
    <col min="11" max="12" width="13.19921875" style="341" customWidth="1"/>
    <col min="13" max="13" width="11.69921875" style="341" hidden="1" customWidth="1"/>
    <col min="14" max="14" width="5.09765625" style="341" hidden="1" customWidth="1"/>
    <col min="15" max="15" width="11.3984375" style="341" hidden="1" customWidth="1"/>
    <col min="16" max="16" width="11.3984375" style="341" customWidth="1"/>
    <col min="17" max="18" width="13.3984375" style="341" customWidth="1"/>
    <col min="19" max="19" width="15.8984375" style="341" customWidth="1"/>
    <col min="20" max="20" width="11.69921875" style="354" bestFit="1" customWidth="1"/>
    <col min="21" max="21" width="13.8984375" style="354" customWidth="1"/>
    <col min="22" max="22" width="9" style="354"/>
    <col min="23" max="23" width="11.69921875" style="354" bestFit="1" customWidth="1"/>
    <col min="24" max="24" width="9" style="341"/>
    <col min="25" max="25" width="12.09765625" style="341" bestFit="1" customWidth="1"/>
    <col min="26" max="16384" width="9" style="341"/>
  </cols>
  <sheetData>
    <row r="1" spans="1:25" ht="15.75" customHeight="1">
      <c r="A1" s="729" t="s">
        <v>421</v>
      </c>
      <c r="B1" s="729"/>
      <c r="C1" s="353"/>
      <c r="D1" s="353"/>
      <c r="E1" s="353"/>
      <c r="F1" s="353"/>
      <c r="G1" s="342"/>
      <c r="H1" s="342"/>
      <c r="I1" s="342"/>
      <c r="J1" s="342"/>
      <c r="K1" s="342"/>
      <c r="L1" s="342"/>
      <c r="M1" s="342"/>
      <c r="N1" s="342"/>
      <c r="O1" s="342"/>
      <c r="P1" s="342"/>
      <c r="Q1" s="342"/>
      <c r="R1" s="342"/>
      <c r="S1" s="353"/>
    </row>
    <row r="2" spans="1:25" ht="22.5" customHeight="1">
      <c r="A2" s="730" t="s">
        <v>420</v>
      </c>
      <c r="B2" s="730"/>
      <c r="C2" s="730"/>
      <c r="D2" s="730"/>
      <c r="E2" s="730"/>
      <c r="F2" s="730"/>
      <c r="G2" s="730"/>
      <c r="H2" s="730"/>
      <c r="I2" s="730"/>
      <c r="J2" s="730"/>
      <c r="K2" s="730"/>
      <c r="L2" s="730"/>
      <c r="M2" s="730"/>
      <c r="N2" s="730"/>
      <c r="O2" s="730"/>
      <c r="P2" s="730"/>
      <c r="Q2" s="730"/>
      <c r="R2" s="730"/>
      <c r="S2" s="730"/>
    </row>
    <row r="3" spans="1:25" ht="16.5" customHeight="1">
      <c r="A3" s="731" t="str">
        <f>'06-S.NGHIỆP KINH TẾ'!A3:S3</f>
        <v>(Kèm theo Báo cáo số 899/BC-UBND, ngày 28 háng 11 năm 2022 của UBND huyện Tuần Giáo)</v>
      </c>
      <c r="B3" s="732"/>
      <c r="C3" s="732"/>
      <c r="D3" s="732"/>
      <c r="E3" s="732"/>
      <c r="F3" s="732"/>
      <c r="G3" s="732"/>
      <c r="H3" s="732"/>
      <c r="I3" s="732"/>
      <c r="J3" s="732"/>
      <c r="K3" s="732"/>
      <c r="L3" s="732"/>
      <c r="M3" s="732"/>
      <c r="N3" s="732"/>
      <c r="O3" s="732"/>
      <c r="P3" s="732"/>
      <c r="Q3" s="732"/>
      <c r="R3" s="732"/>
      <c r="S3" s="732"/>
    </row>
    <row r="4" spans="1:25" ht="18" customHeight="1">
      <c r="A4" s="352"/>
      <c r="B4" s="352"/>
      <c r="C4" s="352"/>
      <c r="D4" s="352"/>
      <c r="E4" s="352"/>
      <c r="F4" s="352"/>
      <c r="G4" s="733"/>
      <c r="H4" s="733"/>
      <c r="I4" s="733"/>
      <c r="J4" s="733"/>
      <c r="K4" s="733"/>
      <c r="L4" s="733"/>
      <c r="M4" s="733"/>
      <c r="N4" s="733"/>
      <c r="O4" s="733"/>
      <c r="P4" s="733"/>
      <c r="Q4" s="733"/>
      <c r="R4" s="733"/>
      <c r="S4" s="733"/>
    </row>
    <row r="5" spans="1:25" ht="30.75" customHeight="1">
      <c r="A5" s="734" t="s">
        <v>0</v>
      </c>
      <c r="B5" s="734" t="s">
        <v>43</v>
      </c>
      <c r="C5" s="734" t="s">
        <v>418</v>
      </c>
      <c r="D5" s="734" t="s">
        <v>5</v>
      </c>
      <c r="E5" s="734" t="s">
        <v>413</v>
      </c>
      <c r="F5" s="734"/>
      <c r="G5" s="735" t="s">
        <v>45</v>
      </c>
      <c r="H5" s="701" t="s">
        <v>412</v>
      </c>
      <c r="I5" s="701"/>
      <c r="J5" s="701"/>
      <c r="K5" s="701"/>
      <c r="L5" s="701"/>
      <c r="M5" s="701" t="s">
        <v>82</v>
      </c>
      <c r="N5" s="701"/>
      <c r="O5" s="701"/>
      <c r="P5" s="701"/>
      <c r="Q5" s="701"/>
      <c r="R5" s="701" t="s">
        <v>245</v>
      </c>
      <c r="S5" s="734" t="s">
        <v>8</v>
      </c>
    </row>
    <row r="6" spans="1:25" ht="48.75" customHeight="1">
      <c r="A6" s="734"/>
      <c r="B6" s="734"/>
      <c r="C6" s="734"/>
      <c r="D6" s="734"/>
      <c r="E6" s="318" t="s">
        <v>411</v>
      </c>
      <c r="F6" s="318" t="s">
        <v>410</v>
      </c>
      <c r="G6" s="735"/>
      <c r="H6" s="357" t="s">
        <v>417</v>
      </c>
      <c r="I6" s="357" t="s">
        <v>416</v>
      </c>
      <c r="J6" s="318" t="s">
        <v>415</v>
      </c>
      <c r="K6" s="318" t="s">
        <v>19</v>
      </c>
      <c r="L6" s="318" t="s">
        <v>408</v>
      </c>
      <c r="M6" s="318" t="s">
        <v>417</v>
      </c>
      <c r="N6" s="318" t="s">
        <v>416</v>
      </c>
      <c r="O6" s="318" t="s">
        <v>415</v>
      </c>
      <c r="P6" s="318" t="s">
        <v>19</v>
      </c>
      <c r="Q6" s="318" t="s">
        <v>408</v>
      </c>
      <c r="R6" s="701"/>
      <c r="S6" s="734"/>
      <c r="U6" s="355">
        <f>+P8+R8</f>
        <v>0</v>
      </c>
      <c r="W6" s="355"/>
      <c r="Y6" s="351">
        <f>+Q8+R8</f>
        <v>11969</v>
      </c>
    </row>
    <row r="7" spans="1:25" ht="21.75" customHeight="1">
      <c r="A7" s="376">
        <v>1</v>
      </c>
      <c r="B7" s="376">
        <v>2</v>
      </c>
      <c r="C7" s="376">
        <v>3</v>
      </c>
      <c r="D7" s="376">
        <v>4</v>
      </c>
      <c r="E7" s="375">
        <v>5</v>
      </c>
      <c r="F7" s="375">
        <v>6</v>
      </c>
      <c r="G7" s="377" t="s">
        <v>88</v>
      </c>
      <c r="H7" s="378"/>
      <c r="I7" s="378"/>
      <c r="J7" s="375">
        <v>9</v>
      </c>
      <c r="K7" s="375">
        <v>6</v>
      </c>
      <c r="L7" s="375">
        <v>7</v>
      </c>
      <c r="M7" s="375"/>
      <c r="N7" s="375"/>
      <c r="O7" s="375">
        <v>11</v>
      </c>
      <c r="P7" s="375">
        <v>8</v>
      </c>
      <c r="Q7" s="375">
        <v>9</v>
      </c>
      <c r="R7" s="375">
        <v>10</v>
      </c>
      <c r="S7" s="376">
        <v>11</v>
      </c>
    </row>
    <row r="8" spans="1:25" s="349" customFormat="1" ht="29.25" customHeight="1">
      <c r="A8" s="69"/>
      <c r="B8" s="69" t="s">
        <v>54</v>
      </c>
      <c r="C8" s="69"/>
      <c r="D8" s="350">
        <f t="shared" ref="D8:R8" si="0">D9+D22</f>
        <v>48350</v>
      </c>
      <c r="E8" s="350">
        <f t="shared" si="0"/>
        <v>0</v>
      </c>
      <c r="F8" s="350">
        <f t="shared" si="0"/>
        <v>0</v>
      </c>
      <c r="G8" s="350">
        <f t="shared" si="0"/>
        <v>25318.799999999999</v>
      </c>
      <c r="H8" s="350">
        <f t="shared" si="0"/>
        <v>0</v>
      </c>
      <c r="I8" s="350">
        <f t="shared" si="0"/>
        <v>0</v>
      </c>
      <c r="J8" s="350">
        <f t="shared" si="0"/>
        <v>0</v>
      </c>
      <c r="K8" s="350">
        <f t="shared" si="0"/>
        <v>0</v>
      </c>
      <c r="L8" s="350">
        <f t="shared" si="0"/>
        <v>24626.441999999999</v>
      </c>
      <c r="M8" s="350">
        <f t="shared" si="0"/>
        <v>0</v>
      </c>
      <c r="N8" s="350">
        <f t="shared" si="0"/>
        <v>0</v>
      </c>
      <c r="O8" s="350">
        <f t="shared" si="0"/>
        <v>0</v>
      </c>
      <c r="P8" s="350">
        <f t="shared" si="0"/>
        <v>0</v>
      </c>
      <c r="Q8" s="350">
        <f t="shared" si="0"/>
        <v>11969</v>
      </c>
      <c r="R8" s="350">
        <f t="shared" si="0"/>
        <v>0</v>
      </c>
      <c r="S8" s="350"/>
      <c r="T8" s="356"/>
      <c r="U8" s="356"/>
      <c r="V8" s="356"/>
      <c r="W8" s="356"/>
    </row>
    <row r="9" spans="1:25" s="344" customFormat="1" ht="29.25" customHeight="1">
      <c r="A9" s="22" t="s">
        <v>23</v>
      </c>
      <c r="B9" s="71" t="s">
        <v>56</v>
      </c>
      <c r="C9" s="22"/>
      <c r="D9" s="345">
        <f t="shared" ref="D9:R9" si="1">D10</f>
        <v>26050</v>
      </c>
      <c r="E9" s="345">
        <f t="shared" si="1"/>
        <v>0</v>
      </c>
      <c r="F9" s="345">
        <f t="shared" si="1"/>
        <v>0</v>
      </c>
      <c r="G9" s="345">
        <f t="shared" si="1"/>
        <v>13718.8</v>
      </c>
      <c r="H9" s="345">
        <f t="shared" si="1"/>
        <v>0</v>
      </c>
      <c r="I9" s="345">
        <f t="shared" si="1"/>
        <v>0</v>
      </c>
      <c r="J9" s="345">
        <f t="shared" si="1"/>
        <v>0</v>
      </c>
      <c r="K9" s="345">
        <f t="shared" si="1"/>
        <v>0</v>
      </c>
      <c r="L9" s="345">
        <f t="shared" si="1"/>
        <v>24626.441999999999</v>
      </c>
      <c r="M9" s="345">
        <f t="shared" si="1"/>
        <v>0</v>
      </c>
      <c r="N9" s="345">
        <f t="shared" si="1"/>
        <v>0</v>
      </c>
      <c r="O9" s="345">
        <f t="shared" si="1"/>
        <v>0</v>
      </c>
      <c r="P9" s="345">
        <f t="shared" si="1"/>
        <v>0</v>
      </c>
      <c r="Q9" s="345">
        <f t="shared" si="1"/>
        <v>11969</v>
      </c>
      <c r="R9" s="345">
        <f t="shared" si="1"/>
        <v>0</v>
      </c>
      <c r="S9" s="345"/>
      <c r="T9" s="355"/>
      <c r="U9" s="355"/>
      <c r="V9" s="355"/>
      <c r="W9" s="355"/>
    </row>
    <row r="10" spans="1:25" s="344" customFormat="1" ht="29.25" customHeight="1">
      <c r="A10" s="22" t="s">
        <v>28</v>
      </c>
      <c r="B10" s="71" t="s">
        <v>158</v>
      </c>
      <c r="C10" s="22"/>
      <c r="D10" s="345">
        <f t="shared" ref="D10:R10" si="2">SUM(D11:D21)</f>
        <v>26050</v>
      </c>
      <c r="E10" s="345">
        <f t="shared" si="2"/>
        <v>0</v>
      </c>
      <c r="F10" s="345">
        <f t="shared" si="2"/>
        <v>0</v>
      </c>
      <c r="G10" s="345">
        <f t="shared" si="2"/>
        <v>13718.8</v>
      </c>
      <c r="H10" s="345">
        <f t="shared" si="2"/>
        <v>0</v>
      </c>
      <c r="I10" s="345">
        <f t="shared" si="2"/>
        <v>0</v>
      </c>
      <c r="J10" s="345">
        <f t="shared" si="2"/>
        <v>0</v>
      </c>
      <c r="K10" s="345">
        <f t="shared" si="2"/>
        <v>0</v>
      </c>
      <c r="L10" s="345">
        <f t="shared" si="2"/>
        <v>24626.441999999999</v>
      </c>
      <c r="M10" s="345">
        <f t="shared" si="2"/>
        <v>0</v>
      </c>
      <c r="N10" s="345">
        <f t="shared" si="2"/>
        <v>0</v>
      </c>
      <c r="O10" s="345">
        <f t="shared" si="2"/>
        <v>0</v>
      </c>
      <c r="P10" s="345">
        <f t="shared" si="2"/>
        <v>0</v>
      </c>
      <c r="Q10" s="345">
        <f t="shared" si="2"/>
        <v>11969</v>
      </c>
      <c r="R10" s="345">
        <f t="shared" si="2"/>
        <v>0</v>
      </c>
      <c r="S10" s="345"/>
      <c r="T10" s="355"/>
      <c r="U10" s="355"/>
      <c r="V10" s="355"/>
      <c r="W10" s="355"/>
    </row>
    <row r="11" spans="1:25" ht="33.6">
      <c r="A11" s="360" t="s">
        <v>375</v>
      </c>
      <c r="B11" s="362" t="s">
        <v>159</v>
      </c>
      <c r="C11" s="49" t="s">
        <v>160</v>
      </c>
      <c r="D11" s="365">
        <v>3000</v>
      </c>
      <c r="E11" s="346"/>
      <c r="F11" s="346"/>
      <c r="G11" s="346">
        <v>380.79999999999973</v>
      </c>
      <c r="H11" s="346"/>
      <c r="I11" s="346"/>
      <c r="J11" s="346"/>
      <c r="K11" s="346"/>
      <c r="L11" s="346">
        <v>2978.1</v>
      </c>
      <c r="M11" s="346"/>
      <c r="N11" s="346"/>
      <c r="O11" s="346"/>
      <c r="P11" s="346"/>
      <c r="Q11" s="346">
        <v>2597.3000000000002</v>
      </c>
      <c r="R11" s="346"/>
      <c r="S11" s="49"/>
      <c r="T11" s="355"/>
      <c r="U11" s="355"/>
      <c r="V11" s="355"/>
      <c r="W11" s="355"/>
    </row>
    <row r="12" spans="1:25" ht="33.6">
      <c r="A12" s="360" t="s">
        <v>375</v>
      </c>
      <c r="B12" s="363" t="s">
        <v>162</v>
      </c>
      <c r="C12" s="364" t="s">
        <v>40</v>
      </c>
      <c r="D12" s="365">
        <v>2400</v>
      </c>
      <c r="E12" s="346"/>
      <c r="F12" s="346"/>
      <c r="G12" s="346">
        <v>1399</v>
      </c>
      <c r="H12" s="346"/>
      <c r="I12" s="346"/>
      <c r="J12" s="346"/>
      <c r="K12" s="346"/>
      <c r="L12" s="346">
        <v>2399</v>
      </c>
      <c r="M12" s="346"/>
      <c r="N12" s="346"/>
      <c r="O12" s="346"/>
      <c r="P12" s="346"/>
      <c r="Q12" s="346">
        <v>1000</v>
      </c>
      <c r="R12" s="346"/>
      <c r="S12" s="49"/>
      <c r="T12" s="355"/>
      <c r="U12" s="355"/>
      <c r="V12" s="355"/>
      <c r="W12" s="355"/>
    </row>
    <row r="13" spans="1:25" ht="33.6">
      <c r="A13" s="360" t="s">
        <v>375</v>
      </c>
      <c r="B13" s="363" t="s">
        <v>163</v>
      </c>
      <c r="C13" s="364" t="s">
        <v>42</v>
      </c>
      <c r="D13" s="365">
        <v>2300</v>
      </c>
      <c r="E13" s="346"/>
      <c r="F13" s="346"/>
      <c r="G13" s="346">
        <v>1327</v>
      </c>
      <c r="H13" s="346"/>
      <c r="I13" s="346"/>
      <c r="J13" s="346"/>
      <c r="K13" s="346"/>
      <c r="L13" s="346">
        <v>1800</v>
      </c>
      <c r="M13" s="346"/>
      <c r="N13" s="346"/>
      <c r="O13" s="346"/>
      <c r="P13" s="346"/>
      <c r="Q13" s="346">
        <v>971.7</v>
      </c>
      <c r="R13" s="346"/>
      <c r="S13" s="49"/>
      <c r="T13" s="355"/>
      <c r="U13" s="355"/>
      <c r="V13" s="355"/>
      <c r="W13" s="355"/>
    </row>
    <row r="14" spans="1:25" ht="33.6">
      <c r="A14" s="360" t="s">
        <v>375</v>
      </c>
      <c r="B14" s="363" t="s">
        <v>164</v>
      </c>
      <c r="C14" s="364" t="s">
        <v>165</v>
      </c>
      <c r="D14" s="365">
        <v>2650</v>
      </c>
      <c r="E14" s="346"/>
      <c r="F14" s="346"/>
      <c r="G14" s="346">
        <v>1543</v>
      </c>
      <c r="H14" s="346"/>
      <c r="I14" s="346"/>
      <c r="J14" s="346"/>
      <c r="K14" s="346"/>
      <c r="L14" s="346">
        <v>2463</v>
      </c>
      <c r="M14" s="346"/>
      <c r="N14" s="346"/>
      <c r="O14" s="346"/>
      <c r="P14" s="346"/>
      <c r="Q14" s="346">
        <v>1100</v>
      </c>
      <c r="R14" s="346"/>
      <c r="S14" s="49"/>
      <c r="T14" s="355"/>
      <c r="U14" s="355"/>
      <c r="V14" s="355"/>
      <c r="W14" s="355"/>
    </row>
    <row r="15" spans="1:25" ht="33.6">
      <c r="A15" s="360" t="s">
        <v>375</v>
      </c>
      <c r="B15" s="363" t="s">
        <v>166</v>
      </c>
      <c r="C15" s="364" t="s">
        <v>41</v>
      </c>
      <c r="D15" s="365">
        <v>2700</v>
      </c>
      <c r="E15" s="346"/>
      <c r="F15" s="346"/>
      <c r="G15" s="346">
        <v>1561</v>
      </c>
      <c r="H15" s="346"/>
      <c r="I15" s="346"/>
      <c r="J15" s="346"/>
      <c r="K15" s="346"/>
      <c r="L15" s="346">
        <v>2661</v>
      </c>
      <c r="M15" s="346"/>
      <c r="N15" s="346"/>
      <c r="O15" s="346"/>
      <c r="P15" s="346"/>
      <c r="Q15" s="346">
        <v>1100</v>
      </c>
      <c r="R15" s="346"/>
      <c r="S15" s="49"/>
      <c r="T15" s="355"/>
      <c r="U15" s="355"/>
      <c r="V15" s="355"/>
      <c r="W15" s="355"/>
    </row>
    <row r="16" spans="1:25" ht="16.8">
      <c r="A16" s="360" t="s">
        <v>375</v>
      </c>
      <c r="B16" s="363" t="s">
        <v>167</v>
      </c>
      <c r="C16" s="364" t="s">
        <v>37</v>
      </c>
      <c r="D16" s="365">
        <v>2200</v>
      </c>
      <c r="E16" s="346"/>
      <c r="F16" s="346"/>
      <c r="G16" s="346">
        <v>1382</v>
      </c>
      <c r="H16" s="346"/>
      <c r="I16" s="346"/>
      <c r="J16" s="346"/>
      <c r="K16" s="346"/>
      <c r="L16" s="346">
        <v>1800</v>
      </c>
      <c r="M16" s="346"/>
      <c r="N16" s="346"/>
      <c r="O16" s="346"/>
      <c r="P16" s="346"/>
      <c r="Q16" s="346">
        <v>800</v>
      </c>
      <c r="R16" s="346"/>
      <c r="S16" s="49"/>
      <c r="T16" s="355"/>
      <c r="U16" s="355"/>
      <c r="V16" s="355"/>
      <c r="W16" s="355"/>
    </row>
    <row r="17" spans="1:23" ht="16.8">
      <c r="A17" s="360" t="s">
        <v>375</v>
      </c>
      <c r="B17" s="363" t="s">
        <v>168</v>
      </c>
      <c r="C17" s="364" t="s">
        <v>161</v>
      </c>
      <c r="D17" s="365">
        <v>2100</v>
      </c>
      <c r="E17" s="346"/>
      <c r="F17" s="346"/>
      <c r="G17" s="346">
        <v>1210</v>
      </c>
      <c r="H17" s="346"/>
      <c r="I17" s="346"/>
      <c r="J17" s="346"/>
      <c r="K17" s="346"/>
      <c r="L17" s="346">
        <v>2010</v>
      </c>
      <c r="M17" s="346"/>
      <c r="N17" s="346"/>
      <c r="O17" s="346"/>
      <c r="P17" s="346"/>
      <c r="Q17" s="346">
        <v>800</v>
      </c>
      <c r="R17" s="346"/>
      <c r="S17" s="49"/>
      <c r="T17" s="355"/>
      <c r="U17" s="355"/>
      <c r="V17" s="355"/>
      <c r="W17" s="355"/>
    </row>
    <row r="18" spans="1:23" ht="33.6">
      <c r="A18" s="360" t="s">
        <v>375</v>
      </c>
      <c r="B18" s="363" t="s">
        <v>169</v>
      </c>
      <c r="C18" s="364" t="s">
        <v>39</v>
      </c>
      <c r="D18" s="365">
        <v>2000</v>
      </c>
      <c r="E18" s="346"/>
      <c r="F18" s="346"/>
      <c r="G18" s="346">
        <v>1193</v>
      </c>
      <c r="H18" s="346"/>
      <c r="I18" s="346"/>
      <c r="J18" s="346"/>
      <c r="K18" s="346"/>
      <c r="L18" s="346">
        <v>1993</v>
      </c>
      <c r="M18" s="346"/>
      <c r="N18" s="346"/>
      <c r="O18" s="346"/>
      <c r="P18" s="346"/>
      <c r="Q18" s="346">
        <v>800</v>
      </c>
      <c r="R18" s="346"/>
      <c r="S18" s="49"/>
      <c r="T18" s="355"/>
      <c r="U18" s="355"/>
      <c r="V18" s="355"/>
      <c r="W18" s="355"/>
    </row>
    <row r="19" spans="1:23" ht="16.8">
      <c r="A19" s="360" t="s">
        <v>375</v>
      </c>
      <c r="B19" s="363" t="s">
        <v>171</v>
      </c>
      <c r="C19" s="364" t="s">
        <v>128</v>
      </c>
      <c r="D19" s="365">
        <v>1800</v>
      </c>
      <c r="E19" s="346"/>
      <c r="F19" s="346"/>
      <c r="G19" s="346">
        <v>935</v>
      </c>
      <c r="H19" s="346"/>
      <c r="I19" s="346"/>
      <c r="J19" s="346"/>
      <c r="K19" s="346"/>
      <c r="L19" s="346">
        <v>1735</v>
      </c>
      <c r="M19" s="346"/>
      <c r="N19" s="346"/>
      <c r="O19" s="346"/>
      <c r="P19" s="346"/>
      <c r="Q19" s="346">
        <v>800</v>
      </c>
      <c r="R19" s="346"/>
      <c r="S19" s="49"/>
      <c r="T19" s="355"/>
      <c r="U19" s="355"/>
      <c r="V19" s="355"/>
      <c r="W19" s="355"/>
    </row>
    <row r="20" spans="1:23" ht="16.8">
      <c r="A20" s="360" t="s">
        <v>375</v>
      </c>
      <c r="B20" s="363" t="s">
        <v>172</v>
      </c>
      <c r="C20" s="364" t="s">
        <v>108</v>
      </c>
      <c r="D20" s="365">
        <v>2300</v>
      </c>
      <c r="E20" s="346"/>
      <c r="F20" s="346"/>
      <c r="G20" s="346">
        <v>1290</v>
      </c>
      <c r="H20" s="346"/>
      <c r="I20" s="346"/>
      <c r="J20" s="346"/>
      <c r="K20" s="346"/>
      <c r="L20" s="346">
        <v>2190</v>
      </c>
      <c r="M20" s="346"/>
      <c r="N20" s="346"/>
      <c r="O20" s="346"/>
      <c r="P20" s="346"/>
      <c r="Q20" s="346">
        <v>900</v>
      </c>
      <c r="R20" s="346"/>
      <c r="S20" s="49"/>
      <c r="T20" s="355"/>
      <c r="U20" s="355"/>
      <c r="V20" s="355"/>
      <c r="W20" s="355"/>
    </row>
    <row r="21" spans="1:23" ht="16.8">
      <c r="A21" s="360" t="s">
        <v>375</v>
      </c>
      <c r="B21" s="363" t="s">
        <v>173</v>
      </c>
      <c r="C21" s="364" t="s">
        <v>174</v>
      </c>
      <c r="D21" s="365">
        <v>2600</v>
      </c>
      <c r="E21" s="346"/>
      <c r="F21" s="346"/>
      <c r="G21" s="346">
        <v>1498</v>
      </c>
      <c r="H21" s="346"/>
      <c r="I21" s="346"/>
      <c r="J21" s="346"/>
      <c r="K21" s="346"/>
      <c r="L21" s="346">
        <v>2597.3420000000001</v>
      </c>
      <c r="M21" s="346"/>
      <c r="N21" s="346"/>
      <c r="O21" s="346"/>
      <c r="P21" s="346"/>
      <c r="Q21" s="346">
        <v>1100</v>
      </c>
      <c r="R21" s="346"/>
      <c r="S21" s="49"/>
      <c r="T21" s="355"/>
      <c r="U21" s="355"/>
      <c r="V21" s="355"/>
      <c r="W21" s="355"/>
    </row>
    <row r="22" spans="1:23" s="344" customFormat="1" ht="30" customHeight="1">
      <c r="A22" s="76" t="s">
        <v>46</v>
      </c>
      <c r="B22" s="77" t="s">
        <v>419</v>
      </c>
      <c r="C22" s="348"/>
      <c r="D22" s="345">
        <f t="shared" ref="D22:R22" si="3">D23</f>
        <v>22300</v>
      </c>
      <c r="E22" s="345">
        <f t="shared" si="3"/>
        <v>0</v>
      </c>
      <c r="F22" s="345">
        <f t="shared" si="3"/>
        <v>0</v>
      </c>
      <c r="G22" s="345">
        <f t="shared" si="3"/>
        <v>11600</v>
      </c>
      <c r="H22" s="345">
        <f t="shared" si="3"/>
        <v>0</v>
      </c>
      <c r="I22" s="345">
        <f t="shared" si="3"/>
        <v>0</v>
      </c>
      <c r="J22" s="345">
        <f t="shared" si="3"/>
        <v>0</v>
      </c>
      <c r="K22" s="345">
        <f t="shared" si="3"/>
        <v>0</v>
      </c>
      <c r="L22" s="345">
        <f t="shared" si="3"/>
        <v>0</v>
      </c>
      <c r="M22" s="345">
        <f t="shared" si="3"/>
        <v>0</v>
      </c>
      <c r="N22" s="345">
        <f t="shared" si="3"/>
        <v>0</v>
      </c>
      <c r="O22" s="345">
        <f t="shared" si="3"/>
        <v>0</v>
      </c>
      <c r="P22" s="345">
        <f t="shared" si="3"/>
        <v>0</v>
      </c>
      <c r="Q22" s="345">
        <f t="shared" si="3"/>
        <v>0</v>
      </c>
      <c r="R22" s="345">
        <f t="shared" si="3"/>
        <v>0</v>
      </c>
      <c r="S22" s="345"/>
      <c r="T22" s="355"/>
      <c r="U22" s="355"/>
      <c r="V22" s="355"/>
      <c r="W22" s="355"/>
    </row>
    <row r="23" spans="1:23" s="344" customFormat="1" ht="29.25" customHeight="1">
      <c r="A23" s="22" t="s">
        <v>28</v>
      </c>
      <c r="B23" s="71" t="s">
        <v>158</v>
      </c>
      <c r="C23" s="22"/>
      <c r="D23" s="345">
        <f t="shared" ref="D23:R23" si="4">SUM(D24:D34)</f>
        <v>22300</v>
      </c>
      <c r="E23" s="345">
        <f t="shared" si="4"/>
        <v>0</v>
      </c>
      <c r="F23" s="345">
        <f t="shared" si="4"/>
        <v>0</v>
      </c>
      <c r="G23" s="345">
        <f t="shared" si="4"/>
        <v>11600</v>
      </c>
      <c r="H23" s="345">
        <f t="shared" si="4"/>
        <v>0</v>
      </c>
      <c r="I23" s="345">
        <f t="shared" si="4"/>
        <v>0</v>
      </c>
      <c r="J23" s="345">
        <f t="shared" si="4"/>
        <v>0</v>
      </c>
      <c r="K23" s="345">
        <f t="shared" si="4"/>
        <v>0</v>
      </c>
      <c r="L23" s="345">
        <f t="shared" si="4"/>
        <v>0</v>
      </c>
      <c r="M23" s="345">
        <f t="shared" si="4"/>
        <v>0</v>
      </c>
      <c r="N23" s="345">
        <f t="shared" si="4"/>
        <v>0</v>
      </c>
      <c r="O23" s="345">
        <f t="shared" si="4"/>
        <v>0</v>
      </c>
      <c r="P23" s="345">
        <f t="shared" si="4"/>
        <v>0</v>
      </c>
      <c r="Q23" s="345">
        <f t="shared" si="4"/>
        <v>0</v>
      </c>
      <c r="R23" s="345">
        <f t="shared" si="4"/>
        <v>0</v>
      </c>
      <c r="S23" s="358"/>
      <c r="T23" s="355"/>
      <c r="U23" s="355"/>
      <c r="V23" s="355"/>
      <c r="W23" s="355"/>
    </row>
    <row r="24" spans="1:23" ht="33.6">
      <c r="A24" s="366" t="s">
        <v>375</v>
      </c>
      <c r="B24" s="363" t="s">
        <v>176</v>
      </c>
      <c r="C24" s="49" t="s">
        <v>75</v>
      </c>
      <c r="D24" s="367">
        <v>2500</v>
      </c>
      <c r="E24" s="346"/>
      <c r="F24" s="346"/>
      <c r="G24" s="346">
        <v>1200</v>
      </c>
      <c r="H24" s="346"/>
      <c r="I24" s="346"/>
      <c r="J24" s="346"/>
      <c r="K24" s="346"/>
      <c r="L24" s="346"/>
      <c r="M24" s="346"/>
      <c r="N24" s="346"/>
      <c r="O24" s="346"/>
      <c r="P24" s="346"/>
      <c r="Q24" s="346"/>
      <c r="R24" s="346"/>
      <c r="S24" s="49"/>
      <c r="T24" s="355"/>
      <c r="U24" s="355"/>
      <c r="V24" s="355"/>
      <c r="W24" s="355"/>
    </row>
    <row r="25" spans="1:23" ht="16.8">
      <c r="A25" s="366" t="s">
        <v>375</v>
      </c>
      <c r="B25" s="363" t="s">
        <v>177</v>
      </c>
      <c r="C25" s="49" t="s">
        <v>118</v>
      </c>
      <c r="D25" s="367">
        <v>2000</v>
      </c>
      <c r="E25" s="346"/>
      <c r="F25" s="346"/>
      <c r="G25" s="346">
        <v>1000</v>
      </c>
      <c r="H25" s="346"/>
      <c r="I25" s="346"/>
      <c r="J25" s="346"/>
      <c r="K25" s="346"/>
      <c r="L25" s="346"/>
      <c r="M25" s="346"/>
      <c r="N25" s="346"/>
      <c r="O25" s="346"/>
      <c r="P25" s="346"/>
      <c r="Q25" s="346"/>
      <c r="R25" s="346"/>
      <c r="S25" s="49"/>
      <c r="T25" s="355"/>
      <c r="U25" s="355"/>
      <c r="V25" s="355"/>
      <c r="W25" s="355"/>
    </row>
    <row r="26" spans="1:23" ht="16.8">
      <c r="A26" s="366" t="s">
        <v>375</v>
      </c>
      <c r="B26" s="363" t="s">
        <v>178</v>
      </c>
      <c r="C26" s="80" t="s">
        <v>36</v>
      </c>
      <c r="D26" s="368">
        <v>2000</v>
      </c>
      <c r="E26" s="346"/>
      <c r="F26" s="346"/>
      <c r="G26" s="346">
        <v>1000</v>
      </c>
      <c r="H26" s="346"/>
      <c r="I26" s="346"/>
      <c r="J26" s="346"/>
      <c r="K26" s="346"/>
      <c r="L26" s="346"/>
      <c r="M26" s="346"/>
      <c r="N26" s="346"/>
      <c r="O26" s="346"/>
      <c r="P26" s="346"/>
      <c r="Q26" s="346"/>
      <c r="R26" s="346"/>
      <c r="S26" s="49"/>
      <c r="T26" s="355"/>
      <c r="U26" s="355"/>
      <c r="V26" s="355"/>
      <c r="W26" s="355"/>
    </row>
    <row r="27" spans="1:23" ht="16.8">
      <c r="A27" s="366" t="s">
        <v>375</v>
      </c>
      <c r="B27" s="363" t="s">
        <v>179</v>
      </c>
      <c r="C27" s="80" t="s">
        <v>30</v>
      </c>
      <c r="D27" s="368">
        <v>2500</v>
      </c>
      <c r="E27" s="346"/>
      <c r="F27" s="346"/>
      <c r="G27" s="346">
        <v>1300</v>
      </c>
      <c r="H27" s="346"/>
      <c r="I27" s="346"/>
      <c r="J27" s="346"/>
      <c r="K27" s="346"/>
      <c r="L27" s="346"/>
      <c r="M27" s="346"/>
      <c r="N27" s="346"/>
      <c r="O27" s="346"/>
      <c r="P27" s="346"/>
      <c r="Q27" s="346"/>
      <c r="R27" s="346"/>
      <c r="S27" s="49"/>
      <c r="T27" s="355"/>
      <c r="U27" s="355"/>
      <c r="V27" s="355"/>
      <c r="W27" s="355"/>
    </row>
    <row r="28" spans="1:23" ht="33.6">
      <c r="A28" s="366" t="s">
        <v>375</v>
      </c>
      <c r="B28" s="363" t="s">
        <v>436</v>
      </c>
      <c r="C28" s="80" t="s">
        <v>182</v>
      </c>
      <c r="D28" s="368">
        <v>2300</v>
      </c>
      <c r="E28" s="346"/>
      <c r="F28" s="346"/>
      <c r="G28" s="346">
        <v>1100</v>
      </c>
      <c r="H28" s="346"/>
      <c r="I28" s="346"/>
      <c r="J28" s="346"/>
      <c r="K28" s="346"/>
      <c r="L28" s="346"/>
      <c r="M28" s="346"/>
      <c r="N28" s="346"/>
      <c r="O28" s="346"/>
      <c r="P28" s="346"/>
      <c r="Q28" s="346"/>
      <c r="R28" s="346"/>
      <c r="S28" s="49"/>
      <c r="T28" s="355"/>
      <c r="U28" s="355"/>
      <c r="V28" s="355"/>
      <c r="W28" s="355"/>
    </row>
    <row r="29" spans="1:23" ht="16.8">
      <c r="A29" s="366" t="s">
        <v>375</v>
      </c>
      <c r="B29" s="363" t="s">
        <v>183</v>
      </c>
      <c r="C29" s="80" t="s">
        <v>184</v>
      </c>
      <c r="D29" s="368">
        <v>3500</v>
      </c>
      <c r="E29" s="346"/>
      <c r="F29" s="346"/>
      <c r="G29" s="346">
        <v>1800</v>
      </c>
      <c r="H29" s="346"/>
      <c r="I29" s="346"/>
      <c r="J29" s="346"/>
      <c r="K29" s="346"/>
      <c r="L29" s="346"/>
      <c r="M29" s="346"/>
      <c r="N29" s="346"/>
      <c r="O29" s="346"/>
      <c r="P29" s="346"/>
      <c r="Q29" s="346"/>
      <c r="R29" s="346"/>
      <c r="S29" s="49"/>
      <c r="T29" s="355"/>
      <c r="U29" s="355"/>
      <c r="V29" s="355"/>
      <c r="W29" s="355"/>
    </row>
    <row r="30" spans="1:23" ht="16.8">
      <c r="A30" s="366" t="s">
        <v>375</v>
      </c>
      <c r="B30" s="363" t="s">
        <v>185</v>
      </c>
      <c r="C30" s="80" t="s">
        <v>186</v>
      </c>
      <c r="D30" s="368">
        <v>1900</v>
      </c>
      <c r="E30" s="346"/>
      <c r="F30" s="346"/>
      <c r="G30" s="346">
        <v>1000</v>
      </c>
      <c r="H30" s="346"/>
      <c r="I30" s="346"/>
      <c r="J30" s="346"/>
      <c r="K30" s="346"/>
      <c r="L30" s="346"/>
      <c r="M30" s="346"/>
      <c r="N30" s="346"/>
      <c r="O30" s="346"/>
      <c r="P30" s="346"/>
      <c r="Q30" s="346"/>
      <c r="R30" s="346"/>
      <c r="S30" s="49"/>
      <c r="T30" s="355"/>
      <c r="U30" s="355"/>
      <c r="V30" s="355"/>
      <c r="W30" s="355"/>
    </row>
    <row r="31" spans="1:23" ht="16.8">
      <c r="A31" s="366" t="s">
        <v>375</v>
      </c>
      <c r="B31" s="363" t="s">
        <v>187</v>
      </c>
      <c r="C31" s="80" t="s">
        <v>184</v>
      </c>
      <c r="D31" s="368">
        <v>2500</v>
      </c>
      <c r="E31" s="346"/>
      <c r="F31" s="346"/>
      <c r="G31" s="346">
        <v>1200</v>
      </c>
      <c r="H31" s="346"/>
      <c r="I31" s="346"/>
      <c r="J31" s="346"/>
      <c r="K31" s="346"/>
      <c r="L31" s="346"/>
      <c r="M31" s="346"/>
      <c r="N31" s="346"/>
      <c r="O31" s="346"/>
      <c r="P31" s="346"/>
      <c r="Q31" s="346"/>
      <c r="R31" s="346"/>
      <c r="S31" s="49"/>
      <c r="T31" s="355"/>
      <c r="U31" s="355"/>
      <c r="V31" s="355"/>
      <c r="W31" s="355"/>
    </row>
    <row r="32" spans="1:23" ht="16.8">
      <c r="A32" s="366" t="s">
        <v>375</v>
      </c>
      <c r="B32" s="363" t="s">
        <v>188</v>
      </c>
      <c r="C32" s="80" t="s">
        <v>189</v>
      </c>
      <c r="D32" s="368">
        <v>1500</v>
      </c>
      <c r="E32" s="346"/>
      <c r="F32" s="346"/>
      <c r="G32" s="346">
        <v>1000</v>
      </c>
      <c r="H32" s="346"/>
      <c r="I32" s="346"/>
      <c r="J32" s="346"/>
      <c r="K32" s="346"/>
      <c r="L32" s="346"/>
      <c r="M32" s="346"/>
      <c r="N32" s="346"/>
      <c r="O32" s="346"/>
      <c r="P32" s="346"/>
      <c r="Q32" s="346"/>
      <c r="R32" s="346"/>
      <c r="S32" s="49"/>
      <c r="T32" s="355"/>
      <c r="U32" s="355"/>
      <c r="V32" s="355"/>
      <c r="W32" s="355"/>
    </row>
    <row r="33" spans="1:23" ht="16.8">
      <c r="A33" s="366" t="s">
        <v>375</v>
      </c>
      <c r="B33" s="363" t="s">
        <v>435</v>
      </c>
      <c r="C33" s="80" t="s">
        <v>30</v>
      </c>
      <c r="D33" s="368">
        <v>1600</v>
      </c>
      <c r="E33" s="346"/>
      <c r="F33" s="346"/>
      <c r="G33" s="346">
        <v>1000</v>
      </c>
      <c r="H33" s="346"/>
      <c r="I33" s="346"/>
      <c r="J33" s="346"/>
      <c r="K33" s="346"/>
      <c r="L33" s="346"/>
      <c r="M33" s="346"/>
      <c r="N33" s="346"/>
      <c r="O33" s="346"/>
      <c r="P33" s="346"/>
      <c r="Q33" s="346"/>
      <c r="R33" s="346"/>
      <c r="S33" s="49"/>
      <c r="T33" s="355"/>
      <c r="U33" s="355"/>
      <c r="V33" s="355"/>
      <c r="W33" s="355"/>
    </row>
    <row r="34" spans="1:23">
      <c r="A34" s="78"/>
      <c r="B34" s="79"/>
      <c r="C34" s="78"/>
      <c r="D34" s="346"/>
      <c r="E34" s="346"/>
      <c r="F34" s="346"/>
      <c r="G34" s="346"/>
      <c r="H34" s="346"/>
      <c r="I34" s="346"/>
      <c r="J34" s="346"/>
      <c r="K34" s="346"/>
      <c r="L34" s="346"/>
      <c r="M34" s="346"/>
      <c r="N34" s="346"/>
      <c r="O34" s="346"/>
      <c r="P34" s="346"/>
      <c r="Q34" s="346"/>
      <c r="R34" s="346"/>
      <c r="S34" s="49"/>
      <c r="T34" s="355"/>
      <c r="U34" s="355"/>
      <c r="V34" s="355"/>
      <c r="W34" s="355"/>
    </row>
  </sheetData>
  <mergeCells count="14">
    <mergeCell ref="A1:B1"/>
    <mergeCell ref="A2:S2"/>
    <mergeCell ref="A3:S3"/>
    <mergeCell ref="G4:S4"/>
    <mergeCell ref="A5:A6"/>
    <mergeCell ref="B5:B6"/>
    <mergeCell ref="C5:C6"/>
    <mergeCell ref="D5:D6"/>
    <mergeCell ref="G5:G6"/>
    <mergeCell ref="S5:S6"/>
    <mergeCell ref="H5:L5"/>
    <mergeCell ref="M5:Q5"/>
    <mergeCell ref="E5:F5"/>
    <mergeCell ref="R5:R6"/>
  </mergeCells>
  <pageMargins left="0.43307086614173229" right="0.19685039370078741" top="0.47244094488188981" bottom="0.43307086614173229" header="0.31496062992125984" footer="0.31496062992125984"/>
  <pageSetup paperSize="9" scale="75" orientation="landscape" verticalDpi="300"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pageSetUpPr fitToPage="1"/>
  </sheetPr>
  <dimension ref="A1:AD39"/>
  <sheetViews>
    <sheetView topLeftCell="A18" zoomScale="70" zoomScaleNormal="70" zoomScaleSheetLayoutView="70" workbookViewId="0">
      <selection activeCell="AF28" sqref="AF28"/>
    </sheetView>
  </sheetViews>
  <sheetFormatPr defaultRowHeight="15.6"/>
  <cols>
    <col min="1" max="1" width="4.8984375" style="170" customWidth="1"/>
    <col min="2" max="2" width="49.19921875" style="169" customWidth="1"/>
    <col min="3" max="3" width="15.09765625" style="169" customWidth="1"/>
    <col min="4" max="4" width="13.8984375" style="218" customWidth="1"/>
    <col min="5" max="5" width="16" style="218" customWidth="1"/>
    <col min="6" max="6" width="13.19921875" style="219" hidden="1" customWidth="1"/>
    <col min="7" max="11" width="13.19921875" style="219" customWidth="1"/>
    <col min="12" max="13" width="13.19921875" style="219" hidden="1" customWidth="1"/>
    <col min="14" max="14" width="13" style="220" customWidth="1"/>
    <col min="15" max="15" width="15" style="169" hidden="1" customWidth="1"/>
    <col min="16" max="16" width="14" style="169" hidden="1" customWidth="1"/>
    <col min="17" max="17" width="16.5" style="169" hidden="1" customWidth="1"/>
    <col min="18" max="18" width="17.3984375" style="169" hidden="1" customWidth="1"/>
    <col min="19" max="19" width="20.19921875" style="169" hidden="1" customWidth="1"/>
    <col min="20" max="20" width="17.69921875" style="169" hidden="1" customWidth="1"/>
    <col min="21" max="26" width="0" style="169" hidden="1" customWidth="1"/>
    <col min="27" max="30" width="12.69921875" style="169" hidden="1" customWidth="1"/>
    <col min="31" max="243" width="9" style="169"/>
    <col min="244" max="244" width="7.5" style="169" customWidth="1"/>
    <col min="245" max="245" width="55.19921875" style="169" customWidth="1"/>
    <col min="246" max="246" width="16.09765625" style="169" customWidth="1"/>
    <col min="247" max="262" width="0" style="169" hidden="1" customWidth="1"/>
    <col min="263" max="263" width="11.3984375" style="169" customWidth="1"/>
    <col min="264" max="264" width="14.8984375" style="169" customWidth="1"/>
    <col min="265" max="268" width="0" style="169" hidden="1" customWidth="1"/>
    <col min="269" max="499" width="9" style="169"/>
    <col min="500" max="500" width="7.5" style="169" customWidth="1"/>
    <col min="501" max="501" width="55.19921875" style="169" customWidth="1"/>
    <col min="502" max="502" width="16.09765625" style="169" customWidth="1"/>
    <col min="503" max="518" width="0" style="169" hidden="1" customWidth="1"/>
    <col min="519" max="519" width="11.3984375" style="169" customWidth="1"/>
    <col min="520" max="520" width="14.8984375" style="169" customWidth="1"/>
    <col min="521" max="524" width="0" style="169" hidden="1" customWidth="1"/>
    <col min="525" max="755" width="9" style="169"/>
    <col min="756" max="756" width="7.5" style="169" customWidth="1"/>
    <col min="757" max="757" width="55.19921875" style="169" customWidth="1"/>
    <col min="758" max="758" width="16.09765625" style="169" customWidth="1"/>
    <col min="759" max="774" width="0" style="169" hidden="1" customWidth="1"/>
    <col min="775" max="775" width="11.3984375" style="169" customWidth="1"/>
    <col min="776" max="776" width="14.8984375" style="169" customWidth="1"/>
    <col min="777" max="780" width="0" style="169" hidden="1" customWidth="1"/>
    <col min="781" max="1011" width="9" style="169"/>
    <col min="1012" max="1012" width="7.5" style="169" customWidth="1"/>
    <col min="1013" max="1013" width="55.19921875" style="169" customWidth="1"/>
    <col min="1014" max="1014" width="16.09765625" style="169" customWidth="1"/>
    <col min="1015" max="1030" width="0" style="169" hidden="1" customWidth="1"/>
    <col min="1031" max="1031" width="11.3984375" style="169" customWidth="1"/>
    <col min="1032" max="1032" width="14.8984375" style="169" customWidth="1"/>
    <col min="1033" max="1036" width="0" style="169" hidden="1" customWidth="1"/>
    <col min="1037" max="1267" width="9" style="169"/>
    <col min="1268" max="1268" width="7.5" style="169" customWidth="1"/>
    <col min="1269" max="1269" width="55.19921875" style="169" customWidth="1"/>
    <col min="1270" max="1270" width="16.09765625" style="169" customWidth="1"/>
    <col min="1271" max="1286" width="0" style="169" hidden="1" customWidth="1"/>
    <col min="1287" max="1287" width="11.3984375" style="169" customWidth="1"/>
    <col min="1288" max="1288" width="14.8984375" style="169" customWidth="1"/>
    <col min="1289" max="1292" width="0" style="169" hidden="1" customWidth="1"/>
    <col min="1293" max="1523" width="9" style="169"/>
    <col min="1524" max="1524" width="7.5" style="169" customWidth="1"/>
    <col min="1525" max="1525" width="55.19921875" style="169" customWidth="1"/>
    <col min="1526" max="1526" width="16.09765625" style="169" customWidth="1"/>
    <col min="1527" max="1542" width="0" style="169" hidden="1" customWidth="1"/>
    <col min="1543" max="1543" width="11.3984375" style="169" customWidth="1"/>
    <col min="1544" max="1544" width="14.8984375" style="169" customWidth="1"/>
    <col min="1545" max="1548" width="0" style="169" hidden="1" customWidth="1"/>
    <col min="1549" max="1779" width="9" style="169"/>
    <col min="1780" max="1780" width="7.5" style="169" customWidth="1"/>
    <col min="1781" max="1781" width="55.19921875" style="169" customWidth="1"/>
    <col min="1782" max="1782" width="16.09765625" style="169" customWidth="1"/>
    <col min="1783" max="1798" width="0" style="169" hidden="1" customWidth="1"/>
    <col min="1799" max="1799" width="11.3984375" style="169" customWidth="1"/>
    <col min="1800" max="1800" width="14.8984375" style="169" customWidth="1"/>
    <col min="1801" max="1804" width="0" style="169" hidden="1" customWidth="1"/>
    <col min="1805" max="2035" width="9" style="169"/>
    <col min="2036" max="2036" width="7.5" style="169" customWidth="1"/>
    <col min="2037" max="2037" width="55.19921875" style="169" customWidth="1"/>
    <col min="2038" max="2038" width="16.09765625" style="169" customWidth="1"/>
    <col min="2039" max="2054" width="0" style="169" hidden="1" customWidth="1"/>
    <col min="2055" max="2055" width="11.3984375" style="169" customWidth="1"/>
    <col min="2056" max="2056" width="14.8984375" style="169" customWidth="1"/>
    <col min="2057" max="2060" width="0" style="169" hidden="1" customWidth="1"/>
    <col min="2061" max="2291" width="9" style="169"/>
    <col min="2292" max="2292" width="7.5" style="169" customWidth="1"/>
    <col min="2293" max="2293" width="55.19921875" style="169" customWidth="1"/>
    <col min="2294" max="2294" width="16.09765625" style="169" customWidth="1"/>
    <col min="2295" max="2310" width="0" style="169" hidden="1" customWidth="1"/>
    <col min="2311" max="2311" width="11.3984375" style="169" customWidth="1"/>
    <col min="2312" max="2312" width="14.8984375" style="169" customWidth="1"/>
    <col min="2313" max="2316" width="0" style="169" hidden="1" customWidth="1"/>
    <col min="2317" max="2547" width="9" style="169"/>
    <col min="2548" max="2548" width="7.5" style="169" customWidth="1"/>
    <col min="2549" max="2549" width="55.19921875" style="169" customWidth="1"/>
    <col min="2550" max="2550" width="16.09765625" style="169" customWidth="1"/>
    <col min="2551" max="2566" width="0" style="169" hidden="1" customWidth="1"/>
    <col min="2567" max="2567" width="11.3984375" style="169" customWidth="1"/>
    <col min="2568" max="2568" width="14.8984375" style="169" customWidth="1"/>
    <col min="2569" max="2572" width="0" style="169" hidden="1" customWidth="1"/>
    <col min="2573" max="2803" width="9" style="169"/>
    <col min="2804" max="2804" width="7.5" style="169" customWidth="1"/>
    <col min="2805" max="2805" width="55.19921875" style="169" customWidth="1"/>
    <col min="2806" max="2806" width="16.09765625" style="169" customWidth="1"/>
    <col min="2807" max="2822" width="0" style="169" hidden="1" customWidth="1"/>
    <col min="2823" max="2823" width="11.3984375" style="169" customWidth="1"/>
    <col min="2824" max="2824" width="14.8984375" style="169" customWidth="1"/>
    <col min="2825" max="2828" width="0" style="169" hidden="1" customWidth="1"/>
    <col min="2829" max="3059" width="9" style="169"/>
    <col min="3060" max="3060" width="7.5" style="169" customWidth="1"/>
    <col min="3061" max="3061" width="55.19921875" style="169" customWidth="1"/>
    <col min="3062" max="3062" width="16.09765625" style="169" customWidth="1"/>
    <col min="3063" max="3078" width="0" style="169" hidden="1" customWidth="1"/>
    <col min="3079" max="3079" width="11.3984375" style="169" customWidth="1"/>
    <col min="3080" max="3080" width="14.8984375" style="169" customWidth="1"/>
    <col min="3081" max="3084" width="0" style="169" hidden="1" customWidth="1"/>
    <col min="3085" max="3315" width="9" style="169"/>
    <col min="3316" max="3316" width="7.5" style="169" customWidth="1"/>
    <col min="3317" max="3317" width="55.19921875" style="169" customWidth="1"/>
    <col min="3318" max="3318" width="16.09765625" style="169" customWidth="1"/>
    <col min="3319" max="3334" width="0" style="169" hidden="1" customWidth="1"/>
    <col min="3335" max="3335" width="11.3984375" style="169" customWidth="1"/>
    <col min="3336" max="3336" width="14.8984375" style="169" customWidth="1"/>
    <col min="3337" max="3340" width="0" style="169" hidden="1" customWidth="1"/>
    <col min="3341" max="3571" width="9" style="169"/>
    <col min="3572" max="3572" width="7.5" style="169" customWidth="1"/>
    <col min="3573" max="3573" width="55.19921875" style="169" customWidth="1"/>
    <col min="3574" max="3574" width="16.09765625" style="169" customWidth="1"/>
    <col min="3575" max="3590" width="0" style="169" hidden="1" customWidth="1"/>
    <col min="3591" max="3591" width="11.3984375" style="169" customWidth="1"/>
    <col min="3592" max="3592" width="14.8984375" style="169" customWidth="1"/>
    <col min="3593" max="3596" width="0" style="169" hidden="1" customWidth="1"/>
    <col min="3597" max="3827" width="9" style="169"/>
    <col min="3828" max="3828" width="7.5" style="169" customWidth="1"/>
    <col min="3829" max="3829" width="55.19921875" style="169" customWidth="1"/>
    <col min="3830" max="3830" width="16.09765625" style="169" customWidth="1"/>
    <col min="3831" max="3846" width="0" style="169" hidden="1" customWidth="1"/>
    <col min="3847" max="3847" width="11.3984375" style="169" customWidth="1"/>
    <col min="3848" max="3848" width="14.8984375" style="169" customWidth="1"/>
    <col min="3849" max="3852" width="0" style="169" hidden="1" customWidth="1"/>
    <col min="3853" max="4083" width="9" style="169"/>
    <col min="4084" max="4084" width="7.5" style="169" customWidth="1"/>
    <col min="4085" max="4085" width="55.19921875" style="169" customWidth="1"/>
    <col min="4086" max="4086" width="16.09765625" style="169" customWidth="1"/>
    <col min="4087" max="4102" width="0" style="169" hidden="1" customWidth="1"/>
    <col min="4103" max="4103" width="11.3984375" style="169" customWidth="1"/>
    <col min="4104" max="4104" width="14.8984375" style="169" customWidth="1"/>
    <col min="4105" max="4108" width="0" style="169" hidden="1" customWidth="1"/>
    <col min="4109" max="4339" width="9" style="169"/>
    <col min="4340" max="4340" width="7.5" style="169" customWidth="1"/>
    <col min="4341" max="4341" width="55.19921875" style="169" customWidth="1"/>
    <col min="4342" max="4342" width="16.09765625" style="169" customWidth="1"/>
    <col min="4343" max="4358" width="0" style="169" hidden="1" customWidth="1"/>
    <col min="4359" max="4359" width="11.3984375" style="169" customWidth="1"/>
    <col min="4360" max="4360" width="14.8984375" style="169" customWidth="1"/>
    <col min="4361" max="4364" width="0" style="169" hidden="1" customWidth="1"/>
    <col min="4365" max="4595" width="9" style="169"/>
    <col min="4596" max="4596" width="7.5" style="169" customWidth="1"/>
    <col min="4597" max="4597" width="55.19921875" style="169" customWidth="1"/>
    <col min="4598" max="4598" width="16.09765625" style="169" customWidth="1"/>
    <col min="4599" max="4614" width="0" style="169" hidden="1" customWidth="1"/>
    <col min="4615" max="4615" width="11.3984375" style="169" customWidth="1"/>
    <col min="4616" max="4616" width="14.8984375" style="169" customWidth="1"/>
    <col min="4617" max="4620" width="0" style="169" hidden="1" customWidth="1"/>
    <col min="4621" max="4851" width="9" style="169"/>
    <col min="4852" max="4852" width="7.5" style="169" customWidth="1"/>
    <col min="4853" max="4853" width="55.19921875" style="169" customWidth="1"/>
    <col min="4854" max="4854" width="16.09765625" style="169" customWidth="1"/>
    <col min="4855" max="4870" width="0" style="169" hidden="1" customWidth="1"/>
    <col min="4871" max="4871" width="11.3984375" style="169" customWidth="1"/>
    <col min="4872" max="4872" width="14.8984375" style="169" customWidth="1"/>
    <col min="4873" max="4876" width="0" style="169" hidden="1" customWidth="1"/>
    <col min="4877" max="5107" width="9" style="169"/>
    <col min="5108" max="5108" width="7.5" style="169" customWidth="1"/>
    <col min="5109" max="5109" width="55.19921875" style="169" customWidth="1"/>
    <col min="5110" max="5110" width="16.09765625" style="169" customWidth="1"/>
    <col min="5111" max="5126" width="0" style="169" hidden="1" customWidth="1"/>
    <col min="5127" max="5127" width="11.3984375" style="169" customWidth="1"/>
    <col min="5128" max="5128" width="14.8984375" style="169" customWidth="1"/>
    <col min="5129" max="5132" width="0" style="169" hidden="1" customWidth="1"/>
    <col min="5133" max="5363" width="9" style="169"/>
    <col min="5364" max="5364" width="7.5" style="169" customWidth="1"/>
    <col min="5365" max="5365" width="55.19921875" style="169" customWidth="1"/>
    <col min="5366" max="5366" width="16.09765625" style="169" customWidth="1"/>
    <col min="5367" max="5382" width="0" style="169" hidden="1" customWidth="1"/>
    <col min="5383" max="5383" width="11.3984375" style="169" customWidth="1"/>
    <col min="5384" max="5384" width="14.8984375" style="169" customWidth="1"/>
    <col min="5385" max="5388" width="0" style="169" hidden="1" customWidth="1"/>
    <col min="5389" max="5619" width="9" style="169"/>
    <col min="5620" max="5620" width="7.5" style="169" customWidth="1"/>
    <col min="5621" max="5621" width="55.19921875" style="169" customWidth="1"/>
    <col min="5622" max="5622" width="16.09765625" style="169" customWidth="1"/>
    <col min="5623" max="5638" width="0" style="169" hidden="1" customWidth="1"/>
    <col min="5639" max="5639" width="11.3984375" style="169" customWidth="1"/>
    <col min="5640" max="5640" width="14.8984375" style="169" customWidth="1"/>
    <col min="5641" max="5644" width="0" style="169" hidden="1" customWidth="1"/>
    <col min="5645" max="5875" width="9" style="169"/>
    <col min="5876" max="5876" width="7.5" style="169" customWidth="1"/>
    <col min="5877" max="5877" width="55.19921875" style="169" customWidth="1"/>
    <col min="5878" max="5878" width="16.09765625" style="169" customWidth="1"/>
    <col min="5879" max="5894" width="0" style="169" hidden="1" customWidth="1"/>
    <col min="5895" max="5895" width="11.3984375" style="169" customWidth="1"/>
    <col min="5896" max="5896" width="14.8984375" style="169" customWidth="1"/>
    <col min="5897" max="5900" width="0" style="169" hidden="1" customWidth="1"/>
    <col min="5901" max="6131" width="9" style="169"/>
    <col min="6132" max="6132" width="7.5" style="169" customWidth="1"/>
    <col min="6133" max="6133" width="55.19921875" style="169" customWidth="1"/>
    <col min="6134" max="6134" width="16.09765625" style="169" customWidth="1"/>
    <col min="6135" max="6150" width="0" style="169" hidden="1" customWidth="1"/>
    <col min="6151" max="6151" width="11.3984375" style="169" customWidth="1"/>
    <col min="6152" max="6152" width="14.8984375" style="169" customWidth="1"/>
    <col min="6153" max="6156" width="0" style="169" hidden="1" customWidth="1"/>
    <col min="6157" max="6387" width="9" style="169"/>
    <col min="6388" max="6388" width="7.5" style="169" customWidth="1"/>
    <col min="6389" max="6389" width="55.19921875" style="169" customWidth="1"/>
    <col min="6390" max="6390" width="16.09765625" style="169" customWidth="1"/>
    <col min="6391" max="6406" width="0" style="169" hidden="1" customWidth="1"/>
    <col min="6407" max="6407" width="11.3984375" style="169" customWidth="1"/>
    <col min="6408" max="6408" width="14.8984375" style="169" customWidth="1"/>
    <col min="6409" max="6412" width="0" style="169" hidden="1" customWidth="1"/>
    <col min="6413" max="6643" width="9" style="169"/>
    <col min="6644" max="6644" width="7.5" style="169" customWidth="1"/>
    <col min="6645" max="6645" width="55.19921875" style="169" customWidth="1"/>
    <col min="6646" max="6646" width="16.09765625" style="169" customWidth="1"/>
    <col min="6647" max="6662" width="0" style="169" hidden="1" customWidth="1"/>
    <col min="6663" max="6663" width="11.3984375" style="169" customWidth="1"/>
    <col min="6664" max="6664" width="14.8984375" style="169" customWidth="1"/>
    <col min="6665" max="6668" width="0" style="169" hidden="1" customWidth="1"/>
    <col min="6669" max="6899" width="9" style="169"/>
    <col min="6900" max="6900" width="7.5" style="169" customWidth="1"/>
    <col min="6901" max="6901" width="55.19921875" style="169" customWidth="1"/>
    <col min="6902" max="6902" width="16.09765625" style="169" customWidth="1"/>
    <col min="6903" max="6918" width="0" style="169" hidden="1" customWidth="1"/>
    <col min="6919" max="6919" width="11.3984375" style="169" customWidth="1"/>
    <col min="6920" max="6920" width="14.8984375" style="169" customWidth="1"/>
    <col min="6921" max="6924" width="0" style="169" hidden="1" customWidth="1"/>
    <col min="6925" max="7155" width="9" style="169"/>
    <col min="7156" max="7156" width="7.5" style="169" customWidth="1"/>
    <col min="7157" max="7157" width="55.19921875" style="169" customWidth="1"/>
    <col min="7158" max="7158" width="16.09765625" style="169" customWidth="1"/>
    <col min="7159" max="7174" width="0" style="169" hidden="1" customWidth="1"/>
    <col min="7175" max="7175" width="11.3984375" style="169" customWidth="1"/>
    <col min="7176" max="7176" width="14.8984375" style="169" customWidth="1"/>
    <col min="7177" max="7180" width="0" style="169" hidden="1" customWidth="1"/>
    <col min="7181" max="7411" width="9" style="169"/>
    <col min="7412" max="7412" width="7.5" style="169" customWidth="1"/>
    <col min="7413" max="7413" width="55.19921875" style="169" customWidth="1"/>
    <col min="7414" max="7414" width="16.09765625" style="169" customWidth="1"/>
    <col min="7415" max="7430" width="0" style="169" hidden="1" customWidth="1"/>
    <col min="7431" max="7431" width="11.3984375" style="169" customWidth="1"/>
    <col min="7432" max="7432" width="14.8984375" style="169" customWidth="1"/>
    <col min="7433" max="7436" width="0" style="169" hidden="1" customWidth="1"/>
    <col min="7437" max="7667" width="9" style="169"/>
    <col min="7668" max="7668" width="7.5" style="169" customWidth="1"/>
    <col min="7669" max="7669" width="55.19921875" style="169" customWidth="1"/>
    <col min="7670" max="7670" width="16.09765625" style="169" customWidth="1"/>
    <col min="7671" max="7686" width="0" style="169" hidden="1" customWidth="1"/>
    <col min="7687" max="7687" width="11.3984375" style="169" customWidth="1"/>
    <col min="7688" max="7688" width="14.8984375" style="169" customWidth="1"/>
    <col min="7689" max="7692" width="0" style="169" hidden="1" customWidth="1"/>
    <col min="7693" max="7923" width="9" style="169"/>
    <col min="7924" max="7924" width="7.5" style="169" customWidth="1"/>
    <col min="7925" max="7925" width="55.19921875" style="169" customWidth="1"/>
    <col min="7926" max="7926" width="16.09765625" style="169" customWidth="1"/>
    <col min="7927" max="7942" width="0" style="169" hidden="1" customWidth="1"/>
    <col min="7943" max="7943" width="11.3984375" style="169" customWidth="1"/>
    <col min="7944" max="7944" width="14.8984375" style="169" customWidth="1"/>
    <col min="7945" max="7948" width="0" style="169" hidden="1" customWidth="1"/>
    <col min="7949" max="8179" width="9" style="169"/>
    <col min="8180" max="8180" width="7.5" style="169" customWidth="1"/>
    <col min="8181" max="8181" width="55.19921875" style="169" customWidth="1"/>
    <col min="8182" max="8182" width="16.09765625" style="169" customWidth="1"/>
    <col min="8183" max="8198" width="0" style="169" hidden="1" customWidth="1"/>
    <col min="8199" max="8199" width="11.3984375" style="169" customWidth="1"/>
    <col min="8200" max="8200" width="14.8984375" style="169" customWidth="1"/>
    <col min="8201" max="8204" width="0" style="169" hidden="1" customWidth="1"/>
    <col min="8205" max="8435" width="9" style="169"/>
    <col min="8436" max="8436" width="7.5" style="169" customWidth="1"/>
    <col min="8437" max="8437" width="55.19921875" style="169" customWidth="1"/>
    <col min="8438" max="8438" width="16.09765625" style="169" customWidth="1"/>
    <col min="8439" max="8454" width="0" style="169" hidden="1" customWidth="1"/>
    <col min="8455" max="8455" width="11.3984375" style="169" customWidth="1"/>
    <col min="8456" max="8456" width="14.8984375" style="169" customWidth="1"/>
    <col min="8457" max="8460" width="0" style="169" hidden="1" customWidth="1"/>
    <col min="8461" max="8691" width="9" style="169"/>
    <col min="8692" max="8692" width="7.5" style="169" customWidth="1"/>
    <col min="8693" max="8693" width="55.19921875" style="169" customWidth="1"/>
    <col min="8694" max="8694" width="16.09765625" style="169" customWidth="1"/>
    <col min="8695" max="8710" width="0" style="169" hidden="1" customWidth="1"/>
    <col min="8711" max="8711" width="11.3984375" style="169" customWidth="1"/>
    <col min="8712" max="8712" width="14.8984375" style="169" customWidth="1"/>
    <col min="8713" max="8716" width="0" style="169" hidden="1" customWidth="1"/>
    <col min="8717" max="8947" width="9" style="169"/>
    <col min="8948" max="8948" width="7.5" style="169" customWidth="1"/>
    <col min="8949" max="8949" width="55.19921875" style="169" customWidth="1"/>
    <col min="8950" max="8950" width="16.09765625" style="169" customWidth="1"/>
    <col min="8951" max="8966" width="0" style="169" hidden="1" customWidth="1"/>
    <col min="8967" max="8967" width="11.3984375" style="169" customWidth="1"/>
    <col min="8968" max="8968" width="14.8984375" style="169" customWidth="1"/>
    <col min="8969" max="8972" width="0" style="169" hidden="1" customWidth="1"/>
    <col min="8973" max="9203" width="9" style="169"/>
    <col min="9204" max="9204" width="7.5" style="169" customWidth="1"/>
    <col min="9205" max="9205" width="55.19921875" style="169" customWidth="1"/>
    <col min="9206" max="9206" width="16.09765625" style="169" customWidth="1"/>
    <col min="9207" max="9222" width="0" style="169" hidden="1" customWidth="1"/>
    <col min="9223" max="9223" width="11.3984375" style="169" customWidth="1"/>
    <col min="9224" max="9224" width="14.8984375" style="169" customWidth="1"/>
    <col min="9225" max="9228" width="0" style="169" hidden="1" customWidth="1"/>
    <col min="9229" max="9459" width="9" style="169"/>
    <col min="9460" max="9460" width="7.5" style="169" customWidth="1"/>
    <col min="9461" max="9461" width="55.19921875" style="169" customWidth="1"/>
    <col min="9462" max="9462" width="16.09765625" style="169" customWidth="1"/>
    <col min="9463" max="9478" width="0" style="169" hidden="1" customWidth="1"/>
    <col min="9479" max="9479" width="11.3984375" style="169" customWidth="1"/>
    <col min="9480" max="9480" width="14.8984375" style="169" customWidth="1"/>
    <col min="9481" max="9484" width="0" style="169" hidden="1" customWidth="1"/>
    <col min="9485" max="9715" width="9" style="169"/>
    <col min="9716" max="9716" width="7.5" style="169" customWidth="1"/>
    <col min="9717" max="9717" width="55.19921875" style="169" customWidth="1"/>
    <col min="9718" max="9718" width="16.09765625" style="169" customWidth="1"/>
    <col min="9719" max="9734" width="0" style="169" hidden="1" customWidth="1"/>
    <col min="9735" max="9735" width="11.3984375" style="169" customWidth="1"/>
    <col min="9736" max="9736" width="14.8984375" style="169" customWidth="1"/>
    <col min="9737" max="9740" width="0" style="169" hidden="1" customWidth="1"/>
    <col min="9741" max="9971" width="9" style="169"/>
    <col min="9972" max="9972" width="7.5" style="169" customWidth="1"/>
    <col min="9973" max="9973" width="55.19921875" style="169" customWidth="1"/>
    <col min="9974" max="9974" width="16.09765625" style="169" customWidth="1"/>
    <col min="9975" max="9990" width="0" style="169" hidden="1" customWidth="1"/>
    <col min="9991" max="9991" width="11.3984375" style="169" customWidth="1"/>
    <col min="9992" max="9992" width="14.8984375" style="169" customWidth="1"/>
    <col min="9993" max="9996" width="0" style="169" hidden="1" customWidth="1"/>
    <col min="9997" max="10227" width="9" style="169"/>
    <col min="10228" max="10228" width="7.5" style="169" customWidth="1"/>
    <col min="10229" max="10229" width="55.19921875" style="169" customWidth="1"/>
    <col min="10230" max="10230" width="16.09765625" style="169" customWidth="1"/>
    <col min="10231" max="10246" width="0" style="169" hidden="1" customWidth="1"/>
    <col min="10247" max="10247" width="11.3984375" style="169" customWidth="1"/>
    <col min="10248" max="10248" width="14.8984375" style="169" customWidth="1"/>
    <col min="10249" max="10252" width="0" style="169" hidden="1" customWidth="1"/>
    <col min="10253" max="10483" width="9" style="169"/>
    <col min="10484" max="10484" width="7.5" style="169" customWidth="1"/>
    <col min="10485" max="10485" width="55.19921875" style="169" customWidth="1"/>
    <col min="10486" max="10486" width="16.09765625" style="169" customWidth="1"/>
    <col min="10487" max="10502" width="0" style="169" hidden="1" customWidth="1"/>
    <col min="10503" max="10503" width="11.3984375" style="169" customWidth="1"/>
    <col min="10504" max="10504" width="14.8984375" style="169" customWidth="1"/>
    <col min="10505" max="10508" width="0" style="169" hidden="1" customWidth="1"/>
    <col min="10509" max="10739" width="9" style="169"/>
    <col min="10740" max="10740" width="7.5" style="169" customWidth="1"/>
    <col min="10741" max="10741" width="55.19921875" style="169" customWidth="1"/>
    <col min="10742" max="10742" width="16.09765625" style="169" customWidth="1"/>
    <col min="10743" max="10758" width="0" style="169" hidden="1" customWidth="1"/>
    <col min="10759" max="10759" width="11.3984375" style="169" customWidth="1"/>
    <col min="10760" max="10760" width="14.8984375" style="169" customWidth="1"/>
    <col min="10761" max="10764" width="0" style="169" hidden="1" customWidth="1"/>
    <col min="10765" max="10995" width="9" style="169"/>
    <col min="10996" max="10996" width="7.5" style="169" customWidth="1"/>
    <col min="10997" max="10997" width="55.19921875" style="169" customWidth="1"/>
    <col min="10998" max="10998" width="16.09765625" style="169" customWidth="1"/>
    <col min="10999" max="11014" width="0" style="169" hidden="1" customWidth="1"/>
    <col min="11015" max="11015" width="11.3984375" style="169" customWidth="1"/>
    <col min="11016" max="11016" width="14.8984375" style="169" customWidth="1"/>
    <col min="11017" max="11020" width="0" style="169" hidden="1" customWidth="1"/>
    <col min="11021" max="11251" width="9" style="169"/>
    <col min="11252" max="11252" width="7.5" style="169" customWidth="1"/>
    <col min="11253" max="11253" width="55.19921875" style="169" customWidth="1"/>
    <col min="11254" max="11254" width="16.09765625" style="169" customWidth="1"/>
    <col min="11255" max="11270" width="0" style="169" hidden="1" customWidth="1"/>
    <col min="11271" max="11271" width="11.3984375" style="169" customWidth="1"/>
    <col min="11272" max="11272" width="14.8984375" style="169" customWidth="1"/>
    <col min="11273" max="11276" width="0" style="169" hidden="1" customWidth="1"/>
    <col min="11277" max="11507" width="9" style="169"/>
    <col min="11508" max="11508" width="7.5" style="169" customWidth="1"/>
    <col min="11509" max="11509" width="55.19921875" style="169" customWidth="1"/>
    <col min="11510" max="11510" width="16.09765625" style="169" customWidth="1"/>
    <col min="11511" max="11526" width="0" style="169" hidden="1" customWidth="1"/>
    <col min="11527" max="11527" width="11.3984375" style="169" customWidth="1"/>
    <col min="11528" max="11528" width="14.8984375" style="169" customWidth="1"/>
    <col min="11529" max="11532" width="0" style="169" hidden="1" customWidth="1"/>
    <col min="11533" max="11763" width="9" style="169"/>
    <col min="11764" max="11764" width="7.5" style="169" customWidth="1"/>
    <col min="11765" max="11765" width="55.19921875" style="169" customWidth="1"/>
    <col min="11766" max="11766" width="16.09765625" style="169" customWidth="1"/>
    <col min="11767" max="11782" width="0" style="169" hidden="1" customWidth="1"/>
    <col min="11783" max="11783" width="11.3984375" style="169" customWidth="1"/>
    <col min="11784" max="11784" width="14.8984375" style="169" customWidth="1"/>
    <col min="11785" max="11788" width="0" style="169" hidden="1" customWidth="1"/>
    <col min="11789" max="12019" width="9" style="169"/>
    <col min="12020" max="12020" width="7.5" style="169" customWidth="1"/>
    <col min="12021" max="12021" width="55.19921875" style="169" customWidth="1"/>
    <col min="12022" max="12022" width="16.09765625" style="169" customWidth="1"/>
    <col min="12023" max="12038" width="0" style="169" hidden="1" customWidth="1"/>
    <col min="12039" max="12039" width="11.3984375" style="169" customWidth="1"/>
    <col min="12040" max="12040" width="14.8984375" style="169" customWidth="1"/>
    <col min="12041" max="12044" width="0" style="169" hidden="1" customWidth="1"/>
    <col min="12045" max="12275" width="9" style="169"/>
    <col min="12276" max="12276" width="7.5" style="169" customWidth="1"/>
    <col min="12277" max="12277" width="55.19921875" style="169" customWidth="1"/>
    <col min="12278" max="12278" width="16.09765625" style="169" customWidth="1"/>
    <col min="12279" max="12294" width="0" style="169" hidden="1" customWidth="1"/>
    <col min="12295" max="12295" width="11.3984375" style="169" customWidth="1"/>
    <col min="12296" max="12296" width="14.8984375" style="169" customWidth="1"/>
    <col min="12297" max="12300" width="0" style="169" hidden="1" customWidth="1"/>
    <col min="12301" max="12531" width="9" style="169"/>
    <col min="12532" max="12532" width="7.5" style="169" customWidth="1"/>
    <col min="12533" max="12533" width="55.19921875" style="169" customWidth="1"/>
    <col min="12534" max="12534" width="16.09765625" style="169" customWidth="1"/>
    <col min="12535" max="12550" width="0" style="169" hidden="1" customWidth="1"/>
    <col min="12551" max="12551" width="11.3984375" style="169" customWidth="1"/>
    <col min="12552" max="12552" width="14.8984375" style="169" customWidth="1"/>
    <col min="12553" max="12556" width="0" style="169" hidden="1" customWidth="1"/>
    <col min="12557" max="12787" width="9" style="169"/>
    <col min="12788" max="12788" width="7.5" style="169" customWidth="1"/>
    <col min="12789" max="12789" width="55.19921875" style="169" customWidth="1"/>
    <col min="12790" max="12790" width="16.09765625" style="169" customWidth="1"/>
    <col min="12791" max="12806" width="0" style="169" hidden="1" customWidth="1"/>
    <col min="12807" max="12807" width="11.3984375" style="169" customWidth="1"/>
    <col min="12808" max="12808" width="14.8984375" style="169" customWidth="1"/>
    <col min="12809" max="12812" width="0" style="169" hidden="1" customWidth="1"/>
    <col min="12813" max="13043" width="9" style="169"/>
    <col min="13044" max="13044" width="7.5" style="169" customWidth="1"/>
    <col min="13045" max="13045" width="55.19921875" style="169" customWidth="1"/>
    <col min="13046" max="13046" width="16.09765625" style="169" customWidth="1"/>
    <col min="13047" max="13062" width="0" style="169" hidden="1" customWidth="1"/>
    <col min="13063" max="13063" width="11.3984375" style="169" customWidth="1"/>
    <col min="13064" max="13064" width="14.8984375" style="169" customWidth="1"/>
    <col min="13065" max="13068" width="0" style="169" hidden="1" customWidth="1"/>
    <col min="13069" max="13299" width="9" style="169"/>
    <col min="13300" max="13300" width="7.5" style="169" customWidth="1"/>
    <col min="13301" max="13301" width="55.19921875" style="169" customWidth="1"/>
    <col min="13302" max="13302" width="16.09765625" style="169" customWidth="1"/>
    <col min="13303" max="13318" width="0" style="169" hidden="1" customWidth="1"/>
    <col min="13319" max="13319" width="11.3984375" style="169" customWidth="1"/>
    <col min="13320" max="13320" width="14.8984375" style="169" customWidth="1"/>
    <col min="13321" max="13324" width="0" style="169" hidden="1" customWidth="1"/>
    <col min="13325" max="13555" width="9" style="169"/>
    <col min="13556" max="13556" width="7.5" style="169" customWidth="1"/>
    <col min="13557" max="13557" width="55.19921875" style="169" customWidth="1"/>
    <col min="13558" max="13558" width="16.09765625" style="169" customWidth="1"/>
    <col min="13559" max="13574" width="0" style="169" hidden="1" customWidth="1"/>
    <col min="13575" max="13575" width="11.3984375" style="169" customWidth="1"/>
    <col min="13576" max="13576" width="14.8984375" style="169" customWidth="1"/>
    <col min="13577" max="13580" width="0" style="169" hidden="1" customWidth="1"/>
    <col min="13581" max="13811" width="9" style="169"/>
    <col min="13812" max="13812" width="7.5" style="169" customWidth="1"/>
    <col min="13813" max="13813" width="55.19921875" style="169" customWidth="1"/>
    <col min="13814" max="13814" width="16.09765625" style="169" customWidth="1"/>
    <col min="13815" max="13830" width="0" style="169" hidden="1" customWidth="1"/>
    <col min="13831" max="13831" width="11.3984375" style="169" customWidth="1"/>
    <col min="13832" max="13832" width="14.8984375" style="169" customWidth="1"/>
    <col min="13833" max="13836" width="0" style="169" hidden="1" customWidth="1"/>
    <col min="13837" max="14067" width="9" style="169"/>
    <col min="14068" max="14068" width="7.5" style="169" customWidth="1"/>
    <col min="14069" max="14069" width="55.19921875" style="169" customWidth="1"/>
    <col min="14070" max="14070" width="16.09765625" style="169" customWidth="1"/>
    <col min="14071" max="14086" width="0" style="169" hidden="1" customWidth="1"/>
    <col min="14087" max="14087" width="11.3984375" style="169" customWidth="1"/>
    <col min="14088" max="14088" width="14.8984375" style="169" customWidth="1"/>
    <col min="14089" max="14092" width="0" style="169" hidden="1" customWidth="1"/>
    <col min="14093" max="14323" width="9" style="169"/>
    <col min="14324" max="14324" width="7.5" style="169" customWidth="1"/>
    <col min="14325" max="14325" width="55.19921875" style="169" customWidth="1"/>
    <col min="14326" max="14326" width="16.09765625" style="169" customWidth="1"/>
    <col min="14327" max="14342" width="0" style="169" hidden="1" customWidth="1"/>
    <col min="14343" max="14343" width="11.3984375" style="169" customWidth="1"/>
    <col min="14344" max="14344" width="14.8984375" style="169" customWidth="1"/>
    <col min="14345" max="14348" width="0" style="169" hidden="1" customWidth="1"/>
    <col min="14349" max="14579" width="9" style="169"/>
    <col min="14580" max="14580" width="7.5" style="169" customWidth="1"/>
    <col min="14581" max="14581" width="55.19921875" style="169" customWidth="1"/>
    <col min="14582" max="14582" width="16.09765625" style="169" customWidth="1"/>
    <col min="14583" max="14598" width="0" style="169" hidden="1" customWidth="1"/>
    <col min="14599" max="14599" width="11.3984375" style="169" customWidth="1"/>
    <col min="14600" max="14600" width="14.8984375" style="169" customWidth="1"/>
    <col min="14601" max="14604" width="0" style="169" hidden="1" customWidth="1"/>
    <col min="14605" max="14835" width="9" style="169"/>
    <col min="14836" max="14836" width="7.5" style="169" customWidth="1"/>
    <col min="14837" max="14837" width="55.19921875" style="169" customWidth="1"/>
    <col min="14838" max="14838" width="16.09765625" style="169" customWidth="1"/>
    <col min="14839" max="14854" width="0" style="169" hidden="1" customWidth="1"/>
    <col min="14855" max="14855" width="11.3984375" style="169" customWidth="1"/>
    <col min="14856" max="14856" width="14.8984375" style="169" customWidth="1"/>
    <col min="14857" max="14860" width="0" style="169" hidden="1" customWidth="1"/>
    <col min="14861" max="15091" width="9" style="169"/>
    <col min="15092" max="15092" width="7.5" style="169" customWidth="1"/>
    <col min="15093" max="15093" width="55.19921875" style="169" customWidth="1"/>
    <col min="15094" max="15094" width="16.09765625" style="169" customWidth="1"/>
    <col min="15095" max="15110" width="0" style="169" hidden="1" customWidth="1"/>
    <col min="15111" max="15111" width="11.3984375" style="169" customWidth="1"/>
    <col min="15112" max="15112" width="14.8984375" style="169" customWidth="1"/>
    <col min="15113" max="15116" width="0" style="169" hidden="1" customWidth="1"/>
    <col min="15117" max="15347" width="9" style="169"/>
    <col min="15348" max="15348" width="7.5" style="169" customWidth="1"/>
    <col min="15349" max="15349" width="55.19921875" style="169" customWidth="1"/>
    <col min="15350" max="15350" width="16.09765625" style="169" customWidth="1"/>
    <col min="15351" max="15366" width="0" style="169" hidden="1" customWidth="1"/>
    <col min="15367" max="15367" width="11.3984375" style="169" customWidth="1"/>
    <col min="15368" max="15368" width="14.8984375" style="169" customWidth="1"/>
    <col min="15369" max="15372" width="0" style="169" hidden="1" customWidth="1"/>
    <col min="15373" max="15603" width="9" style="169"/>
    <col min="15604" max="15604" width="7.5" style="169" customWidth="1"/>
    <col min="15605" max="15605" width="55.19921875" style="169" customWidth="1"/>
    <col min="15606" max="15606" width="16.09765625" style="169" customWidth="1"/>
    <col min="15607" max="15622" width="0" style="169" hidden="1" customWidth="1"/>
    <col min="15623" max="15623" width="11.3984375" style="169" customWidth="1"/>
    <col min="15624" max="15624" width="14.8984375" style="169" customWidth="1"/>
    <col min="15625" max="15628" width="0" style="169" hidden="1" customWidth="1"/>
    <col min="15629" max="15859" width="9" style="169"/>
    <col min="15860" max="15860" width="7.5" style="169" customWidth="1"/>
    <col min="15861" max="15861" width="55.19921875" style="169" customWidth="1"/>
    <col min="15862" max="15862" width="16.09765625" style="169" customWidth="1"/>
    <col min="15863" max="15878" width="0" style="169" hidden="1" customWidth="1"/>
    <col min="15879" max="15879" width="11.3984375" style="169" customWidth="1"/>
    <col min="15880" max="15880" width="14.8984375" style="169" customWidth="1"/>
    <col min="15881" max="15884" width="0" style="169" hidden="1" customWidth="1"/>
    <col min="15885" max="16115" width="9" style="169"/>
    <col min="16116" max="16116" width="7.5" style="169" customWidth="1"/>
    <col min="16117" max="16117" width="55.19921875" style="169" customWidth="1"/>
    <col min="16118" max="16118" width="16.09765625" style="169" customWidth="1"/>
    <col min="16119" max="16134" width="0" style="169" hidden="1" customWidth="1"/>
    <col min="16135" max="16135" width="11.3984375" style="169" customWidth="1"/>
    <col min="16136" max="16136" width="14.8984375" style="169" customWidth="1"/>
    <col min="16137" max="16140" width="0" style="169" hidden="1" customWidth="1"/>
    <col min="16141" max="16384" width="9" style="169"/>
  </cols>
  <sheetData>
    <row r="1" spans="1:30" ht="15.75" customHeight="1">
      <c r="A1" s="166" t="s">
        <v>95</v>
      </c>
      <c r="B1" s="167"/>
      <c r="C1" s="167"/>
      <c r="D1" s="167"/>
      <c r="E1" s="167"/>
      <c r="F1" s="168"/>
      <c r="G1" s="168"/>
      <c r="H1" s="168"/>
      <c r="I1" s="168"/>
      <c r="J1" s="168"/>
      <c r="K1" s="168"/>
      <c r="L1" s="168"/>
      <c r="M1" s="168"/>
      <c r="N1" s="167"/>
    </row>
    <row r="2" spans="1:30" ht="25.5" customHeight="1">
      <c r="A2" s="746" t="s">
        <v>259</v>
      </c>
      <c r="B2" s="746"/>
      <c r="C2" s="746"/>
      <c r="D2" s="746"/>
      <c r="E2" s="746"/>
      <c r="F2" s="746"/>
      <c r="G2" s="746"/>
      <c r="H2" s="746"/>
      <c r="I2" s="746"/>
      <c r="J2" s="746"/>
      <c r="K2" s="746"/>
      <c r="L2" s="746"/>
      <c r="M2" s="746"/>
      <c r="N2" s="746"/>
    </row>
    <row r="3" spans="1:30" ht="25.5" customHeight="1">
      <c r="A3" s="747" t="str">
        <f>+'03-CĐNS(HUYỆN Q.LÝ)'!A3:M3</f>
        <v>(Kèm theo Báo cáo số 899/BC-UBND, ngày 28 háng 11 năm 2022 của UBND huyện Tuần Giáo)</v>
      </c>
      <c r="B3" s="748"/>
      <c r="C3" s="748"/>
      <c r="D3" s="748"/>
      <c r="E3" s="748"/>
      <c r="F3" s="748"/>
      <c r="G3" s="748"/>
      <c r="H3" s="748"/>
      <c r="I3" s="748"/>
      <c r="J3" s="748"/>
      <c r="K3" s="748"/>
      <c r="L3" s="748"/>
      <c r="M3" s="748"/>
      <c r="N3" s="748"/>
    </row>
    <row r="4" spans="1:30" ht="17.25" customHeight="1">
      <c r="B4" s="171"/>
      <c r="C4" s="171"/>
      <c r="D4" s="172"/>
      <c r="E4" s="172"/>
      <c r="F4" s="749" t="s">
        <v>44</v>
      </c>
      <c r="G4" s="749"/>
      <c r="H4" s="749"/>
      <c r="I4" s="749"/>
      <c r="J4" s="749"/>
      <c r="K4" s="749"/>
      <c r="L4" s="749"/>
      <c r="M4" s="749"/>
      <c r="N4" s="749"/>
    </row>
    <row r="5" spans="1:30" s="167" customFormat="1" ht="33" customHeight="1">
      <c r="A5" s="750" t="s">
        <v>49</v>
      </c>
      <c r="B5" s="750" t="s">
        <v>43</v>
      </c>
      <c r="C5" s="750" t="s">
        <v>27</v>
      </c>
      <c r="D5" s="750" t="s">
        <v>87</v>
      </c>
      <c r="E5" s="740" t="s">
        <v>258</v>
      </c>
      <c r="F5" s="741"/>
      <c r="G5" s="753" t="s">
        <v>81</v>
      </c>
      <c r="H5" s="754"/>
      <c r="I5" s="753" t="s">
        <v>82</v>
      </c>
      <c r="J5" s="754"/>
      <c r="K5" s="755" t="s">
        <v>286</v>
      </c>
      <c r="L5" s="755" t="s">
        <v>246</v>
      </c>
      <c r="M5" s="755" t="s">
        <v>235</v>
      </c>
      <c r="N5" s="750" t="s">
        <v>8</v>
      </c>
      <c r="AA5" s="169"/>
      <c r="AB5" s="169"/>
      <c r="AC5" s="169"/>
      <c r="AD5" s="169"/>
    </row>
    <row r="6" spans="1:30" s="167" customFormat="1" ht="33" customHeight="1">
      <c r="A6" s="751"/>
      <c r="B6" s="751"/>
      <c r="C6" s="751"/>
      <c r="D6" s="751"/>
      <c r="E6" s="742"/>
      <c r="F6" s="743"/>
      <c r="G6" s="758" t="s">
        <v>260</v>
      </c>
      <c r="H6" s="758" t="s">
        <v>85</v>
      </c>
      <c r="I6" s="758" t="s">
        <v>260</v>
      </c>
      <c r="J6" s="758" t="s">
        <v>86</v>
      </c>
      <c r="K6" s="756"/>
      <c r="L6" s="756"/>
      <c r="M6" s="756"/>
      <c r="N6" s="751"/>
      <c r="AA6" s="169"/>
      <c r="AB6" s="169"/>
      <c r="AC6" s="169"/>
      <c r="AD6" s="169"/>
    </row>
    <row r="7" spans="1:30" s="167" customFormat="1" ht="16.5" customHeight="1">
      <c r="A7" s="752"/>
      <c r="B7" s="752"/>
      <c r="C7" s="752"/>
      <c r="D7" s="752"/>
      <c r="E7" s="744"/>
      <c r="F7" s="745"/>
      <c r="G7" s="758"/>
      <c r="H7" s="758"/>
      <c r="I7" s="758"/>
      <c r="J7" s="758"/>
      <c r="K7" s="757"/>
      <c r="L7" s="757"/>
      <c r="M7" s="757"/>
      <c r="N7" s="752"/>
      <c r="AA7" s="169"/>
      <c r="AB7" s="169"/>
      <c r="AC7" s="169"/>
      <c r="AD7" s="169"/>
    </row>
    <row r="8" spans="1:30" s="167" customFormat="1" ht="21.75" customHeight="1">
      <c r="A8" s="173" t="s">
        <v>50</v>
      </c>
      <c r="B8" s="173" t="s">
        <v>51</v>
      </c>
      <c r="C8" s="173" t="s">
        <v>52</v>
      </c>
      <c r="D8" s="173" t="s">
        <v>53</v>
      </c>
      <c r="E8" s="173" t="s">
        <v>88</v>
      </c>
      <c r="F8" s="173" t="s">
        <v>89</v>
      </c>
      <c r="G8" s="173" t="s">
        <v>89</v>
      </c>
      <c r="H8" s="173" t="s">
        <v>90</v>
      </c>
      <c r="I8" s="173" t="s">
        <v>91</v>
      </c>
      <c r="J8" s="173" t="s">
        <v>92</v>
      </c>
      <c r="K8" s="173" t="s">
        <v>93</v>
      </c>
      <c r="L8" s="173" t="s">
        <v>251</v>
      </c>
      <c r="M8" s="173" t="s">
        <v>252</v>
      </c>
      <c r="N8" s="173" t="s">
        <v>237</v>
      </c>
      <c r="AA8" s="169"/>
      <c r="AB8" s="169"/>
      <c r="AC8" s="169"/>
      <c r="AD8" s="169"/>
    </row>
    <row r="9" spans="1:30" s="167" customFormat="1" ht="25.5" customHeight="1">
      <c r="A9" s="174"/>
      <c r="B9" s="174" t="s">
        <v>54</v>
      </c>
      <c r="C9" s="174"/>
      <c r="D9" s="175">
        <f>D18+D28+D32</f>
        <v>44550</v>
      </c>
      <c r="E9" s="175">
        <f t="shared" ref="E9:K9" si="0">E18+E28+E32</f>
        <v>20078.991999999998</v>
      </c>
      <c r="F9" s="175">
        <f t="shared" si="0"/>
        <v>19100</v>
      </c>
      <c r="G9" s="175">
        <f t="shared" si="0"/>
        <v>2709</v>
      </c>
      <c r="H9" s="175">
        <f t="shared" si="0"/>
        <v>12456.417999999998</v>
      </c>
      <c r="I9" s="175">
        <f t="shared" si="0"/>
        <v>202</v>
      </c>
      <c r="J9" s="175">
        <f t="shared" si="0"/>
        <v>10906.881000000001</v>
      </c>
      <c r="K9" s="175">
        <f t="shared" si="0"/>
        <v>20078.991999999998</v>
      </c>
      <c r="L9" s="176">
        <f>L10+L32+L33</f>
        <v>79140</v>
      </c>
      <c r="M9" s="176">
        <f>M10+M32+M33</f>
        <v>21900</v>
      </c>
      <c r="N9" s="176"/>
      <c r="O9" s="177">
        <f>+D9-J9</f>
        <v>33643.118999999999</v>
      </c>
      <c r="P9" s="177">
        <f>+E9-I9</f>
        <v>19876.991999999998</v>
      </c>
      <c r="Q9" s="177">
        <f>-H9-J9</f>
        <v>-23363.298999999999</v>
      </c>
      <c r="R9" s="177">
        <f>+E9-K9</f>
        <v>0</v>
      </c>
      <c r="S9" s="177">
        <f>+K9-I9</f>
        <v>19876.991999999998</v>
      </c>
      <c r="T9" s="177">
        <f>+D9-J9-S9</f>
        <v>13766.127</v>
      </c>
      <c r="U9" s="178">
        <f>+K9-I9</f>
        <v>19876.991999999998</v>
      </c>
      <c r="V9" s="178">
        <f>+D9-K9-U9</f>
        <v>4594.0160000000033</v>
      </c>
      <c r="W9" s="178">
        <f>+E9-I9</f>
        <v>19876.991999999998</v>
      </c>
      <c r="X9" s="178">
        <f>+E9-K9</f>
        <v>0</v>
      </c>
      <c r="Y9" s="178">
        <f>+H9-J9</f>
        <v>1549.5369999999966</v>
      </c>
      <c r="Z9" s="178"/>
      <c r="AA9" s="222">
        <f>+E9-I9</f>
        <v>19876.991999999998</v>
      </c>
      <c r="AB9" s="222">
        <f>+D9-J9</f>
        <v>33643.118999999999</v>
      </c>
      <c r="AC9" s="222">
        <f>+K9-I9</f>
        <v>19876.991999999998</v>
      </c>
      <c r="AD9" s="222">
        <f>+D9-(J9+AC9)</f>
        <v>13766.127</v>
      </c>
    </row>
    <row r="10" spans="1:30" s="167" customFormat="1" ht="33" hidden="1" customHeight="1">
      <c r="A10" s="174" t="s">
        <v>23</v>
      </c>
      <c r="B10" s="179" t="s">
        <v>55</v>
      </c>
      <c r="C10" s="179"/>
      <c r="D10" s="175">
        <f t="shared" ref="D10:N10" si="1">D11+D18</f>
        <v>27750</v>
      </c>
      <c r="E10" s="175">
        <f t="shared" ref="E10" si="2">E11+E18</f>
        <v>14760</v>
      </c>
      <c r="F10" s="175">
        <f t="shared" si="1"/>
        <v>14760</v>
      </c>
      <c r="G10" s="175">
        <f t="shared" si="1"/>
        <v>2507</v>
      </c>
      <c r="H10" s="175">
        <f t="shared" si="1"/>
        <v>2507</v>
      </c>
      <c r="I10" s="175">
        <f t="shared" si="1"/>
        <v>0</v>
      </c>
      <c r="J10" s="175">
        <f t="shared" si="1"/>
        <v>0</v>
      </c>
      <c r="K10" s="175">
        <f t="shared" ref="K10:M10" si="3">K11+K18</f>
        <v>14760</v>
      </c>
      <c r="L10" s="176">
        <f t="shared" si="3"/>
        <v>16890</v>
      </c>
      <c r="M10" s="176">
        <f t="shared" si="3"/>
        <v>16890</v>
      </c>
      <c r="N10" s="176">
        <f t="shared" si="1"/>
        <v>0</v>
      </c>
      <c r="O10" s="177">
        <f t="shared" ref="O10:O32" si="4">+D10-J10</f>
        <v>27750</v>
      </c>
      <c r="P10" s="177">
        <f t="shared" ref="P10:P32" si="5">+E10-I10</f>
        <v>14760</v>
      </c>
      <c r="Q10" s="177">
        <f t="shared" ref="Q10:Q32" si="6">-H10-J10</f>
        <v>-2507</v>
      </c>
      <c r="R10" s="177">
        <f t="shared" ref="R10:R32" si="7">+E10-K10</f>
        <v>0</v>
      </c>
      <c r="S10" s="177">
        <f t="shared" ref="S10:S32" si="8">+K10-I10</f>
        <v>14760</v>
      </c>
      <c r="T10" s="177">
        <f t="shared" ref="T10:T32" si="9">+D10-J10-S10</f>
        <v>12990</v>
      </c>
      <c r="U10" s="178">
        <f t="shared" ref="U10:U35" si="10">+K10-I10</f>
        <v>14760</v>
      </c>
      <c r="V10" s="178">
        <f t="shared" ref="V10:V36" si="11">+D10-K10-U10</f>
        <v>-1770</v>
      </c>
      <c r="W10" s="178">
        <f t="shared" ref="W10:W36" si="12">+E10-I10</f>
        <v>14760</v>
      </c>
      <c r="X10" s="178">
        <f t="shared" ref="X10:X36" si="13">+E10-K10</f>
        <v>0</v>
      </c>
      <c r="Y10" s="178">
        <f t="shared" ref="Y10:Y36" si="14">+H10-J10</f>
        <v>2507</v>
      </c>
      <c r="AA10" s="222">
        <f t="shared" ref="AA10:AA36" si="15">+E10-I10</f>
        <v>14760</v>
      </c>
      <c r="AB10" s="222">
        <f t="shared" ref="AB10:AB36" si="16">+D10-J10</f>
        <v>27750</v>
      </c>
      <c r="AC10" s="222">
        <f t="shared" ref="AC10:AC36" si="17">+K10-I10</f>
        <v>14760</v>
      </c>
      <c r="AD10" s="222">
        <f t="shared" ref="AD10:AD36" si="18">+D10-(J10+AC10)</f>
        <v>12990</v>
      </c>
    </row>
    <row r="11" spans="1:30" s="167" customFormat="1" ht="33" hidden="1" customHeight="1">
      <c r="A11" s="174" t="s">
        <v>28</v>
      </c>
      <c r="B11" s="179" t="s">
        <v>56</v>
      </c>
      <c r="C11" s="179"/>
      <c r="D11" s="175">
        <f>SUM(D12:D17)</f>
        <v>0</v>
      </c>
      <c r="E11" s="175">
        <f t="shared" ref="E11" si="19">SUM(E12:E17)</f>
        <v>0</v>
      </c>
      <c r="F11" s="175">
        <f t="shared" ref="F11:N11" si="20">SUM(F12:F17)</f>
        <v>0</v>
      </c>
      <c r="G11" s="175">
        <f t="shared" si="20"/>
        <v>0</v>
      </c>
      <c r="H11" s="175">
        <f t="shared" si="20"/>
        <v>0</v>
      </c>
      <c r="I11" s="175">
        <f t="shared" si="20"/>
        <v>0</v>
      </c>
      <c r="J11" s="175">
        <f t="shared" si="20"/>
        <v>0</v>
      </c>
      <c r="K11" s="175">
        <f t="shared" ref="K11" si="21">SUM(K12:K17)</f>
        <v>0</v>
      </c>
      <c r="L11" s="176"/>
      <c r="M11" s="176"/>
      <c r="N11" s="176">
        <f t="shared" si="20"/>
        <v>0</v>
      </c>
      <c r="O11" s="177">
        <f t="shared" si="4"/>
        <v>0</v>
      </c>
      <c r="P11" s="177">
        <f t="shared" si="5"/>
        <v>0</v>
      </c>
      <c r="Q11" s="177">
        <f t="shared" si="6"/>
        <v>0</v>
      </c>
      <c r="R11" s="177">
        <f t="shared" si="7"/>
        <v>0</v>
      </c>
      <c r="S11" s="177">
        <f t="shared" si="8"/>
        <v>0</v>
      </c>
      <c r="T11" s="177">
        <f t="shared" si="9"/>
        <v>0</v>
      </c>
      <c r="U11" s="178">
        <f t="shared" si="10"/>
        <v>0</v>
      </c>
      <c r="V11" s="178">
        <f t="shared" si="11"/>
        <v>0</v>
      </c>
      <c r="W11" s="178">
        <f t="shared" si="12"/>
        <v>0</v>
      </c>
      <c r="X11" s="178">
        <f t="shared" si="13"/>
        <v>0</v>
      </c>
      <c r="Y11" s="178">
        <f t="shared" si="14"/>
        <v>0</v>
      </c>
      <c r="AA11" s="222">
        <f t="shared" si="15"/>
        <v>0</v>
      </c>
      <c r="AB11" s="222">
        <f t="shared" si="16"/>
        <v>0</v>
      </c>
      <c r="AC11" s="222">
        <f t="shared" si="17"/>
        <v>0</v>
      </c>
      <c r="AD11" s="222">
        <f t="shared" si="18"/>
        <v>0</v>
      </c>
    </row>
    <row r="12" spans="1:30" ht="33" hidden="1" customHeight="1">
      <c r="A12" s="180">
        <v>1</v>
      </c>
      <c r="B12" s="181" t="s">
        <v>57</v>
      </c>
      <c r="C12" s="182" t="s">
        <v>30</v>
      </c>
      <c r="D12" s="161"/>
      <c r="E12" s="163"/>
      <c r="F12" s="163"/>
      <c r="G12" s="163"/>
      <c r="H12" s="163"/>
      <c r="I12" s="163"/>
      <c r="J12" s="163"/>
      <c r="K12" s="163"/>
      <c r="L12" s="183"/>
      <c r="M12" s="183"/>
      <c r="N12" s="184"/>
      <c r="O12" s="177">
        <f t="shared" si="4"/>
        <v>0</v>
      </c>
      <c r="P12" s="177">
        <f t="shared" si="5"/>
        <v>0</v>
      </c>
      <c r="Q12" s="177">
        <f t="shared" si="6"/>
        <v>0</v>
      </c>
      <c r="R12" s="177">
        <f t="shared" si="7"/>
        <v>0</v>
      </c>
      <c r="S12" s="177">
        <f t="shared" si="8"/>
        <v>0</v>
      </c>
      <c r="T12" s="177">
        <f t="shared" si="9"/>
        <v>0</v>
      </c>
      <c r="U12" s="178">
        <f t="shared" si="10"/>
        <v>0</v>
      </c>
      <c r="V12" s="178">
        <f t="shared" si="11"/>
        <v>0</v>
      </c>
      <c r="W12" s="178">
        <f t="shared" si="12"/>
        <v>0</v>
      </c>
      <c r="X12" s="178">
        <f t="shared" si="13"/>
        <v>0</v>
      </c>
      <c r="Y12" s="178">
        <f t="shared" si="14"/>
        <v>0</v>
      </c>
      <c r="AA12" s="222">
        <f t="shared" si="15"/>
        <v>0</v>
      </c>
      <c r="AB12" s="222">
        <f t="shared" si="16"/>
        <v>0</v>
      </c>
      <c r="AC12" s="222">
        <f t="shared" si="17"/>
        <v>0</v>
      </c>
      <c r="AD12" s="222">
        <f t="shared" si="18"/>
        <v>0</v>
      </c>
    </row>
    <row r="13" spans="1:30" ht="33" hidden="1" customHeight="1">
      <c r="A13" s="185">
        <v>2</v>
      </c>
      <c r="B13" s="186" t="s">
        <v>59</v>
      </c>
      <c r="C13" s="182" t="s">
        <v>30</v>
      </c>
      <c r="D13" s="161"/>
      <c r="E13" s="163"/>
      <c r="F13" s="163"/>
      <c r="G13" s="163"/>
      <c r="H13" s="163"/>
      <c r="I13" s="163"/>
      <c r="J13" s="163"/>
      <c r="K13" s="163"/>
      <c r="L13" s="183"/>
      <c r="M13" s="183"/>
      <c r="N13" s="184"/>
      <c r="O13" s="177">
        <f t="shared" si="4"/>
        <v>0</v>
      </c>
      <c r="P13" s="177">
        <f t="shared" si="5"/>
        <v>0</v>
      </c>
      <c r="Q13" s="177">
        <f t="shared" si="6"/>
        <v>0</v>
      </c>
      <c r="R13" s="177">
        <f t="shared" si="7"/>
        <v>0</v>
      </c>
      <c r="S13" s="177">
        <f t="shared" si="8"/>
        <v>0</v>
      </c>
      <c r="T13" s="177">
        <f t="shared" si="9"/>
        <v>0</v>
      </c>
      <c r="U13" s="178">
        <f t="shared" si="10"/>
        <v>0</v>
      </c>
      <c r="V13" s="178">
        <f t="shared" si="11"/>
        <v>0</v>
      </c>
      <c r="W13" s="178">
        <f t="shared" si="12"/>
        <v>0</v>
      </c>
      <c r="X13" s="178">
        <f t="shared" si="13"/>
        <v>0</v>
      </c>
      <c r="Y13" s="178">
        <f t="shared" si="14"/>
        <v>0</v>
      </c>
      <c r="AA13" s="222">
        <f t="shared" si="15"/>
        <v>0</v>
      </c>
      <c r="AB13" s="222">
        <f t="shared" si="16"/>
        <v>0</v>
      </c>
      <c r="AC13" s="222">
        <f t="shared" si="17"/>
        <v>0</v>
      </c>
      <c r="AD13" s="222">
        <f t="shared" si="18"/>
        <v>0</v>
      </c>
    </row>
    <row r="14" spans="1:30" s="167" customFormat="1" ht="33" hidden="1" customHeight="1">
      <c r="A14" s="185">
        <v>3</v>
      </c>
      <c r="B14" s="186" t="s">
        <v>61</v>
      </c>
      <c r="C14" s="182" t="s">
        <v>30</v>
      </c>
      <c r="D14" s="161"/>
      <c r="E14" s="163"/>
      <c r="F14" s="163"/>
      <c r="G14" s="163"/>
      <c r="H14" s="163"/>
      <c r="I14" s="163"/>
      <c r="J14" s="163"/>
      <c r="K14" s="163"/>
      <c r="L14" s="183"/>
      <c r="M14" s="183"/>
      <c r="N14" s="184"/>
      <c r="O14" s="177">
        <f t="shared" si="4"/>
        <v>0</v>
      </c>
      <c r="P14" s="177">
        <f t="shared" si="5"/>
        <v>0</v>
      </c>
      <c r="Q14" s="177">
        <f t="shared" si="6"/>
        <v>0</v>
      </c>
      <c r="R14" s="177">
        <f t="shared" si="7"/>
        <v>0</v>
      </c>
      <c r="S14" s="177">
        <f t="shared" si="8"/>
        <v>0</v>
      </c>
      <c r="T14" s="177">
        <f t="shared" si="9"/>
        <v>0</v>
      </c>
      <c r="U14" s="178">
        <f t="shared" si="10"/>
        <v>0</v>
      </c>
      <c r="V14" s="178">
        <f t="shared" si="11"/>
        <v>0</v>
      </c>
      <c r="W14" s="178">
        <f t="shared" si="12"/>
        <v>0</v>
      </c>
      <c r="X14" s="178">
        <f t="shared" si="13"/>
        <v>0</v>
      </c>
      <c r="Y14" s="178">
        <f t="shared" si="14"/>
        <v>0</v>
      </c>
      <c r="AA14" s="222">
        <f t="shared" si="15"/>
        <v>0</v>
      </c>
      <c r="AB14" s="222">
        <f t="shared" si="16"/>
        <v>0</v>
      </c>
      <c r="AC14" s="222">
        <f t="shared" si="17"/>
        <v>0</v>
      </c>
      <c r="AD14" s="222">
        <f t="shared" si="18"/>
        <v>0</v>
      </c>
    </row>
    <row r="15" spans="1:30" s="167" customFormat="1" ht="33" hidden="1" customHeight="1">
      <c r="A15" s="185">
        <v>4</v>
      </c>
      <c r="B15" s="186" t="s">
        <v>62</v>
      </c>
      <c r="C15" s="182" t="s">
        <v>36</v>
      </c>
      <c r="D15" s="161"/>
      <c r="E15" s="163"/>
      <c r="F15" s="163"/>
      <c r="G15" s="163"/>
      <c r="H15" s="163"/>
      <c r="I15" s="163"/>
      <c r="J15" s="163"/>
      <c r="K15" s="163"/>
      <c r="L15" s="183"/>
      <c r="M15" s="183"/>
      <c r="N15" s="184"/>
      <c r="O15" s="177">
        <f t="shared" si="4"/>
        <v>0</v>
      </c>
      <c r="P15" s="177">
        <f t="shared" si="5"/>
        <v>0</v>
      </c>
      <c r="Q15" s="177">
        <f t="shared" si="6"/>
        <v>0</v>
      </c>
      <c r="R15" s="177">
        <f t="shared" si="7"/>
        <v>0</v>
      </c>
      <c r="S15" s="177">
        <f t="shared" si="8"/>
        <v>0</v>
      </c>
      <c r="T15" s="177">
        <f t="shared" si="9"/>
        <v>0</v>
      </c>
      <c r="U15" s="178">
        <f t="shared" si="10"/>
        <v>0</v>
      </c>
      <c r="V15" s="178">
        <f t="shared" si="11"/>
        <v>0</v>
      </c>
      <c r="W15" s="178">
        <f t="shared" si="12"/>
        <v>0</v>
      </c>
      <c r="X15" s="178">
        <f t="shared" si="13"/>
        <v>0</v>
      </c>
      <c r="Y15" s="178">
        <f t="shared" si="14"/>
        <v>0</v>
      </c>
      <c r="AA15" s="222">
        <f t="shared" si="15"/>
        <v>0</v>
      </c>
      <c r="AB15" s="222">
        <f t="shared" si="16"/>
        <v>0</v>
      </c>
      <c r="AC15" s="222">
        <f t="shared" si="17"/>
        <v>0</v>
      </c>
      <c r="AD15" s="222">
        <f t="shared" si="18"/>
        <v>0</v>
      </c>
    </row>
    <row r="16" spans="1:30" s="167" customFormat="1" ht="33" hidden="1" customHeight="1">
      <c r="A16" s="185">
        <v>5</v>
      </c>
      <c r="B16" s="186" t="s">
        <v>63</v>
      </c>
      <c r="C16" s="182" t="s">
        <v>30</v>
      </c>
      <c r="D16" s="161"/>
      <c r="E16" s="163"/>
      <c r="F16" s="163"/>
      <c r="G16" s="163"/>
      <c r="H16" s="163"/>
      <c r="I16" s="163"/>
      <c r="J16" s="163"/>
      <c r="K16" s="163"/>
      <c r="L16" s="183"/>
      <c r="M16" s="183"/>
      <c r="N16" s="184"/>
      <c r="O16" s="177">
        <f t="shared" si="4"/>
        <v>0</v>
      </c>
      <c r="P16" s="177">
        <f t="shared" si="5"/>
        <v>0</v>
      </c>
      <c r="Q16" s="177">
        <f t="shared" si="6"/>
        <v>0</v>
      </c>
      <c r="R16" s="177">
        <f t="shared" si="7"/>
        <v>0</v>
      </c>
      <c r="S16" s="177">
        <f t="shared" si="8"/>
        <v>0</v>
      </c>
      <c r="T16" s="177">
        <f t="shared" si="9"/>
        <v>0</v>
      </c>
      <c r="U16" s="178">
        <f t="shared" si="10"/>
        <v>0</v>
      </c>
      <c r="V16" s="178">
        <f t="shared" si="11"/>
        <v>0</v>
      </c>
      <c r="W16" s="178">
        <f t="shared" si="12"/>
        <v>0</v>
      </c>
      <c r="X16" s="178">
        <f t="shared" si="13"/>
        <v>0</v>
      </c>
      <c r="Y16" s="178">
        <f t="shared" si="14"/>
        <v>0</v>
      </c>
      <c r="AA16" s="222">
        <f t="shared" si="15"/>
        <v>0</v>
      </c>
      <c r="AB16" s="222">
        <f t="shared" si="16"/>
        <v>0</v>
      </c>
      <c r="AC16" s="222">
        <f t="shared" si="17"/>
        <v>0</v>
      </c>
      <c r="AD16" s="222">
        <f t="shared" si="18"/>
        <v>0</v>
      </c>
    </row>
    <row r="17" spans="1:30" ht="33" hidden="1" customHeight="1">
      <c r="A17" s="187">
        <v>6</v>
      </c>
      <c r="B17" s="188" t="s">
        <v>64</v>
      </c>
      <c r="C17" s="189" t="s">
        <v>65</v>
      </c>
      <c r="D17" s="161"/>
      <c r="E17" s="163"/>
      <c r="F17" s="163"/>
      <c r="G17" s="163"/>
      <c r="H17" s="163"/>
      <c r="I17" s="163"/>
      <c r="J17" s="163"/>
      <c r="K17" s="163"/>
      <c r="L17" s="183"/>
      <c r="M17" s="183"/>
      <c r="N17" s="184"/>
      <c r="O17" s="177">
        <f t="shared" si="4"/>
        <v>0</v>
      </c>
      <c r="P17" s="177">
        <f t="shared" si="5"/>
        <v>0</v>
      </c>
      <c r="Q17" s="177">
        <f t="shared" si="6"/>
        <v>0</v>
      </c>
      <c r="R17" s="177">
        <f t="shared" si="7"/>
        <v>0</v>
      </c>
      <c r="S17" s="177">
        <f t="shared" si="8"/>
        <v>0</v>
      </c>
      <c r="T17" s="177">
        <f t="shared" si="9"/>
        <v>0</v>
      </c>
      <c r="U17" s="178">
        <f t="shared" si="10"/>
        <v>0</v>
      </c>
      <c r="V17" s="178">
        <f t="shared" si="11"/>
        <v>0</v>
      </c>
      <c r="W17" s="178">
        <f t="shared" si="12"/>
        <v>0</v>
      </c>
      <c r="X17" s="178">
        <f t="shared" si="13"/>
        <v>0</v>
      </c>
      <c r="Y17" s="178">
        <f t="shared" si="14"/>
        <v>0</v>
      </c>
      <c r="AA17" s="222">
        <f t="shared" si="15"/>
        <v>0</v>
      </c>
      <c r="AB17" s="222">
        <f t="shared" si="16"/>
        <v>0</v>
      </c>
      <c r="AC17" s="222">
        <f t="shared" si="17"/>
        <v>0</v>
      </c>
      <c r="AD17" s="222">
        <f t="shared" si="18"/>
        <v>0</v>
      </c>
    </row>
    <row r="18" spans="1:30" s="195" customFormat="1" ht="24.75" customHeight="1">
      <c r="A18" s="190" t="s">
        <v>28</v>
      </c>
      <c r="B18" s="191" t="s">
        <v>66</v>
      </c>
      <c r="C18" s="192"/>
      <c r="D18" s="175">
        <f>SUM(D19:D27)</f>
        <v>27750</v>
      </c>
      <c r="E18" s="175">
        <f t="shared" ref="E18:K18" si="22">SUM(E19:E27)</f>
        <v>14760</v>
      </c>
      <c r="F18" s="175">
        <f t="shared" si="22"/>
        <v>14760</v>
      </c>
      <c r="G18" s="175">
        <f t="shared" si="22"/>
        <v>2507</v>
      </c>
      <c r="H18" s="175">
        <f t="shared" si="22"/>
        <v>2507</v>
      </c>
      <c r="I18" s="175">
        <f t="shared" si="22"/>
        <v>0</v>
      </c>
      <c r="J18" s="175">
        <f t="shared" si="22"/>
        <v>0</v>
      </c>
      <c r="K18" s="175">
        <f t="shared" si="22"/>
        <v>14760</v>
      </c>
      <c r="L18" s="176">
        <f t="shared" ref="L18:M18" si="23">SUM(L19:L31)</f>
        <v>16890</v>
      </c>
      <c r="M18" s="176">
        <f t="shared" si="23"/>
        <v>16890</v>
      </c>
      <c r="N18" s="176"/>
      <c r="O18" s="193">
        <f t="shared" si="4"/>
        <v>27750</v>
      </c>
      <c r="P18" s="193">
        <f t="shared" si="5"/>
        <v>14760</v>
      </c>
      <c r="Q18" s="193">
        <f t="shared" si="6"/>
        <v>-2507</v>
      </c>
      <c r="R18" s="193">
        <f t="shared" si="7"/>
        <v>0</v>
      </c>
      <c r="S18" s="193">
        <f t="shared" si="8"/>
        <v>14760</v>
      </c>
      <c r="T18" s="193">
        <f t="shared" si="9"/>
        <v>12990</v>
      </c>
      <c r="U18" s="194">
        <f t="shared" si="10"/>
        <v>14760</v>
      </c>
      <c r="V18" s="194">
        <f t="shared" si="11"/>
        <v>-1770</v>
      </c>
      <c r="W18" s="194">
        <f t="shared" si="12"/>
        <v>14760</v>
      </c>
      <c r="X18" s="194">
        <f t="shared" si="13"/>
        <v>0</v>
      </c>
      <c r="Y18" s="194">
        <f t="shared" si="14"/>
        <v>2507</v>
      </c>
      <c r="AA18" s="222">
        <f t="shared" si="15"/>
        <v>14760</v>
      </c>
      <c r="AB18" s="222">
        <f t="shared" si="16"/>
        <v>27750</v>
      </c>
      <c r="AC18" s="222">
        <f t="shared" si="17"/>
        <v>14760</v>
      </c>
      <c r="AD18" s="222">
        <f t="shared" si="18"/>
        <v>12990</v>
      </c>
    </row>
    <row r="19" spans="1:30" s="167" customFormat="1" ht="31.2">
      <c r="A19" s="187">
        <v>1</v>
      </c>
      <c r="B19" s="186" t="s">
        <v>67</v>
      </c>
      <c r="C19" s="185" t="s">
        <v>30</v>
      </c>
      <c r="D19" s="161">
        <v>4600</v>
      </c>
      <c r="E19" s="161">
        <f>F19</f>
        <v>3260</v>
      </c>
      <c r="F19" s="163">
        <v>3260</v>
      </c>
      <c r="G19" s="161">
        <v>288</v>
      </c>
      <c r="H19" s="163">
        <f>G19</f>
        <v>288</v>
      </c>
      <c r="I19" s="163"/>
      <c r="J19" s="163">
        <f>I19</f>
        <v>0</v>
      </c>
      <c r="K19" s="163">
        <f t="shared" ref="K19:K32" si="24">F19</f>
        <v>3260</v>
      </c>
      <c r="L19" s="183">
        <f t="shared" ref="L19:L31" si="25">D19-F19</f>
        <v>1340</v>
      </c>
      <c r="M19" s="162">
        <f>L19</f>
        <v>1340</v>
      </c>
      <c r="N19" s="737" t="s">
        <v>284</v>
      </c>
      <c r="O19" s="177">
        <f t="shared" si="4"/>
        <v>4600</v>
      </c>
      <c r="P19" s="177">
        <f t="shared" si="5"/>
        <v>3260</v>
      </c>
      <c r="Q19" s="177">
        <f t="shared" si="6"/>
        <v>-288</v>
      </c>
      <c r="R19" s="177">
        <f t="shared" si="7"/>
        <v>0</v>
      </c>
      <c r="S19" s="177">
        <f t="shared" si="8"/>
        <v>3260</v>
      </c>
      <c r="T19" s="177">
        <f t="shared" si="9"/>
        <v>1340</v>
      </c>
      <c r="U19" s="178">
        <f t="shared" si="10"/>
        <v>3260</v>
      </c>
      <c r="V19" s="178">
        <f t="shared" si="11"/>
        <v>-1920</v>
      </c>
      <c r="W19" s="178">
        <f t="shared" si="12"/>
        <v>3260</v>
      </c>
      <c r="X19" s="178">
        <f t="shared" si="13"/>
        <v>0</v>
      </c>
      <c r="Y19" s="178">
        <f t="shared" si="14"/>
        <v>288</v>
      </c>
      <c r="AA19" s="222">
        <f t="shared" si="15"/>
        <v>3260</v>
      </c>
      <c r="AB19" s="222">
        <f t="shared" si="16"/>
        <v>4600</v>
      </c>
      <c r="AC19" s="222">
        <f t="shared" si="17"/>
        <v>3260</v>
      </c>
      <c r="AD19" s="222">
        <f t="shared" si="18"/>
        <v>1340</v>
      </c>
    </row>
    <row r="20" spans="1:30" s="167" customFormat="1" ht="31.2">
      <c r="A20" s="187">
        <v>2</v>
      </c>
      <c r="B20" s="186" t="s">
        <v>68</v>
      </c>
      <c r="C20" s="185" t="s">
        <v>37</v>
      </c>
      <c r="D20" s="161">
        <v>3600</v>
      </c>
      <c r="E20" s="161">
        <f t="shared" ref="E20:E32" si="26">F20</f>
        <v>1550</v>
      </c>
      <c r="F20" s="163">
        <v>1550</v>
      </c>
      <c r="G20" s="161">
        <v>276</v>
      </c>
      <c r="H20" s="163">
        <f t="shared" ref="H20:H27" si="27">G20</f>
        <v>276</v>
      </c>
      <c r="I20" s="163"/>
      <c r="J20" s="163">
        <f t="shared" ref="J20:J26" si="28">I20</f>
        <v>0</v>
      </c>
      <c r="K20" s="163">
        <f t="shared" si="24"/>
        <v>1550</v>
      </c>
      <c r="L20" s="183">
        <f t="shared" si="25"/>
        <v>2050</v>
      </c>
      <c r="M20" s="162">
        <f t="shared" ref="M20:M31" si="29">L20</f>
        <v>2050</v>
      </c>
      <c r="N20" s="738"/>
      <c r="O20" s="177">
        <f t="shared" si="4"/>
        <v>3600</v>
      </c>
      <c r="P20" s="177">
        <f t="shared" si="5"/>
        <v>1550</v>
      </c>
      <c r="Q20" s="177">
        <f t="shared" si="6"/>
        <v>-276</v>
      </c>
      <c r="R20" s="177">
        <f t="shared" si="7"/>
        <v>0</v>
      </c>
      <c r="S20" s="177">
        <f t="shared" si="8"/>
        <v>1550</v>
      </c>
      <c r="T20" s="177">
        <f t="shared" si="9"/>
        <v>2050</v>
      </c>
      <c r="U20" s="178">
        <f t="shared" si="10"/>
        <v>1550</v>
      </c>
      <c r="V20" s="178">
        <f t="shared" si="11"/>
        <v>500</v>
      </c>
      <c r="W20" s="178">
        <f t="shared" si="12"/>
        <v>1550</v>
      </c>
      <c r="X20" s="178">
        <f t="shared" si="13"/>
        <v>0</v>
      </c>
      <c r="Y20" s="178">
        <f t="shared" si="14"/>
        <v>276</v>
      </c>
      <c r="AA20" s="222">
        <f t="shared" si="15"/>
        <v>1550</v>
      </c>
      <c r="AB20" s="222">
        <f t="shared" si="16"/>
        <v>3600</v>
      </c>
      <c r="AC20" s="222">
        <f t="shared" si="17"/>
        <v>1550</v>
      </c>
      <c r="AD20" s="222">
        <f t="shared" si="18"/>
        <v>2050</v>
      </c>
    </row>
    <row r="21" spans="1:30" s="167" customFormat="1" ht="27" customHeight="1">
      <c r="A21" s="187">
        <v>3</v>
      </c>
      <c r="B21" s="186" t="s">
        <v>69</v>
      </c>
      <c r="C21" s="185" t="s">
        <v>39</v>
      </c>
      <c r="D21" s="161">
        <v>4500</v>
      </c>
      <c r="E21" s="161">
        <f t="shared" si="26"/>
        <v>2050</v>
      </c>
      <c r="F21" s="163">
        <v>2050</v>
      </c>
      <c r="G21" s="161">
        <v>226</v>
      </c>
      <c r="H21" s="163">
        <f t="shared" si="27"/>
        <v>226</v>
      </c>
      <c r="I21" s="163"/>
      <c r="J21" s="163">
        <f t="shared" si="28"/>
        <v>0</v>
      </c>
      <c r="K21" s="163">
        <f t="shared" si="24"/>
        <v>2050</v>
      </c>
      <c r="L21" s="183">
        <f t="shared" si="25"/>
        <v>2450</v>
      </c>
      <c r="M21" s="162">
        <f t="shared" si="29"/>
        <v>2450</v>
      </c>
      <c r="N21" s="738"/>
      <c r="O21" s="177">
        <f t="shared" si="4"/>
        <v>4500</v>
      </c>
      <c r="P21" s="177">
        <f t="shared" si="5"/>
        <v>2050</v>
      </c>
      <c r="Q21" s="177">
        <f t="shared" si="6"/>
        <v>-226</v>
      </c>
      <c r="R21" s="177">
        <f t="shared" si="7"/>
        <v>0</v>
      </c>
      <c r="S21" s="177">
        <f t="shared" si="8"/>
        <v>2050</v>
      </c>
      <c r="T21" s="177">
        <f t="shared" si="9"/>
        <v>2450</v>
      </c>
      <c r="U21" s="178">
        <f t="shared" si="10"/>
        <v>2050</v>
      </c>
      <c r="V21" s="178">
        <f t="shared" si="11"/>
        <v>400</v>
      </c>
      <c r="W21" s="178">
        <f t="shared" si="12"/>
        <v>2050</v>
      </c>
      <c r="X21" s="178">
        <f t="shared" si="13"/>
        <v>0</v>
      </c>
      <c r="Y21" s="178">
        <f t="shared" si="14"/>
        <v>226</v>
      </c>
      <c r="AA21" s="222">
        <f t="shared" si="15"/>
        <v>2050</v>
      </c>
      <c r="AB21" s="222">
        <f t="shared" si="16"/>
        <v>4500</v>
      </c>
      <c r="AC21" s="222">
        <f t="shared" si="17"/>
        <v>2050</v>
      </c>
      <c r="AD21" s="222">
        <f t="shared" si="18"/>
        <v>2450</v>
      </c>
    </row>
    <row r="22" spans="1:30" s="167" customFormat="1" ht="27" customHeight="1">
      <c r="A22" s="187">
        <v>4</v>
      </c>
      <c r="B22" s="186" t="s">
        <v>70</v>
      </c>
      <c r="C22" s="185" t="s">
        <v>41</v>
      </c>
      <c r="D22" s="161">
        <v>3000</v>
      </c>
      <c r="E22" s="161">
        <f t="shared" si="26"/>
        <v>1500</v>
      </c>
      <c r="F22" s="163">
        <v>1500</v>
      </c>
      <c r="G22" s="161">
        <v>226</v>
      </c>
      <c r="H22" s="163">
        <f t="shared" si="27"/>
        <v>226</v>
      </c>
      <c r="I22" s="163"/>
      <c r="J22" s="163">
        <f t="shared" si="28"/>
        <v>0</v>
      </c>
      <c r="K22" s="163">
        <f t="shared" si="24"/>
        <v>1500</v>
      </c>
      <c r="L22" s="183">
        <f t="shared" si="25"/>
        <v>1500</v>
      </c>
      <c r="M22" s="162">
        <f t="shared" si="29"/>
        <v>1500</v>
      </c>
      <c r="N22" s="738"/>
      <c r="O22" s="177">
        <f t="shared" si="4"/>
        <v>3000</v>
      </c>
      <c r="P22" s="177">
        <f t="shared" si="5"/>
        <v>1500</v>
      </c>
      <c r="Q22" s="177">
        <f t="shared" si="6"/>
        <v>-226</v>
      </c>
      <c r="R22" s="177">
        <f t="shared" si="7"/>
        <v>0</v>
      </c>
      <c r="S22" s="177">
        <f t="shared" si="8"/>
        <v>1500</v>
      </c>
      <c r="T22" s="177">
        <f t="shared" si="9"/>
        <v>1500</v>
      </c>
      <c r="U22" s="178">
        <f t="shared" si="10"/>
        <v>1500</v>
      </c>
      <c r="V22" s="178">
        <f t="shared" si="11"/>
        <v>0</v>
      </c>
      <c r="W22" s="178">
        <f t="shared" si="12"/>
        <v>1500</v>
      </c>
      <c r="X22" s="178">
        <f t="shared" si="13"/>
        <v>0</v>
      </c>
      <c r="Y22" s="178">
        <f t="shared" si="14"/>
        <v>226</v>
      </c>
      <c r="AA22" s="222">
        <f t="shared" si="15"/>
        <v>1500</v>
      </c>
      <c r="AB22" s="222">
        <f t="shared" si="16"/>
        <v>3000</v>
      </c>
      <c r="AC22" s="222">
        <f t="shared" si="17"/>
        <v>1500</v>
      </c>
      <c r="AD22" s="222">
        <f t="shared" si="18"/>
        <v>1500</v>
      </c>
    </row>
    <row r="23" spans="1:30" s="167" customFormat="1" ht="27" customHeight="1">
      <c r="A23" s="187">
        <v>5</v>
      </c>
      <c r="B23" s="186" t="s">
        <v>71</v>
      </c>
      <c r="C23" s="185" t="s">
        <v>42</v>
      </c>
      <c r="D23" s="161">
        <v>2100</v>
      </c>
      <c r="E23" s="161">
        <f t="shared" si="26"/>
        <v>1500</v>
      </c>
      <c r="F23" s="163">
        <v>1500</v>
      </c>
      <c r="G23" s="161">
        <f>206+338</f>
        <v>544</v>
      </c>
      <c r="H23" s="163">
        <f t="shared" si="27"/>
        <v>544</v>
      </c>
      <c r="I23" s="163"/>
      <c r="J23" s="163">
        <f t="shared" si="28"/>
        <v>0</v>
      </c>
      <c r="K23" s="163">
        <f t="shared" si="24"/>
        <v>1500</v>
      </c>
      <c r="L23" s="183">
        <f t="shared" si="25"/>
        <v>600</v>
      </c>
      <c r="M23" s="162">
        <f t="shared" si="29"/>
        <v>600</v>
      </c>
      <c r="N23" s="738"/>
      <c r="O23" s="177">
        <f t="shared" si="4"/>
        <v>2100</v>
      </c>
      <c r="P23" s="177">
        <f t="shared" si="5"/>
        <v>1500</v>
      </c>
      <c r="Q23" s="177">
        <f t="shared" si="6"/>
        <v>-544</v>
      </c>
      <c r="R23" s="177">
        <f t="shared" si="7"/>
        <v>0</v>
      </c>
      <c r="S23" s="177">
        <f t="shared" si="8"/>
        <v>1500</v>
      </c>
      <c r="T23" s="177">
        <f t="shared" si="9"/>
        <v>600</v>
      </c>
      <c r="U23" s="178">
        <f t="shared" si="10"/>
        <v>1500</v>
      </c>
      <c r="V23" s="178">
        <f t="shared" si="11"/>
        <v>-900</v>
      </c>
      <c r="W23" s="178">
        <f t="shared" si="12"/>
        <v>1500</v>
      </c>
      <c r="X23" s="178">
        <f t="shared" si="13"/>
        <v>0</v>
      </c>
      <c r="Y23" s="178">
        <f t="shared" si="14"/>
        <v>544</v>
      </c>
      <c r="AA23" s="222">
        <f t="shared" si="15"/>
        <v>1500</v>
      </c>
      <c r="AB23" s="222">
        <f t="shared" si="16"/>
        <v>2100</v>
      </c>
      <c r="AC23" s="222">
        <f t="shared" si="17"/>
        <v>1500</v>
      </c>
      <c r="AD23" s="222">
        <f t="shared" si="18"/>
        <v>600</v>
      </c>
    </row>
    <row r="24" spans="1:30" ht="27" customHeight="1">
      <c r="A24" s="187">
        <v>6</v>
      </c>
      <c r="B24" s="186" t="s">
        <v>72</v>
      </c>
      <c r="C24" s="185" t="s">
        <v>40</v>
      </c>
      <c r="D24" s="161">
        <v>1800</v>
      </c>
      <c r="E24" s="161">
        <f t="shared" si="26"/>
        <v>1500</v>
      </c>
      <c r="F24" s="163">
        <v>1500</v>
      </c>
      <c r="G24" s="161">
        <v>300</v>
      </c>
      <c r="H24" s="163">
        <f t="shared" si="27"/>
        <v>300</v>
      </c>
      <c r="I24" s="163"/>
      <c r="J24" s="163">
        <f t="shared" si="28"/>
        <v>0</v>
      </c>
      <c r="K24" s="163">
        <f t="shared" si="24"/>
        <v>1500</v>
      </c>
      <c r="L24" s="183">
        <f t="shared" si="25"/>
        <v>300</v>
      </c>
      <c r="M24" s="162">
        <f t="shared" si="29"/>
        <v>300</v>
      </c>
      <c r="N24" s="738"/>
      <c r="O24" s="177">
        <f t="shared" si="4"/>
        <v>1800</v>
      </c>
      <c r="P24" s="177">
        <f t="shared" si="5"/>
        <v>1500</v>
      </c>
      <c r="Q24" s="177">
        <f t="shared" si="6"/>
        <v>-300</v>
      </c>
      <c r="R24" s="177">
        <f t="shared" si="7"/>
        <v>0</v>
      </c>
      <c r="S24" s="177">
        <f t="shared" si="8"/>
        <v>1500</v>
      </c>
      <c r="T24" s="177">
        <f t="shared" si="9"/>
        <v>300</v>
      </c>
      <c r="U24" s="178">
        <f t="shared" si="10"/>
        <v>1500</v>
      </c>
      <c r="V24" s="178">
        <f t="shared" si="11"/>
        <v>-1200</v>
      </c>
      <c r="W24" s="178">
        <f t="shared" si="12"/>
        <v>1500</v>
      </c>
      <c r="X24" s="178">
        <f t="shared" si="13"/>
        <v>0</v>
      </c>
      <c r="Y24" s="178">
        <f t="shared" si="14"/>
        <v>300</v>
      </c>
      <c r="AA24" s="222">
        <f t="shared" si="15"/>
        <v>1500</v>
      </c>
      <c r="AB24" s="222">
        <f t="shared" si="16"/>
        <v>1800</v>
      </c>
      <c r="AC24" s="222">
        <f t="shared" si="17"/>
        <v>1500</v>
      </c>
      <c r="AD24" s="222">
        <f t="shared" si="18"/>
        <v>300</v>
      </c>
    </row>
    <row r="25" spans="1:30" ht="27" customHeight="1">
      <c r="A25" s="187">
        <v>7</v>
      </c>
      <c r="B25" s="188" t="s">
        <v>73</v>
      </c>
      <c r="C25" s="185" t="s">
        <v>40</v>
      </c>
      <c r="D25" s="161">
        <v>1050</v>
      </c>
      <c r="E25" s="161">
        <f t="shared" si="26"/>
        <v>800</v>
      </c>
      <c r="F25" s="163">
        <v>800</v>
      </c>
      <c r="G25" s="161">
        <v>255</v>
      </c>
      <c r="H25" s="163">
        <f t="shared" si="27"/>
        <v>255</v>
      </c>
      <c r="I25" s="163"/>
      <c r="J25" s="163">
        <f t="shared" si="28"/>
        <v>0</v>
      </c>
      <c r="K25" s="163">
        <f t="shared" si="24"/>
        <v>800</v>
      </c>
      <c r="L25" s="183">
        <f t="shared" si="25"/>
        <v>250</v>
      </c>
      <c r="M25" s="162">
        <f t="shared" si="29"/>
        <v>250</v>
      </c>
      <c r="N25" s="738"/>
      <c r="O25" s="177">
        <f t="shared" si="4"/>
        <v>1050</v>
      </c>
      <c r="P25" s="177">
        <f t="shared" si="5"/>
        <v>800</v>
      </c>
      <c r="Q25" s="177">
        <f t="shared" si="6"/>
        <v>-255</v>
      </c>
      <c r="R25" s="177">
        <f t="shared" si="7"/>
        <v>0</v>
      </c>
      <c r="S25" s="177">
        <f t="shared" si="8"/>
        <v>800</v>
      </c>
      <c r="T25" s="177">
        <f t="shared" si="9"/>
        <v>250</v>
      </c>
      <c r="U25" s="178">
        <f t="shared" si="10"/>
        <v>800</v>
      </c>
      <c r="V25" s="178">
        <f t="shared" si="11"/>
        <v>-550</v>
      </c>
      <c r="W25" s="178">
        <f t="shared" si="12"/>
        <v>800</v>
      </c>
      <c r="X25" s="178">
        <f t="shared" si="13"/>
        <v>0</v>
      </c>
      <c r="Y25" s="178">
        <f t="shared" si="14"/>
        <v>255</v>
      </c>
      <c r="AA25" s="222">
        <f t="shared" si="15"/>
        <v>800</v>
      </c>
      <c r="AB25" s="222">
        <f t="shared" si="16"/>
        <v>1050</v>
      </c>
      <c r="AC25" s="222">
        <f t="shared" si="17"/>
        <v>800</v>
      </c>
      <c r="AD25" s="222">
        <f t="shared" si="18"/>
        <v>250</v>
      </c>
    </row>
    <row r="26" spans="1:30" ht="27" customHeight="1">
      <c r="A26" s="187">
        <v>8</v>
      </c>
      <c r="B26" s="188" t="s">
        <v>74</v>
      </c>
      <c r="C26" s="185" t="s">
        <v>75</v>
      </c>
      <c r="D26" s="161">
        <v>3600</v>
      </c>
      <c r="E26" s="161">
        <f t="shared" si="26"/>
        <v>1500</v>
      </c>
      <c r="F26" s="163">
        <v>1500</v>
      </c>
      <c r="G26" s="161">
        <v>242</v>
      </c>
      <c r="H26" s="163">
        <f t="shared" si="27"/>
        <v>242</v>
      </c>
      <c r="I26" s="163"/>
      <c r="J26" s="163">
        <f t="shared" si="28"/>
        <v>0</v>
      </c>
      <c r="K26" s="163">
        <f t="shared" si="24"/>
        <v>1500</v>
      </c>
      <c r="L26" s="183">
        <f t="shared" si="25"/>
        <v>2100</v>
      </c>
      <c r="M26" s="162">
        <f t="shared" si="29"/>
        <v>2100</v>
      </c>
      <c r="N26" s="738"/>
      <c r="O26" s="177">
        <f t="shared" si="4"/>
        <v>3600</v>
      </c>
      <c r="P26" s="177">
        <f t="shared" si="5"/>
        <v>1500</v>
      </c>
      <c r="Q26" s="177">
        <f t="shared" si="6"/>
        <v>-242</v>
      </c>
      <c r="R26" s="177">
        <f t="shared" si="7"/>
        <v>0</v>
      </c>
      <c r="S26" s="177">
        <f t="shared" si="8"/>
        <v>1500</v>
      </c>
      <c r="T26" s="177">
        <f t="shared" si="9"/>
        <v>2100</v>
      </c>
      <c r="U26" s="178">
        <f t="shared" si="10"/>
        <v>1500</v>
      </c>
      <c r="V26" s="178">
        <f t="shared" si="11"/>
        <v>600</v>
      </c>
      <c r="W26" s="178">
        <f t="shared" si="12"/>
        <v>1500</v>
      </c>
      <c r="X26" s="178">
        <f t="shared" si="13"/>
        <v>0</v>
      </c>
      <c r="Y26" s="178">
        <f t="shared" si="14"/>
        <v>242</v>
      </c>
      <c r="AA26" s="222">
        <f t="shared" si="15"/>
        <v>1500</v>
      </c>
      <c r="AB26" s="222">
        <f t="shared" si="16"/>
        <v>3600</v>
      </c>
      <c r="AC26" s="222">
        <f t="shared" si="17"/>
        <v>1500</v>
      </c>
      <c r="AD26" s="222">
        <f t="shared" si="18"/>
        <v>2100</v>
      </c>
    </row>
    <row r="27" spans="1:30" ht="27" customHeight="1">
      <c r="A27" s="187">
        <v>9</v>
      </c>
      <c r="B27" s="188" t="s">
        <v>76</v>
      </c>
      <c r="C27" s="185" t="s">
        <v>30</v>
      </c>
      <c r="D27" s="161">
        <v>3500</v>
      </c>
      <c r="E27" s="161">
        <f t="shared" ref="E27" si="30">F27</f>
        <v>1100</v>
      </c>
      <c r="F27" s="163">
        <v>1100</v>
      </c>
      <c r="G27" s="161">
        <v>150</v>
      </c>
      <c r="H27" s="163">
        <f t="shared" si="27"/>
        <v>150</v>
      </c>
      <c r="I27" s="163"/>
      <c r="J27" s="163">
        <f t="shared" ref="J27" si="31">I27</f>
        <v>0</v>
      </c>
      <c r="K27" s="163">
        <f t="shared" ref="K27" si="32">F27</f>
        <v>1100</v>
      </c>
      <c r="L27" s="183">
        <f t="shared" ref="L27" si="33">D27-F27</f>
        <v>2400</v>
      </c>
      <c r="M27" s="162">
        <f t="shared" ref="M27" si="34">L27</f>
        <v>2400</v>
      </c>
      <c r="N27" s="739"/>
      <c r="O27" s="177">
        <f>+D27-J27</f>
        <v>3500</v>
      </c>
      <c r="P27" s="177">
        <f t="shared" ref="P27" si="35">+E27-I27</f>
        <v>1100</v>
      </c>
      <c r="Q27" s="177">
        <f t="shared" ref="Q27:Q30" si="36">-H27-J27</f>
        <v>-150</v>
      </c>
      <c r="R27" s="177">
        <f t="shared" ref="R27" si="37">+E27-K27</f>
        <v>0</v>
      </c>
      <c r="S27" s="177">
        <f t="shared" ref="S27" si="38">+K27-I27</f>
        <v>1100</v>
      </c>
      <c r="T27" s="177">
        <f t="shared" ref="T27" si="39">+D27-J27-S27</f>
        <v>2400</v>
      </c>
      <c r="U27" s="178">
        <f t="shared" ref="U27" si="40">+K27-I27</f>
        <v>1100</v>
      </c>
      <c r="V27" s="178">
        <f t="shared" ref="V27" si="41">+D27-K27-U27</f>
        <v>1300</v>
      </c>
      <c r="W27" s="178">
        <f t="shared" ref="W27" si="42">+E27-I27</f>
        <v>1100</v>
      </c>
      <c r="X27" s="178">
        <f t="shared" ref="X27" si="43">+E27-K27</f>
        <v>0</v>
      </c>
      <c r="Y27" s="178">
        <f t="shared" ref="Y27:Y30" si="44">+H27-J27</f>
        <v>150</v>
      </c>
      <c r="AA27" s="222">
        <f t="shared" si="15"/>
        <v>1100</v>
      </c>
      <c r="AB27" s="222">
        <f t="shared" si="16"/>
        <v>3500</v>
      </c>
      <c r="AC27" s="222">
        <f t="shared" si="17"/>
        <v>1100</v>
      </c>
      <c r="AD27" s="222">
        <f t="shared" si="18"/>
        <v>2400</v>
      </c>
    </row>
    <row r="28" spans="1:30" s="167" customFormat="1" ht="27" customHeight="1">
      <c r="A28" s="196" t="s">
        <v>28</v>
      </c>
      <c r="B28" s="197" t="s">
        <v>56</v>
      </c>
      <c r="C28" s="198"/>
      <c r="D28" s="175">
        <f>SUM(D29:D31)</f>
        <v>16800</v>
      </c>
      <c r="E28" s="175">
        <f t="shared" ref="E28:K28" si="45">SUM(E29:E31)</f>
        <v>2078.9920000000002</v>
      </c>
      <c r="F28" s="175">
        <f t="shared" si="45"/>
        <v>1100</v>
      </c>
      <c r="G28" s="175">
        <f t="shared" si="45"/>
        <v>202</v>
      </c>
      <c r="H28" s="175">
        <f t="shared" si="45"/>
        <v>9949.4179999999978</v>
      </c>
      <c r="I28" s="175">
        <f t="shared" si="45"/>
        <v>202</v>
      </c>
      <c r="J28" s="175">
        <f t="shared" si="45"/>
        <v>10906.881000000001</v>
      </c>
      <c r="K28" s="175">
        <f t="shared" si="45"/>
        <v>2078.9920000000002</v>
      </c>
      <c r="L28" s="199"/>
      <c r="M28" s="200"/>
      <c r="N28" s="201"/>
      <c r="O28" s="177"/>
      <c r="P28" s="177"/>
      <c r="Q28" s="177"/>
      <c r="R28" s="177"/>
      <c r="S28" s="177"/>
      <c r="T28" s="177"/>
      <c r="U28" s="178"/>
      <c r="V28" s="178"/>
      <c r="W28" s="178"/>
      <c r="X28" s="178"/>
      <c r="Y28" s="178"/>
      <c r="AA28" s="222">
        <f t="shared" si="15"/>
        <v>1876.9920000000002</v>
      </c>
      <c r="AB28" s="222">
        <f t="shared" si="16"/>
        <v>5893.1189999999988</v>
      </c>
      <c r="AC28" s="222">
        <f t="shared" si="17"/>
        <v>1876.9920000000002</v>
      </c>
      <c r="AD28" s="222">
        <f t="shared" si="18"/>
        <v>4016.1269999999986</v>
      </c>
    </row>
    <row r="29" spans="1:30" ht="27" customHeight="1">
      <c r="A29" s="187">
        <v>10</v>
      </c>
      <c r="B29" s="202" t="s">
        <v>63</v>
      </c>
      <c r="C29" s="185" t="s">
        <v>30</v>
      </c>
      <c r="D29" s="161">
        <v>6600</v>
      </c>
      <c r="E29" s="161">
        <v>75.004000000000005</v>
      </c>
      <c r="F29" s="163"/>
      <c r="G29" s="163"/>
      <c r="H29" s="163">
        <v>6475.2389999999996</v>
      </c>
      <c r="I29" s="163"/>
      <c r="J29" s="163">
        <f>H29-E29</f>
        <v>6400.2349999999997</v>
      </c>
      <c r="K29" s="163">
        <f>E29</f>
        <v>75.004000000000005</v>
      </c>
      <c r="L29" s="183"/>
      <c r="M29" s="162"/>
      <c r="N29" s="737" t="s">
        <v>285</v>
      </c>
      <c r="O29" s="177">
        <f>+D29-J29</f>
        <v>199.76500000000033</v>
      </c>
      <c r="P29" s="177"/>
      <c r="Q29" s="177">
        <f t="shared" si="36"/>
        <v>-12875.473999999998</v>
      </c>
      <c r="R29" s="177"/>
      <c r="S29" s="177"/>
      <c r="T29" s="177"/>
      <c r="U29" s="178"/>
      <c r="V29" s="178"/>
      <c r="W29" s="178"/>
      <c r="X29" s="178"/>
      <c r="Y29" s="178">
        <f t="shared" si="44"/>
        <v>75.003999999999905</v>
      </c>
      <c r="Z29" s="736"/>
      <c r="AA29" s="222">
        <f t="shared" si="15"/>
        <v>75.004000000000005</v>
      </c>
      <c r="AB29" s="222">
        <f t="shared" si="16"/>
        <v>199.76500000000033</v>
      </c>
      <c r="AC29" s="222">
        <f t="shared" si="17"/>
        <v>75.004000000000005</v>
      </c>
      <c r="AD29" s="222">
        <f t="shared" si="18"/>
        <v>124.76100000000042</v>
      </c>
    </row>
    <row r="30" spans="1:30" ht="27" customHeight="1">
      <c r="A30" s="187">
        <v>11</v>
      </c>
      <c r="B30" s="202" t="s">
        <v>59</v>
      </c>
      <c r="C30" s="185" t="s">
        <v>30</v>
      </c>
      <c r="D30" s="161">
        <v>5200</v>
      </c>
      <c r="E30" s="161">
        <v>202</v>
      </c>
      <c r="F30" s="163"/>
      <c r="G30" s="163">
        <v>202</v>
      </c>
      <c r="H30" s="163">
        <v>3164.7370000000001</v>
      </c>
      <c r="I30" s="163">
        <v>202</v>
      </c>
      <c r="J30" s="163">
        <v>3252</v>
      </c>
      <c r="K30" s="163">
        <f>E30</f>
        <v>202</v>
      </c>
      <c r="L30" s="183"/>
      <c r="M30" s="162"/>
      <c r="N30" s="738"/>
      <c r="O30" s="177">
        <f>+D30-J30</f>
        <v>1948</v>
      </c>
      <c r="P30" s="177"/>
      <c r="Q30" s="177">
        <f t="shared" si="36"/>
        <v>-6416.7370000000001</v>
      </c>
      <c r="R30" s="177"/>
      <c r="S30" s="177"/>
      <c r="T30" s="177"/>
      <c r="U30" s="178"/>
      <c r="V30" s="178"/>
      <c r="W30" s="178"/>
      <c r="X30" s="178"/>
      <c r="Y30" s="178">
        <f t="shared" si="44"/>
        <v>-87.26299999999992</v>
      </c>
      <c r="Z30" s="736"/>
      <c r="AA30" s="222">
        <f t="shared" si="15"/>
        <v>0</v>
      </c>
      <c r="AB30" s="222">
        <f t="shared" si="16"/>
        <v>1948</v>
      </c>
      <c r="AC30" s="222">
        <f t="shared" si="17"/>
        <v>0</v>
      </c>
      <c r="AD30" s="222">
        <f t="shared" si="18"/>
        <v>1948</v>
      </c>
    </row>
    <row r="31" spans="1:30" ht="27" customHeight="1">
      <c r="A31" s="187">
        <v>12</v>
      </c>
      <c r="B31" s="202" t="s">
        <v>61</v>
      </c>
      <c r="C31" s="185" t="s">
        <v>30</v>
      </c>
      <c r="D31" s="161">
        <v>5000</v>
      </c>
      <c r="E31" s="161">
        <v>1801.9880000000001</v>
      </c>
      <c r="F31" s="163">
        <v>1100</v>
      </c>
      <c r="G31" s="163"/>
      <c r="H31" s="163">
        <v>309.44200000000001</v>
      </c>
      <c r="I31" s="163">
        <v>0</v>
      </c>
      <c r="J31" s="163">
        <v>1254.646</v>
      </c>
      <c r="K31" s="163">
        <f>E31</f>
        <v>1801.9880000000001</v>
      </c>
      <c r="L31" s="183">
        <f t="shared" si="25"/>
        <v>3900</v>
      </c>
      <c r="M31" s="162">
        <f t="shared" si="29"/>
        <v>3900</v>
      </c>
      <c r="N31" s="739"/>
      <c r="O31" s="177">
        <f>+D31-J31</f>
        <v>3745.3540000000003</v>
      </c>
      <c r="P31" s="177">
        <f t="shared" si="5"/>
        <v>1801.9880000000001</v>
      </c>
      <c r="Q31" s="177">
        <f t="shared" si="6"/>
        <v>-1564.088</v>
      </c>
      <c r="R31" s="177">
        <f t="shared" si="7"/>
        <v>0</v>
      </c>
      <c r="S31" s="177">
        <f t="shared" si="8"/>
        <v>1801.9880000000001</v>
      </c>
      <c r="T31" s="177">
        <f t="shared" si="9"/>
        <v>1943.3660000000002</v>
      </c>
      <c r="U31" s="178">
        <f t="shared" si="10"/>
        <v>1801.9880000000001</v>
      </c>
      <c r="V31" s="178">
        <f t="shared" si="11"/>
        <v>1396.0239999999997</v>
      </c>
      <c r="W31" s="178">
        <f t="shared" si="12"/>
        <v>1801.9880000000001</v>
      </c>
      <c r="X31" s="178">
        <f t="shared" si="13"/>
        <v>0</v>
      </c>
      <c r="Y31" s="178">
        <f t="shared" si="14"/>
        <v>-945.20399999999995</v>
      </c>
      <c r="Z31" s="736"/>
      <c r="AA31" s="222">
        <f t="shared" si="15"/>
        <v>1801.9880000000001</v>
      </c>
      <c r="AB31" s="222">
        <f t="shared" si="16"/>
        <v>3745.3540000000003</v>
      </c>
      <c r="AC31" s="222">
        <f t="shared" si="17"/>
        <v>1801.9880000000001</v>
      </c>
      <c r="AD31" s="222">
        <f t="shared" si="18"/>
        <v>1943.366</v>
      </c>
    </row>
    <row r="32" spans="1:30" s="167" customFormat="1" ht="124.8">
      <c r="A32" s="198" t="s">
        <v>28</v>
      </c>
      <c r="B32" s="203" t="s">
        <v>77</v>
      </c>
      <c r="C32" s="204"/>
      <c r="D32" s="175"/>
      <c r="E32" s="175">
        <f t="shared" si="26"/>
        <v>3240</v>
      </c>
      <c r="F32" s="175">
        <v>3240</v>
      </c>
      <c r="G32" s="175"/>
      <c r="H32" s="175"/>
      <c r="I32" s="175"/>
      <c r="J32" s="175"/>
      <c r="K32" s="175">
        <f t="shared" si="24"/>
        <v>3240</v>
      </c>
      <c r="L32" s="176">
        <v>3240</v>
      </c>
      <c r="M32" s="205">
        <v>3240</v>
      </c>
      <c r="N32" s="206" t="s">
        <v>284</v>
      </c>
      <c r="O32" s="177">
        <f t="shared" si="4"/>
        <v>0</v>
      </c>
      <c r="P32" s="177">
        <f t="shared" si="5"/>
        <v>3240</v>
      </c>
      <c r="Q32" s="177">
        <f t="shared" si="6"/>
        <v>0</v>
      </c>
      <c r="R32" s="177">
        <f t="shared" si="7"/>
        <v>0</v>
      </c>
      <c r="S32" s="177">
        <f t="shared" si="8"/>
        <v>3240</v>
      </c>
      <c r="T32" s="177">
        <f t="shared" si="9"/>
        <v>-3240</v>
      </c>
      <c r="U32" s="178">
        <f t="shared" si="10"/>
        <v>3240</v>
      </c>
      <c r="V32" s="178"/>
      <c r="W32" s="178">
        <f>+E32-I32</f>
        <v>3240</v>
      </c>
      <c r="X32" s="178">
        <f t="shared" si="13"/>
        <v>0</v>
      </c>
      <c r="Y32" s="178">
        <f t="shared" si="14"/>
        <v>0</v>
      </c>
      <c r="AA32" s="222">
        <f t="shared" si="15"/>
        <v>3240</v>
      </c>
      <c r="AB32" s="222">
        <f t="shared" si="16"/>
        <v>0</v>
      </c>
      <c r="AC32" s="222">
        <f t="shared" si="17"/>
        <v>3240</v>
      </c>
      <c r="AD32" s="222">
        <f t="shared" si="18"/>
        <v>-3240</v>
      </c>
    </row>
    <row r="33" spans="1:30" s="167" customFormat="1" ht="33" hidden="1" customHeight="1">
      <c r="A33" s="174" t="s">
        <v>94</v>
      </c>
      <c r="B33" s="179" t="s">
        <v>247</v>
      </c>
      <c r="C33" s="182"/>
      <c r="D33" s="207"/>
      <c r="E33" s="207"/>
      <c r="F33" s="208"/>
      <c r="G33" s="208"/>
      <c r="H33" s="208"/>
      <c r="I33" s="208"/>
      <c r="J33" s="208"/>
      <c r="K33" s="208"/>
      <c r="L33" s="199">
        <v>59010</v>
      </c>
      <c r="M33" s="209">
        <v>1770</v>
      </c>
      <c r="N33" s="210"/>
      <c r="U33" s="178">
        <f t="shared" si="10"/>
        <v>0</v>
      </c>
      <c r="V33" s="178">
        <f t="shared" si="11"/>
        <v>0</v>
      </c>
      <c r="W33" s="178">
        <f t="shared" si="12"/>
        <v>0</v>
      </c>
      <c r="X33" s="178">
        <f t="shared" si="13"/>
        <v>0</v>
      </c>
      <c r="Y33" s="178">
        <f t="shared" si="14"/>
        <v>0</v>
      </c>
      <c r="AA33" s="222">
        <f t="shared" si="15"/>
        <v>0</v>
      </c>
      <c r="AB33" s="222">
        <f t="shared" si="16"/>
        <v>0</v>
      </c>
      <c r="AC33" s="222">
        <f t="shared" si="17"/>
        <v>0</v>
      </c>
      <c r="AD33" s="222">
        <f t="shared" si="18"/>
        <v>0</v>
      </c>
    </row>
    <row r="34" spans="1:30" s="167" customFormat="1" ht="33" hidden="1" customHeight="1">
      <c r="A34" s="185">
        <v>1</v>
      </c>
      <c r="B34" s="186" t="s">
        <v>78</v>
      </c>
      <c r="C34" s="182" t="s">
        <v>30</v>
      </c>
      <c r="D34" s="211">
        <v>3400</v>
      </c>
      <c r="E34" s="211"/>
      <c r="F34" s="212" t="e">
        <f>#REF!</f>
        <v>#REF!</v>
      </c>
      <c r="G34" s="212"/>
      <c r="H34" s="212"/>
      <c r="I34" s="212"/>
      <c r="J34" s="212"/>
      <c r="K34" s="212"/>
      <c r="L34" s="212"/>
      <c r="M34" s="212"/>
      <c r="N34" s="182" t="s">
        <v>60</v>
      </c>
      <c r="U34" s="178">
        <f t="shared" si="10"/>
        <v>0</v>
      </c>
      <c r="V34" s="178">
        <f t="shared" si="11"/>
        <v>3400</v>
      </c>
      <c r="W34" s="178">
        <f t="shared" si="12"/>
        <v>0</v>
      </c>
      <c r="X34" s="178">
        <f t="shared" si="13"/>
        <v>0</v>
      </c>
      <c r="Y34" s="178">
        <f t="shared" si="14"/>
        <v>0</v>
      </c>
      <c r="AA34" s="222">
        <f t="shared" si="15"/>
        <v>0</v>
      </c>
      <c r="AB34" s="222">
        <f t="shared" si="16"/>
        <v>3400</v>
      </c>
      <c r="AC34" s="222">
        <f t="shared" si="17"/>
        <v>0</v>
      </c>
      <c r="AD34" s="222">
        <f t="shared" si="18"/>
        <v>3400</v>
      </c>
    </row>
    <row r="35" spans="1:30" s="167" customFormat="1" ht="33" hidden="1" customHeight="1">
      <c r="A35" s="185">
        <v>2</v>
      </c>
      <c r="B35" s="186" t="s">
        <v>79</v>
      </c>
      <c r="C35" s="182" t="s">
        <v>30</v>
      </c>
      <c r="D35" s="211">
        <v>3700</v>
      </c>
      <c r="E35" s="211"/>
      <c r="F35" s="212" t="e">
        <f>#REF!-0.1</f>
        <v>#REF!</v>
      </c>
      <c r="G35" s="212"/>
      <c r="H35" s="212"/>
      <c r="I35" s="212"/>
      <c r="J35" s="212"/>
      <c r="K35" s="212"/>
      <c r="L35" s="212"/>
      <c r="M35" s="212"/>
      <c r="N35" s="182" t="s">
        <v>58</v>
      </c>
      <c r="U35" s="178">
        <f t="shared" si="10"/>
        <v>0</v>
      </c>
      <c r="V35" s="178">
        <f t="shared" si="11"/>
        <v>3700</v>
      </c>
      <c r="W35" s="178">
        <f t="shared" si="12"/>
        <v>0</v>
      </c>
      <c r="X35" s="178">
        <f t="shared" si="13"/>
        <v>0</v>
      </c>
      <c r="Y35" s="178">
        <f t="shared" si="14"/>
        <v>0</v>
      </c>
      <c r="AA35" s="222">
        <f t="shared" si="15"/>
        <v>0</v>
      </c>
      <c r="AB35" s="222">
        <f t="shared" si="16"/>
        <v>3700</v>
      </c>
      <c r="AC35" s="222">
        <f t="shared" si="17"/>
        <v>0</v>
      </c>
      <c r="AD35" s="222">
        <f t="shared" si="18"/>
        <v>3700</v>
      </c>
    </row>
    <row r="36" spans="1:30" ht="16.2" thickBot="1">
      <c r="A36" s="213"/>
      <c r="B36" s="214"/>
      <c r="C36" s="214"/>
      <c r="D36" s="215"/>
      <c r="E36" s="215"/>
      <c r="F36" s="216"/>
      <c r="G36" s="216"/>
      <c r="H36" s="216"/>
      <c r="I36" s="216"/>
      <c r="J36" s="216"/>
      <c r="K36" s="216"/>
      <c r="L36" s="216"/>
      <c r="M36" s="216"/>
      <c r="N36" s="217"/>
      <c r="V36" s="178">
        <f t="shared" si="11"/>
        <v>0</v>
      </c>
      <c r="W36" s="178">
        <f t="shared" si="12"/>
        <v>0</v>
      </c>
      <c r="X36" s="178">
        <f t="shared" si="13"/>
        <v>0</v>
      </c>
      <c r="Y36" s="178">
        <f t="shared" si="14"/>
        <v>0</v>
      </c>
      <c r="AA36" s="222">
        <f t="shared" si="15"/>
        <v>0</v>
      </c>
      <c r="AB36" s="222">
        <f t="shared" si="16"/>
        <v>0</v>
      </c>
      <c r="AC36" s="222">
        <f t="shared" si="17"/>
        <v>0</v>
      </c>
      <c r="AD36" s="222">
        <f t="shared" si="18"/>
        <v>0</v>
      </c>
    </row>
    <row r="37" spans="1:30" ht="16.2" thickTop="1"/>
    <row r="38" spans="1:30" ht="40.5" customHeight="1">
      <c r="C38" s="736"/>
      <c r="D38" s="736"/>
      <c r="E38" s="170"/>
      <c r="N38" s="221"/>
    </row>
    <row r="39" spans="1:30">
      <c r="N39" s="221"/>
    </row>
  </sheetData>
  <mergeCells count="22">
    <mergeCell ref="G6:G7"/>
    <mergeCell ref="H6:H7"/>
    <mergeCell ref="I6:I7"/>
    <mergeCell ref="J6:J7"/>
    <mergeCell ref="N19:N27"/>
    <mergeCell ref="N5:N7"/>
    <mergeCell ref="Z29:Z31"/>
    <mergeCell ref="N29:N31"/>
    <mergeCell ref="C38:D38"/>
    <mergeCell ref="E5:F7"/>
    <mergeCell ref="A2:N2"/>
    <mergeCell ref="A3:N3"/>
    <mergeCell ref="F4:N4"/>
    <mergeCell ref="A5:A7"/>
    <mergeCell ref="B5:B7"/>
    <mergeCell ref="C5:C7"/>
    <mergeCell ref="D5:D7"/>
    <mergeCell ref="G5:H5"/>
    <mergeCell ref="I5:J5"/>
    <mergeCell ref="K5:K7"/>
    <mergeCell ref="L5:L7"/>
    <mergeCell ref="M5:M7"/>
  </mergeCells>
  <pageMargins left="0.39370078740157499" right="0" top="0.74803149606299202" bottom="0" header="0.31496062992126" footer="0.31496062992126"/>
  <pageSetup paperSize="9" scale="74" fitToHeight="0"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tabColor rgb="FFFFFF00"/>
    <pageSetUpPr fitToPage="1"/>
  </sheetPr>
  <dimension ref="A1:S83"/>
  <sheetViews>
    <sheetView workbookViewId="0">
      <selection activeCell="I8" sqref="I8"/>
    </sheetView>
  </sheetViews>
  <sheetFormatPr defaultColWidth="8.69921875" defaultRowHeight="15.6"/>
  <cols>
    <col min="1" max="1" width="5.59765625" style="56" customWidth="1"/>
    <col min="2" max="2" width="45.59765625" style="53" customWidth="1"/>
    <col min="3" max="3" width="13.59765625" style="53" customWidth="1"/>
    <col min="4" max="4" width="12.8984375" style="67" customWidth="1"/>
    <col min="5" max="7" width="12.8984375" style="68" customWidth="1"/>
    <col min="8" max="8" width="12" style="90" customWidth="1"/>
    <col min="9" max="9" width="12" style="108" customWidth="1"/>
    <col min="10" max="10" width="12" style="90" customWidth="1"/>
    <col min="11" max="11" width="12.8984375" style="110" customWidth="1"/>
    <col min="12" max="12" width="12.8984375" style="90" customWidth="1"/>
    <col min="13" max="13" width="13.19921875" style="52" customWidth="1"/>
    <col min="14" max="14" width="15.19921875" style="52" customWidth="1"/>
    <col min="15" max="15" width="14.8984375" style="53" customWidth="1"/>
    <col min="16" max="16" width="18.69921875" style="53" customWidth="1"/>
    <col min="17" max="17" width="14.09765625" style="53" customWidth="1"/>
    <col min="18" max="18" width="16.59765625" style="53" customWidth="1"/>
    <col min="19" max="19" width="15.3984375" style="53" customWidth="1"/>
    <col min="20" max="16384" width="8.69921875" style="53"/>
  </cols>
  <sheetData>
    <row r="1" spans="1:19" ht="24" customHeight="1">
      <c r="A1" s="759" t="s">
        <v>96</v>
      </c>
      <c r="B1" s="759"/>
      <c r="C1" s="51"/>
      <c r="D1" s="51"/>
      <c r="E1" s="50"/>
      <c r="F1" s="50"/>
      <c r="G1" s="50"/>
      <c r="H1" s="89"/>
      <c r="I1" s="107"/>
      <c r="J1" s="89"/>
      <c r="K1" s="109"/>
      <c r="L1" s="89"/>
      <c r="N1" s="51"/>
    </row>
    <row r="2" spans="1:19" ht="27" customHeight="1">
      <c r="A2" s="760" t="s">
        <v>256</v>
      </c>
      <c r="B2" s="760"/>
      <c r="C2" s="760"/>
      <c r="D2" s="760"/>
      <c r="E2" s="760"/>
      <c r="F2" s="760"/>
      <c r="G2" s="760"/>
      <c r="H2" s="760"/>
      <c r="I2" s="760"/>
      <c r="J2" s="760"/>
      <c r="K2" s="760"/>
      <c r="L2" s="760"/>
      <c r="M2" s="760"/>
      <c r="N2" s="54"/>
    </row>
    <row r="3" spans="1:19" ht="27" customHeight="1">
      <c r="A3" s="761" t="str">
        <f>'Biểu số 04 (ĐTC huyện)'!A3:N3</f>
        <v>(Kèm theo Báo cáo số 899/BC-UBND, ngày 28 háng 11 năm 2022 của UBND huyện Tuần Giáo)</v>
      </c>
      <c r="B3" s="762"/>
      <c r="C3" s="762"/>
      <c r="D3" s="762"/>
      <c r="E3" s="762"/>
      <c r="F3" s="762"/>
      <c r="G3" s="762"/>
      <c r="H3" s="762"/>
      <c r="I3" s="762"/>
      <c r="J3" s="762"/>
      <c r="K3" s="762"/>
      <c r="L3" s="762"/>
      <c r="M3" s="762"/>
      <c r="N3" s="55"/>
    </row>
    <row r="4" spans="1:19" ht="27.9" customHeight="1">
      <c r="B4" s="57"/>
      <c r="C4" s="57"/>
      <c r="D4" s="58"/>
      <c r="E4" s="692" t="s">
        <v>44</v>
      </c>
      <c r="F4" s="692"/>
      <c r="G4" s="692"/>
      <c r="H4" s="692"/>
      <c r="I4" s="692"/>
      <c r="J4" s="692"/>
      <c r="K4" s="692"/>
      <c r="L4" s="692"/>
      <c r="M4" s="692"/>
      <c r="N4" s="59"/>
    </row>
    <row r="5" spans="1:19" ht="38.25" customHeight="1">
      <c r="A5" s="763" t="s">
        <v>49</v>
      </c>
      <c r="B5" s="764" t="s">
        <v>43</v>
      </c>
      <c r="C5" s="765" t="s">
        <v>27</v>
      </c>
      <c r="D5" s="763" t="s">
        <v>5</v>
      </c>
      <c r="E5" s="767" t="s">
        <v>97</v>
      </c>
      <c r="F5" s="769"/>
      <c r="G5" s="768"/>
      <c r="H5" s="696" t="s">
        <v>81</v>
      </c>
      <c r="I5" s="697"/>
      <c r="J5" s="696" t="s">
        <v>82</v>
      </c>
      <c r="K5" s="697"/>
      <c r="L5" s="698" t="s">
        <v>234</v>
      </c>
      <c r="M5" s="770" t="s">
        <v>8</v>
      </c>
      <c r="N5" s="59"/>
    </row>
    <row r="6" spans="1:19" ht="38.25" customHeight="1">
      <c r="A6" s="763"/>
      <c r="B6" s="764"/>
      <c r="C6" s="765"/>
      <c r="D6" s="763"/>
      <c r="E6" s="766" t="s">
        <v>250</v>
      </c>
      <c r="F6" s="767" t="s">
        <v>253</v>
      </c>
      <c r="G6" s="768"/>
      <c r="H6" s="701" t="s">
        <v>203</v>
      </c>
      <c r="I6" s="701" t="s">
        <v>85</v>
      </c>
      <c r="J6" s="701" t="s">
        <v>203</v>
      </c>
      <c r="K6" s="701" t="s">
        <v>86</v>
      </c>
      <c r="L6" s="699"/>
      <c r="M6" s="771"/>
      <c r="N6" s="59"/>
    </row>
    <row r="7" spans="1:19" s="15" customFormat="1" ht="50.25" customHeight="1">
      <c r="A7" s="763"/>
      <c r="B7" s="764"/>
      <c r="C7" s="765"/>
      <c r="D7" s="763"/>
      <c r="E7" s="766"/>
      <c r="F7" s="142" t="s">
        <v>254</v>
      </c>
      <c r="G7" s="143" t="s">
        <v>255</v>
      </c>
      <c r="H7" s="701"/>
      <c r="I7" s="701"/>
      <c r="J7" s="701"/>
      <c r="K7" s="701"/>
      <c r="L7" s="700"/>
      <c r="M7" s="772"/>
      <c r="N7" s="125"/>
    </row>
    <row r="8" spans="1:19" s="15" customFormat="1" ht="24.75" customHeight="1">
      <c r="A8" s="17"/>
      <c r="B8" s="17" t="s">
        <v>54</v>
      </c>
      <c r="C8" s="17"/>
      <c r="D8" s="117">
        <f t="shared" ref="D8:K8" si="0">D9+D46+D63+D79</f>
        <v>211080</v>
      </c>
      <c r="E8" s="117">
        <f>F8+G8</f>
        <v>43926.791000000005</v>
      </c>
      <c r="F8" s="117">
        <f>F9+F46+F63+F79</f>
        <v>43230.198000000004</v>
      </c>
      <c r="G8" s="117">
        <f>G9+G46+G63+G79</f>
        <v>696.59299999999985</v>
      </c>
      <c r="H8" s="117">
        <f t="shared" si="0"/>
        <v>26940.749000000003</v>
      </c>
      <c r="I8" s="117">
        <f t="shared" si="0"/>
        <v>163307.34599999996</v>
      </c>
      <c r="J8" s="117">
        <f t="shared" si="0"/>
        <v>27969.047999999999</v>
      </c>
      <c r="K8" s="117">
        <f t="shared" si="0"/>
        <v>154252.16899999997</v>
      </c>
      <c r="L8" s="117">
        <f t="shared" ref="L8" si="1">L9+L46+L63+L79</f>
        <v>42562.854000000007</v>
      </c>
      <c r="M8" s="126"/>
      <c r="N8" s="127">
        <f>+D8-K8</f>
        <v>56827.831000000035</v>
      </c>
      <c r="O8" s="144">
        <f>+E8-J8</f>
        <v>15957.743000000006</v>
      </c>
      <c r="P8" s="128">
        <f>+I8-K8</f>
        <v>9055.176999999996</v>
      </c>
      <c r="Q8" s="144">
        <f>+E8-L8</f>
        <v>1363.9369999999981</v>
      </c>
      <c r="R8" s="144">
        <f>+L8-J8</f>
        <v>14593.806000000008</v>
      </c>
      <c r="S8" s="144">
        <f>+D8-K8-R8</f>
        <v>42234.025000000023</v>
      </c>
    </row>
    <row r="9" spans="1:19" s="16" customFormat="1" ht="34.5" customHeight="1">
      <c r="A9" s="8" t="s">
        <v>98</v>
      </c>
      <c r="B9" s="111" t="s">
        <v>99</v>
      </c>
      <c r="C9" s="111"/>
      <c r="D9" s="117">
        <f t="shared" ref="D9:K9" si="2">D10+D38</f>
        <v>123060</v>
      </c>
      <c r="E9" s="117">
        <f>F9+G9</f>
        <v>23451.724999999999</v>
      </c>
      <c r="F9" s="117">
        <f>F10+F38</f>
        <v>22849</v>
      </c>
      <c r="G9" s="117">
        <f>G10</f>
        <v>602.72499999999991</v>
      </c>
      <c r="H9" s="117">
        <f t="shared" si="2"/>
        <v>8109</v>
      </c>
      <c r="I9" s="117">
        <f t="shared" si="2"/>
        <v>96900.128999999957</v>
      </c>
      <c r="J9" s="117">
        <f t="shared" si="2"/>
        <v>14321.231999999998</v>
      </c>
      <c r="K9" s="117">
        <f t="shared" si="2"/>
        <v>96294.47699999997</v>
      </c>
      <c r="L9" s="117">
        <f t="shared" ref="L9" si="3">L10+L38</f>
        <v>22567.788</v>
      </c>
      <c r="M9" s="112"/>
      <c r="N9" s="127">
        <f t="shared" ref="N9:N72" si="4">+D9-K9</f>
        <v>26765.52300000003</v>
      </c>
      <c r="O9" s="144">
        <f t="shared" ref="O9:O72" si="5">+E9-J9</f>
        <v>9130.4930000000004</v>
      </c>
      <c r="P9" s="128">
        <f t="shared" ref="P9:P72" si="6">+I9-K9</f>
        <v>605.65199999998731</v>
      </c>
      <c r="Q9" s="144">
        <f t="shared" ref="Q9:Q72" si="7">+E9-L9</f>
        <v>883.93699999999808</v>
      </c>
      <c r="R9" s="144">
        <f t="shared" ref="R9:R72" si="8">+L9-J9</f>
        <v>8246.5560000000023</v>
      </c>
      <c r="S9" s="144">
        <f t="shared" ref="S9:S72" si="9">+D9-K9-R9</f>
        <v>18518.967000000026</v>
      </c>
    </row>
    <row r="10" spans="1:19" s="15" customFormat="1" ht="34.5" customHeight="1">
      <c r="A10" s="17" t="s">
        <v>23</v>
      </c>
      <c r="B10" s="18" t="s">
        <v>231</v>
      </c>
      <c r="C10" s="18"/>
      <c r="D10" s="117">
        <f t="shared" ref="D10:L10" si="10">D11</f>
        <v>109960</v>
      </c>
      <c r="E10" s="117">
        <f t="shared" si="10"/>
        <v>14151.725</v>
      </c>
      <c r="F10" s="117">
        <f t="shared" si="10"/>
        <v>13549</v>
      </c>
      <c r="G10" s="117">
        <f t="shared" si="10"/>
        <v>602.72499999999991</v>
      </c>
      <c r="H10" s="117">
        <f t="shared" si="10"/>
        <v>5039</v>
      </c>
      <c r="I10" s="117">
        <f t="shared" si="10"/>
        <v>93830.128999999957</v>
      </c>
      <c r="J10" s="117">
        <f t="shared" si="10"/>
        <v>10151.231999999998</v>
      </c>
      <c r="K10" s="117">
        <f t="shared" si="10"/>
        <v>92124.47699999997</v>
      </c>
      <c r="L10" s="117">
        <f t="shared" si="10"/>
        <v>13267.788</v>
      </c>
      <c r="M10" s="88"/>
      <c r="N10" s="127">
        <f t="shared" si="4"/>
        <v>17835.52300000003</v>
      </c>
      <c r="O10" s="144">
        <f t="shared" si="5"/>
        <v>4000.4930000000022</v>
      </c>
      <c r="P10" s="128">
        <f t="shared" si="6"/>
        <v>1705.6519999999873</v>
      </c>
      <c r="Q10" s="144">
        <f t="shared" si="7"/>
        <v>883.9369999999999</v>
      </c>
      <c r="R10" s="144">
        <f t="shared" si="8"/>
        <v>3116.5560000000023</v>
      </c>
      <c r="S10" s="144">
        <f t="shared" si="9"/>
        <v>14718.967000000028</v>
      </c>
    </row>
    <row r="11" spans="1:19" s="15" customFormat="1" ht="34.5" customHeight="1">
      <c r="A11" s="17" t="s">
        <v>28</v>
      </c>
      <c r="B11" s="18" t="s">
        <v>100</v>
      </c>
      <c r="C11" s="18"/>
      <c r="D11" s="117">
        <f t="shared" ref="D11:K11" si="11">SUM(D12:D37)</f>
        <v>109960</v>
      </c>
      <c r="E11" s="117">
        <f>F11+G11</f>
        <v>14151.725</v>
      </c>
      <c r="F11" s="117">
        <f t="shared" si="11"/>
        <v>13549</v>
      </c>
      <c r="G11" s="117">
        <f t="shared" si="11"/>
        <v>602.72499999999991</v>
      </c>
      <c r="H11" s="117">
        <f t="shared" si="11"/>
        <v>5039</v>
      </c>
      <c r="I11" s="117">
        <f t="shared" si="11"/>
        <v>93830.128999999957</v>
      </c>
      <c r="J11" s="117">
        <f t="shared" si="11"/>
        <v>10151.231999999998</v>
      </c>
      <c r="K11" s="117">
        <f t="shared" si="11"/>
        <v>92124.47699999997</v>
      </c>
      <c r="L11" s="117">
        <f t="shared" ref="L11" si="12">SUM(L12:L37)</f>
        <v>13267.788</v>
      </c>
      <c r="M11" s="19"/>
      <c r="N11" s="127">
        <f t="shared" si="4"/>
        <v>17835.52300000003</v>
      </c>
      <c r="O11" s="144">
        <f t="shared" si="5"/>
        <v>4000.4930000000022</v>
      </c>
      <c r="P11" s="128">
        <f t="shared" si="6"/>
        <v>1705.6519999999873</v>
      </c>
      <c r="Q11" s="144">
        <f t="shared" si="7"/>
        <v>883.9369999999999</v>
      </c>
      <c r="R11" s="144">
        <f t="shared" si="8"/>
        <v>3116.5560000000023</v>
      </c>
      <c r="S11" s="144">
        <f t="shared" si="9"/>
        <v>14718.967000000028</v>
      </c>
    </row>
    <row r="12" spans="1:19" s="15" customFormat="1" ht="34.5" customHeight="1">
      <c r="A12" s="80">
        <v>1</v>
      </c>
      <c r="B12" s="87" t="s">
        <v>101</v>
      </c>
      <c r="C12" s="80" t="s">
        <v>42</v>
      </c>
      <c r="D12" s="95">
        <v>5300</v>
      </c>
      <c r="E12" s="95">
        <f>F12+G12</f>
        <v>53.551000000000002</v>
      </c>
      <c r="F12" s="95">
        <v>53.551000000000002</v>
      </c>
      <c r="G12" s="95"/>
      <c r="H12" s="95">
        <v>0</v>
      </c>
      <c r="I12" s="95">
        <v>5033.5510000000004</v>
      </c>
      <c r="J12" s="95">
        <v>53.551000000000002</v>
      </c>
      <c r="K12" s="95">
        <v>5033.5510000000004</v>
      </c>
      <c r="L12" s="95">
        <f t="shared" ref="L12:L21" si="13">E12</f>
        <v>53.551000000000002</v>
      </c>
      <c r="M12" s="88" t="s">
        <v>233</v>
      </c>
      <c r="N12" s="127">
        <f t="shared" si="4"/>
        <v>266.44899999999961</v>
      </c>
      <c r="O12" s="144">
        <f t="shared" si="5"/>
        <v>0</v>
      </c>
      <c r="P12" s="128">
        <f t="shared" si="6"/>
        <v>0</v>
      </c>
      <c r="Q12" s="144">
        <f t="shared" si="7"/>
        <v>0</v>
      </c>
      <c r="R12" s="144">
        <f t="shared" si="8"/>
        <v>0</v>
      </c>
      <c r="S12" s="144">
        <f t="shared" si="9"/>
        <v>266.44899999999961</v>
      </c>
    </row>
    <row r="13" spans="1:19" s="15" customFormat="1" ht="34.5" customHeight="1">
      <c r="A13" s="80">
        <v>2</v>
      </c>
      <c r="B13" s="87" t="s">
        <v>102</v>
      </c>
      <c r="C13" s="80" t="s">
        <v>42</v>
      </c>
      <c r="D13" s="95">
        <v>2150</v>
      </c>
      <c r="E13" s="95">
        <f t="shared" ref="E13:E37" si="14">F13+G13</f>
        <v>11.617000000000001</v>
      </c>
      <c r="F13" s="95">
        <v>11.617000000000001</v>
      </c>
      <c r="G13" s="95"/>
      <c r="H13" s="95">
        <v>0</v>
      </c>
      <c r="I13" s="95">
        <v>2007.8789999999999</v>
      </c>
      <c r="J13" s="95">
        <v>11.617000000000001</v>
      </c>
      <c r="K13" s="95">
        <v>2007.8789999999999</v>
      </c>
      <c r="L13" s="95">
        <f t="shared" si="13"/>
        <v>11.617000000000001</v>
      </c>
      <c r="M13" s="88" t="s">
        <v>233</v>
      </c>
      <c r="N13" s="127">
        <f t="shared" si="4"/>
        <v>142.12100000000009</v>
      </c>
      <c r="O13" s="144">
        <f t="shared" si="5"/>
        <v>0</v>
      </c>
      <c r="P13" s="128">
        <f t="shared" si="6"/>
        <v>0</v>
      </c>
      <c r="Q13" s="144">
        <f t="shared" si="7"/>
        <v>0</v>
      </c>
      <c r="R13" s="144">
        <f t="shared" si="8"/>
        <v>0</v>
      </c>
      <c r="S13" s="144">
        <f t="shared" si="9"/>
        <v>142.12100000000009</v>
      </c>
    </row>
    <row r="14" spans="1:19" s="15" customFormat="1" ht="34.5" customHeight="1">
      <c r="A14" s="80">
        <v>3</v>
      </c>
      <c r="B14" s="87" t="s">
        <v>103</v>
      </c>
      <c r="C14" s="80" t="s">
        <v>104</v>
      </c>
      <c r="D14" s="95">
        <v>4000</v>
      </c>
      <c r="E14" s="95">
        <f t="shared" si="14"/>
        <v>809.45099999999991</v>
      </c>
      <c r="F14" s="95">
        <f>809.656-0.205</f>
        <v>809.45099999999991</v>
      </c>
      <c r="G14" s="95"/>
      <c r="H14" s="95">
        <v>0</v>
      </c>
      <c r="I14" s="95">
        <v>3787.886</v>
      </c>
      <c r="J14" s="95">
        <f>E14</f>
        <v>809.45099999999991</v>
      </c>
      <c r="K14" s="95">
        <v>3787.886</v>
      </c>
      <c r="L14" s="95">
        <f t="shared" si="13"/>
        <v>809.45099999999991</v>
      </c>
      <c r="M14" s="88" t="s">
        <v>233</v>
      </c>
      <c r="N14" s="127">
        <f t="shared" si="4"/>
        <v>212.11400000000003</v>
      </c>
      <c r="O14" s="144">
        <f t="shared" si="5"/>
        <v>0</v>
      </c>
      <c r="P14" s="128">
        <f t="shared" si="6"/>
        <v>0</v>
      </c>
      <c r="Q14" s="144">
        <f t="shared" si="7"/>
        <v>0</v>
      </c>
      <c r="R14" s="144">
        <f t="shared" si="8"/>
        <v>0</v>
      </c>
      <c r="S14" s="144">
        <f t="shared" si="9"/>
        <v>212.11400000000003</v>
      </c>
    </row>
    <row r="15" spans="1:19" s="51" customFormat="1" ht="34.5" customHeight="1">
      <c r="A15" s="13">
        <v>4</v>
      </c>
      <c r="B15" s="139" t="s">
        <v>105</v>
      </c>
      <c r="C15" s="13" t="s">
        <v>40</v>
      </c>
      <c r="D15" s="149">
        <v>2650</v>
      </c>
      <c r="E15" s="103">
        <f t="shared" si="14"/>
        <v>106.182</v>
      </c>
      <c r="F15" s="103">
        <v>106.182</v>
      </c>
      <c r="G15" s="103"/>
      <c r="H15" s="103">
        <v>0</v>
      </c>
      <c r="I15" s="103">
        <v>2602.8000000000002</v>
      </c>
      <c r="J15" s="103">
        <f>E15</f>
        <v>106.182</v>
      </c>
      <c r="K15" s="149">
        <v>2602.8000000000002</v>
      </c>
      <c r="L15" s="103">
        <f t="shared" si="13"/>
        <v>106.182</v>
      </c>
      <c r="M15" s="63" t="s">
        <v>233</v>
      </c>
      <c r="N15" s="148">
        <f>+D15-K15</f>
        <v>47.199999999999818</v>
      </c>
      <c r="O15" s="147">
        <f t="shared" si="5"/>
        <v>0</v>
      </c>
      <c r="P15" s="61">
        <f t="shared" si="6"/>
        <v>0</v>
      </c>
      <c r="Q15" s="147">
        <f t="shared" si="7"/>
        <v>0</v>
      </c>
      <c r="R15" s="147">
        <f t="shared" si="8"/>
        <v>0</v>
      </c>
      <c r="S15" s="147">
        <f>+D15-K15-R15</f>
        <v>47.199999999999818</v>
      </c>
    </row>
    <row r="16" spans="1:19" s="15" customFormat="1" ht="34.5" customHeight="1">
      <c r="A16" s="80">
        <v>5</v>
      </c>
      <c r="B16" s="87" t="s">
        <v>106</v>
      </c>
      <c r="C16" s="80" t="s">
        <v>42</v>
      </c>
      <c r="D16" s="95">
        <v>10700</v>
      </c>
      <c r="E16" s="95">
        <f t="shared" si="14"/>
        <v>1000</v>
      </c>
      <c r="F16" s="95">
        <v>1000</v>
      </c>
      <c r="G16" s="95"/>
      <c r="H16" s="95">
        <v>0</v>
      </c>
      <c r="I16" s="95">
        <v>9944.6890000000003</v>
      </c>
      <c r="J16" s="95">
        <v>994.68899999999996</v>
      </c>
      <c r="K16" s="95">
        <v>9944.6890000000003</v>
      </c>
      <c r="L16" s="95">
        <f t="shared" si="13"/>
        <v>1000</v>
      </c>
      <c r="M16" s="88" t="s">
        <v>236</v>
      </c>
      <c r="N16" s="127">
        <f t="shared" si="4"/>
        <v>755.31099999999969</v>
      </c>
      <c r="O16" s="144">
        <f t="shared" si="5"/>
        <v>5.3110000000000355</v>
      </c>
      <c r="P16" s="128">
        <f t="shared" si="6"/>
        <v>0</v>
      </c>
      <c r="Q16" s="144">
        <f t="shared" si="7"/>
        <v>0</v>
      </c>
      <c r="R16" s="144">
        <f t="shared" si="8"/>
        <v>5.3110000000000355</v>
      </c>
      <c r="S16" s="144">
        <f t="shared" si="9"/>
        <v>749.99999999999966</v>
      </c>
    </row>
    <row r="17" spans="1:19" s="15" customFormat="1" ht="34.5" customHeight="1">
      <c r="A17" s="80">
        <v>6</v>
      </c>
      <c r="B17" s="87" t="s">
        <v>107</v>
      </c>
      <c r="C17" s="80" t="s">
        <v>108</v>
      </c>
      <c r="D17" s="95">
        <v>2500</v>
      </c>
      <c r="E17" s="95">
        <f t="shared" si="14"/>
        <v>350</v>
      </c>
      <c r="F17" s="95">
        <v>350</v>
      </c>
      <c r="G17" s="95"/>
      <c r="H17" s="95">
        <v>0</v>
      </c>
      <c r="I17" s="95">
        <v>2219.3000000000002</v>
      </c>
      <c r="J17" s="95">
        <f>206.631+12.714</f>
        <v>219.345</v>
      </c>
      <c r="K17" s="95">
        <v>2219.3000000000002</v>
      </c>
      <c r="L17" s="95">
        <f t="shared" si="13"/>
        <v>350</v>
      </c>
      <c r="M17" s="88" t="s">
        <v>233</v>
      </c>
      <c r="N17" s="127">
        <f t="shared" si="4"/>
        <v>280.69999999999982</v>
      </c>
      <c r="O17" s="144">
        <f t="shared" si="5"/>
        <v>130.655</v>
      </c>
      <c r="P17" s="128">
        <f t="shared" si="6"/>
        <v>0</v>
      </c>
      <c r="Q17" s="144">
        <f t="shared" si="7"/>
        <v>0</v>
      </c>
      <c r="R17" s="144">
        <f t="shared" si="8"/>
        <v>130.655</v>
      </c>
      <c r="S17" s="144">
        <f t="shared" si="9"/>
        <v>150.04499999999982</v>
      </c>
    </row>
    <row r="18" spans="1:19" s="15" customFormat="1" ht="34.5" customHeight="1">
      <c r="A18" s="80">
        <v>7</v>
      </c>
      <c r="B18" s="87" t="s">
        <v>109</v>
      </c>
      <c r="C18" s="80" t="s">
        <v>104</v>
      </c>
      <c r="D18" s="95">
        <v>3200</v>
      </c>
      <c r="E18" s="95">
        <f t="shared" si="14"/>
        <v>147</v>
      </c>
      <c r="F18" s="95">
        <v>147</v>
      </c>
      <c r="G18" s="95"/>
      <c r="H18" s="95">
        <v>0</v>
      </c>
      <c r="I18" s="95">
        <v>3026.65</v>
      </c>
      <c r="J18" s="95">
        <v>147</v>
      </c>
      <c r="K18" s="95">
        <v>3026.65</v>
      </c>
      <c r="L18" s="95">
        <f t="shared" si="13"/>
        <v>147</v>
      </c>
      <c r="M18" s="88" t="s">
        <v>233</v>
      </c>
      <c r="N18" s="127">
        <f t="shared" si="4"/>
        <v>173.34999999999991</v>
      </c>
      <c r="O18" s="144">
        <f t="shared" si="5"/>
        <v>0</v>
      </c>
      <c r="P18" s="128">
        <f t="shared" si="6"/>
        <v>0</v>
      </c>
      <c r="Q18" s="144">
        <f t="shared" si="7"/>
        <v>0</v>
      </c>
      <c r="R18" s="144">
        <f t="shared" si="8"/>
        <v>0</v>
      </c>
      <c r="S18" s="144">
        <f t="shared" si="9"/>
        <v>173.34999999999991</v>
      </c>
    </row>
    <row r="19" spans="1:19" s="15" customFormat="1" ht="33" customHeight="1">
      <c r="A19" s="80">
        <v>8</v>
      </c>
      <c r="B19" s="87" t="s">
        <v>110</v>
      </c>
      <c r="C19" s="80" t="s">
        <v>111</v>
      </c>
      <c r="D19" s="95">
        <v>8300</v>
      </c>
      <c r="E19" s="95">
        <f t="shared" si="14"/>
        <v>2541.1990000000001</v>
      </c>
      <c r="F19" s="95">
        <f>1500+1541.199-500</f>
        <v>2541.1990000000001</v>
      </c>
      <c r="G19" s="95"/>
      <c r="H19" s="95">
        <v>2350</v>
      </c>
      <c r="I19" s="95">
        <v>5562.915</v>
      </c>
      <c r="J19" s="95">
        <f>E19</f>
        <v>2541.1990000000001</v>
      </c>
      <c r="K19" s="95">
        <v>5562.915</v>
      </c>
      <c r="L19" s="95">
        <f t="shared" si="13"/>
        <v>2541.1990000000001</v>
      </c>
      <c r="M19" s="102" t="s">
        <v>241</v>
      </c>
      <c r="N19" s="127">
        <f t="shared" si="4"/>
        <v>2737.085</v>
      </c>
      <c r="O19" s="144">
        <f t="shared" si="5"/>
        <v>0</v>
      </c>
      <c r="P19" s="128">
        <f t="shared" si="6"/>
        <v>0</v>
      </c>
      <c r="Q19" s="144">
        <f t="shared" si="7"/>
        <v>0</v>
      </c>
      <c r="R19" s="144">
        <f t="shared" si="8"/>
        <v>0</v>
      </c>
      <c r="S19" s="144">
        <f t="shared" si="9"/>
        <v>2737.085</v>
      </c>
    </row>
    <row r="20" spans="1:19" s="15" customFormat="1" ht="33" customHeight="1">
      <c r="A20" s="80">
        <v>9</v>
      </c>
      <c r="B20" s="87" t="s">
        <v>112</v>
      </c>
      <c r="C20" s="80" t="s">
        <v>40</v>
      </c>
      <c r="D20" s="95">
        <v>9800</v>
      </c>
      <c r="E20" s="95">
        <f t="shared" si="14"/>
        <v>1000</v>
      </c>
      <c r="F20" s="95">
        <v>1000</v>
      </c>
      <c r="G20" s="95"/>
      <c r="H20" s="95">
        <v>1500</v>
      </c>
      <c r="I20" s="95">
        <v>3545</v>
      </c>
      <c r="J20" s="95">
        <v>1000</v>
      </c>
      <c r="K20" s="95">
        <v>3545</v>
      </c>
      <c r="L20" s="95">
        <f t="shared" si="13"/>
        <v>1000</v>
      </c>
      <c r="M20" s="102" t="s">
        <v>241</v>
      </c>
      <c r="N20" s="127">
        <f t="shared" si="4"/>
        <v>6255</v>
      </c>
      <c r="O20" s="144">
        <f t="shared" si="5"/>
        <v>0</v>
      </c>
      <c r="P20" s="128">
        <f t="shared" si="6"/>
        <v>0</v>
      </c>
      <c r="Q20" s="144">
        <f t="shared" si="7"/>
        <v>0</v>
      </c>
      <c r="R20" s="144">
        <f t="shared" si="8"/>
        <v>0</v>
      </c>
      <c r="S20" s="144">
        <f t="shared" si="9"/>
        <v>6255</v>
      </c>
    </row>
    <row r="21" spans="1:19" s="15" customFormat="1" ht="33" customHeight="1">
      <c r="A21" s="80">
        <v>10</v>
      </c>
      <c r="B21" s="87" t="s">
        <v>113</v>
      </c>
      <c r="C21" s="80" t="s">
        <v>41</v>
      </c>
      <c r="D21" s="95">
        <v>4500</v>
      </c>
      <c r="E21" s="95">
        <f t="shared" si="14"/>
        <v>1500</v>
      </c>
      <c r="F21" s="95">
        <v>1500</v>
      </c>
      <c r="G21" s="95"/>
      <c r="H21" s="95">
        <v>0</v>
      </c>
      <c r="I21" s="95">
        <v>4249.7820000000002</v>
      </c>
      <c r="J21" s="95">
        <v>1421.721</v>
      </c>
      <c r="K21" s="95">
        <v>4249.7820000000002</v>
      </c>
      <c r="L21" s="95">
        <f t="shared" si="13"/>
        <v>1500</v>
      </c>
      <c r="M21" s="102" t="s">
        <v>233</v>
      </c>
      <c r="N21" s="127">
        <f t="shared" si="4"/>
        <v>250.21799999999985</v>
      </c>
      <c r="O21" s="144">
        <f t="shared" si="5"/>
        <v>78.278999999999996</v>
      </c>
      <c r="P21" s="128">
        <f t="shared" si="6"/>
        <v>0</v>
      </c>
      <c r="Q21" s="144">
        <f t="shared" si="7"/>
        <v>0</v>
      </c>
      <c r="R21" s="144">
        <f t="shared" si="8"/>
        <v>78.278999999999996</v>
      </c>
      <c r="S21" s="144">
        <f t="shared" si="9"/>
        <v>171.93899999999985</v>
      </c>
    </row>
    <row r="22" spans="1:19" s="15" customFormat="1" ht="60.75" customHeight="1">
      <c r="A22" s="80">
        <v>11</v>
      </c>
      <c r="B22" s="87" t="s">
        <v>114</v>
      </c>
      <c r="C22" s="80" t="s">
        <v>41</v>
      </c>
      <c r="D22" s="95">
        <v>4000</v>
      </c>
      <c r="E22" s="95">
        <f t="shared" si="14"/>
        <v>1500</v>
      </c>
      <c r="F22" s="95">
        <v>1500</v>
      </c>
      <c r="G22" s="95"/>
      <c r="H22" s="95">
        <v>0</v>
      </c>
      <c r="I22" s="95">
        <v>3301.48</v>
      </c>
      <c r="J22" s="95">
        <v>698.5</v>
      </c>
      <c r="K22" s="95">
        <v>3301.48</v>
      </c>
      <c r="L22" s="95">
        <f>J22</f>
        <v>698.5</v>
      </c>
      <c r="M22" s="88" t="s">
        <v>240</v>
      </c>
      <c r="N22" s="127">
        <f t="shared" si="4"/>
        <v>698.52</v>
      </c>
      <c r="O22" s="144">
        <f t="shared" si="5"/>
        <v>801.5</v>
      </c>
      <c r="P22" s="128">
        <f t="shared" si="6"/>
        <v>0</v>
      </c>
      <c r="Q22" s="144">
        <f t="shared" si="7"/>
        <v>801.5</v>
      </c>
      <c r="R22" s="144">
        <f t="shared" si="8"/>
        <v>0</v>
      </c>
      <c r="S22" s="144">
        <f t="shared" si="9"/>
        <v>698.52</v>
      </c>
    </row>
    <row r="23" spans="1:19" s="15" customFormat="1" ht="33" customHeight="1">
      <c r="A23" s="80">
        <v>12</v>
      </c>
      <c r="B23" s="87" t="s">
        <v>115</v>
      </c>
      <c r="C23" s="80" t="s">
        <v>40</v>
      </c>
      <c r="D23" s="95">
        <v>2600</v>
      </c>
      <c r="E23" s="95">
        <f t="shared" si="14"/>
        <v>1000</v>
      </c>
      <c r="F23" s="95">
        <v>1000</v>
      </c>
      <c r="G23" s="95"/>
      <c r="H23" s="95">
        <v>0</v>
      </c>
      <c r="I23" s="95">
        <v>2278.4389999999999</v>
      </c>
      <c r="J23" s="95">
        <v>1000</v>
      </c>
      <c r="K23" s="95">
        <v>2278.4389999999999</v>
      </c>
      <c r="L23" s="95">
        <f t="shared" ref="L23:L34" si="15">E23</f>
        <v>1000</v>
      </c>
      <c r="M23" s="88" t="s">
        <v>236</v>
      </c>
      <c r="N23" s="127">
        <f t="shared" si="4"/>
        <v>321.56100000000015</v>
      </c>
      <c r="O23" s="144">
        <f t="shared" si="5"/>
        <v>0</v>
      </c>
      <c r="P23" s="128">
        <f t="shared" si="6"/>
        <v>0</v>
      </c>
      <c r="Q23" s="144">
        <f t="shared" si="7"/>
        <v>0</v>
      </c>
      <c r="R23" s="144">
        <f t="shared" si="8"/>
        <v>0</v>
      </c>
      <c r="S23" s="144">
        <f t="shared" si="9"/>
        <v>321.56100000000015</v>
      </c>
    </row>
    <row r="24" spans="1:19" s="15" customFormat="1" ht="33" customHeight="1">
      <c r="A24" s="80">
        <v>13</v>
      </c>
      <c r="B24" s="87" t="s">
        <v>116</v>
      </c>
      <c r="C24" s="80" t="s">
        <v>36</v>
      </c>
      <c r="D24" s="95">
        <v>4500</v>
      </c>
      <c r="E24" s="95">
        <f t="shared" si="14"/>
        <v>400</v>
      </c>
      <c r="F24" s="95">
        <v>400</v>
      </c>
      <c r="G24" s="95"/>
      <c r="H24" s="95">
        <v>0</v>
      </c>
      <c r="I24" s="95">
        <v>4306.6959999999999</v>
      </c>
      <c r="J24" s="95">
        <v>294.11399999999998</v>
      </c>
      <c r="K24" s="95">
        <v>4306.6959999999999</v>
      </c>
      <c r="L24" s="95">
        <f t="shared" si="15"/>
        <v>400</v>
      </c>
      <c r="M24" s="88" t="s">
        <v>236</v>
      </c>
      <c r="N24" s="127">
        <f t="shared" si="4"/>
        <v>193.30400000000009</v>
      </c>
      <c r="O24" s="144">
        <f t="shared" si="5"/>
        <v>105.88600000000002</v>
      </c>
      <c r="P24" s="128">
        <f t="shared" si="6"/>
        <v>0</v>
      </c>
      <c r="Q24" s="144">
        <f t="shared" si="7"/>
        <v>0</v>
      </c>
      <c r="R24" s="144">
        <f t="shared" si="8"/>
        <v>105.88600000000002</v>
      </c>
      <c r="S24" s="144">
        <f t="shared" si="9"/>
        <v>87.418000000000063</v>
      </c>
    </row>
    <row r="25" spans="1:19" s="15" customFormat="1" ht="33" customHeight="1">
      <c r="A25" s="80">
        <v>14</v>
      </c>
      <c r="B25" s="87" t="s">
        <v>117</v>
      </c>
      <c r="C25" s="80" t="s">
        <v>118</v>
      </c>
      <c r="D25" s="149">
        <v>6000</v>
      </c>
      <c r="E25" s="103">
        <f t="shared" si="14"/>
        <v>2800</v>
      </c>
      <c r="F25" s="103">
        <v>2800</v>
      </c>
      <c r="G25" s="95"/>
      <c r="H25" s="95">
        <v>1189</v>
      </c>
      <c r="I25" s="95">
        <v>4233</v>
      </c>
      <c r="J25" s="149">
        <v>110.121</v>
      </c>
      <c r="K25" s="149">
        <v>2585.4</v>
      </c>
      <c r="L25" s="149">
        <f t="shared" si="15"/>
        <v>2800</v>
      </c>
      <c r="M25" s="102" t="s">
        <v>239</v>
      </c>
      <c r="N25" s="127">
        <f t="shared" si="4"/>
        <v>3414.6</v>
      </c>
      <c r="O25" s="144">
        <f t="shared" si="5"/>
        <v>2689.8789999999999</v>
      </c>
      <c r="P25" s="128">
        <f t="shared" si="6"/>
        <v>1647.6</v>
      </c>
      <c r="Q25" s="144">
        <f t="shared" si="7"/>
        <v>0</v>
      </c>
      <c r="R25" s="144">
        <f t="shared" si="8"/>
        <v>2689.8789999999999</v>
      </c>
      <c r="S25" s="144">
        <f>+D25-K25-R25</f>
        <v>724.721</v>
      </c>
    </row>
    <row r="26" spans="1:19" s="15" customFormat="1" ht="33" customHeight="1">
      <c r="A26" s="80">
        <v>15</v>
      </c>
      <c r="B26" s="87" t="s">
        <v>119</v>
      </c>
      <c r="C26" s="80" t="s">
        <v>41</v>
      </c>
      <c r="D26" s="95">
        <v>1200</v>
      </c>
      <c r="E26" s="95">
        <f t="shared" si="14"/>
        <v>120</v>
      </c>
      <c r="F26" s="95">
        <v>120</v>
      </c>
      <c r="G26" s="95"/>
      <c r="H26" s="95">
        <v>0</v>
      </c>
      <c r="I26" s="95">
        <v>1112.375</v>
      </c>
      <c r="J26" s="95">
        <v>112.375</v>
      </c>
      <c r="K26" s="95">
        <v>1112.375</v>
      </c>
      <c r="L26" s="95">
        <f t="shared" si="15"/>
        <v>120</v>
      </c>
      <c r="M26" s="88" t="s">
        <v>236</v>
      </c>
      <c r="N26" s="127">
        <f t="shared" si="4"/>
        <v>87.625</v>
      </c>
      <c r="O26" s="144">
        <f t="shared" si="5"/>
        <v>7.625</v>
      </c>
      <c r="P26" s="128">
        <f t="shared" si="6"/>
        <v>0</v>
      </c>
      <c r="Q26" s="144">
        <f t="shared" si="7"/>
        <v>0</v>
      </c>
      <c r="R26" s="144">
        <f t="shared" si="8"/>
        <v>7.625</v>
      </c>
      <c r="S26" s="144">
        <f t="shared" si="9"/>
        <v>80</v>
      </c>
    </row>
    <row r="27" spans="1:19" s="15" customFormat="1" ht="33" customHeight="1">
      <c r="A27" s="80">
        <v>16</v>
      </c>
      <c r="B27" s="87" t="s">
        <v>120</v>
      </c>
      <c r="C27" s="80" t="s">
        <v>30</v>
      </c>
      <c r="D27" s="149">
        <v>5080</v>
      </c>
      <c r="E27" s="95">
        <f t="shared" si="14"/>
        <v>210</v>
      </c>
      <c r="F27" s="95">
        <v>210</v>
      </c>
      <c r="G27" s="95"/>
      <c r="H27" s="95">
        <v>0</v>
      </c>
      <c r="I27" s="95">
        <v>4999.0519999999997</v>
      </c>
      <c r="J27" s="149">
        <v>40.079000000000001</v>
      </c>
      <c r="K27" s="149">
        <v>4941</v>
      </c>
      <c r="L27" s="149">
        <v>139</v>
      </c>
      <c r="M27" s="88" t="s">
        <v>236</v>
      </c>
      <c r="N27" s="127">
        <f t="shared" si="4"/>
        <v>139</v>
      </c>
      <c r="O27" s="144">
        <f t="shared" si="5"/>
        <v>169.92099999999999</v>
      </c>
      <c r="P27" s="128">
        <f t="shared" si="6"/>
        <v>58.05199999999968</v>
      </c>
      <c r="Q27" s="144">
        <f t="shared" si="7"/>
        <v>71</v>
      </c>
      <c r="R27" s="144">
        <f t="shared" si="8"/>
        <v>98.920999999999992</v>
      </c>
      <c r="S27" s="144">
        <f>+D27-K27-R27</f>
        <v>40.079000000000008</v>
      </c>
    </row>
    <row r="28" spans="1:19" s="15" customFormat="1" ht="33" customHeight="1">
      <c r="A28" s="80">
        <v>17</v>
      </c>
      <c r="B28" s="129" t="s">
        <v>216</v>
      </c>
      <c r="C28" s="80" t="s">
        <v>161</v>
      </c>
      <c r="D28" s="95">
        <v>2700</v>
      </c>
      <c r="E28" s="95">
        <f t="shared" si="14"/>
        <v>14.759</v>
      </c>
      <c r="F28" s="95"/>
      <c r="G28" s="95">
        <v>14.759</v>
      </c>
      <c r="H28" s="95">
        <v>0</v>
      </c>
      <c r="I28" s="95">
        <v>2535.1320000000001</v>
      </c>
      <c r="J28" s="95">
        <v>14.759</v>
      </c>
      <c r="K28" s="95">
        <v>2535.1320000000001</v>
      </c>
      <c r="L28" s="95">
        <f t="shared" si="15"/>
        <v>14.759</v>
      </c>
      <c r="M28" s="88" t="s">
        <v>233</v>
      </c>
      <c r="N28" s="127">
        <f t="shared" si="4"/>
        <v>164.86799999999994</v>
      </c>
      <c r="O28" s="144">
        <f t="shared" si="5"/>
        <v>0</v>
      </c>
      <c r="P28" s="128">
        <f t="shared" si="6"/>
        <v>0</v>
      </c>
      <c r="Q28" s="144">
        <f t="shared" si="7"/>
        <v>0</v>
      </c>
      <c r="R28" s="144">
        <f t="shared" si="8"/>
        <v>0</v>
      </c>
      <c r="S28" s="144">
        <f t="shared" si="9"/>
        <v>164.86799999999994</v>
      </c>
    </row>
    <row r="29" spans="1:19" s="15" customFormat="1" ht="33" customHeight="1">
      <c r="A29" s="80">
        <v>18</v>
      </c>
      <c r="B29" s="129" t="s">
        <v>217</v>
      </c>
      <c r="C29" s="80" t="s">
        <v>40</v>
      </c>
      <c r="D29" s="95">
        <v>1750</v>
      </c>
      <c r="E29" s="95">
        <f t="shared" si="14"/>
        <v>9.0730000000000004</v>
      </c>
      <c r="F29" s="95"/>
      <c r="G29" s="95">
        <v>9.0730000000000004</v>
      </c>
      <c r="H29" s="95">
        <v>0</v>
      </c>
      <c r="I29" s="95">
        <v>1543.874</v>
      </c>
      <c r="J29" s="95">
        <f t="shared" ref="J29:J34" si="16">E29</f>
        <v>9.0730000000000004</v>
      </c>
      <c r="K29" s="95">
        <v>1543.874</v>
      </c>
      <c r="L29" s="95">
        <f t="shared" si="15"/>
        <v>9.0730000000000004</v>
      </c>
      <c r="M29" s="88" t="s">
        <v>233</v>
      </c>
      <c r="N29" s="127">
        <f t="shared" si="4"/>
        <v>206.12599999999998</v>
      </c>
      <c r="O29" s="144">
        <f t="shared" si="5"/>
        <v>0</v>
      </c>
      <c r="P29" s="128">
        <f t="shared" si="6"/>
        <v>0</v>
      </c>
      <c r="Q29" s="144">
        <f t="shared" si="7"/>
        <v>0</v>
      </c>
      <c r="R29" s="144">
        <f t="shared" si="8"/>
        <v>0</v>
      </c>
      <c r="S29" s="144">
        <f t="shared" si="9"/>
        <v>206.12599999999998</v>
      </c>
    </row>
    <row r="30" spans="1:19" s="15" customFormat="1" ht="33" customHeight="1">
      <c r="A30" s="80">
        <v>19</v>
      </c>
      <c r="B30" s="129" t="s">
        <v>218</v>
      </c>
      <c r="C30" s="80" t="s">
        <v>42</v>
      </c>
      <c r="D30" s="95">
        <v>5000</v>
      </c>
      <c r="E30" s="95">
        <f t="shared" si="14"/>
        <v>91.766999999999996</v>
      </c>
      <c r="F30" s="95"/>
      <c r="G30" s="95">
        <v>91.766999999999996</v>
      </c>
      <c r="H30" s="95">
        <v>0</v>
      </c>
      <c r="I30" s="95">
        <v>4914.0929999999998</v>
      </c>
      <c r="J30" s="95">
        <f t="shared" si="16"/>
        <v>91.766999999999996</v>
      </c>
      <c r="K30" s="95">
        <v>4914.0929999999998</v>
      </c>
      <c r="L30" s="95">
        <f t="shared" si="15"/>
        <v>91.766999999999996</v>
      </c>
      <c r="M30" s="88" t="s">
        <v>233</v>
      </c>
      <c r="N30" s="127">
        <f t="shared" si="4"/>
        <v>85.907000000000153</v>
      </c>
      <c r="O30" s="144">
        <f t="shared" si="5"/>
        <v>0</v>
      </c>
      <c r="P30" s="128">
        <f t="shared" si="6"/>
        <v>0</v>
      </c>
      <c r="Q30" s="144">
        <f t="shared" si="7"/>
        <v>0</v>
      </c>
      <c r="R30" s="144">
        <f t="shared" si="8"/>
        <v>0</v>
      </c>
      <c r="S30" s="144">
        <f t="shared" si="9"/>
        <v>85.907000000000153</v>
      </c>
    </row>
    <row r="31" spans="1:19" s="15" customFormat="1" ht="33" customHeight="1">
      <c r="A31" s="80">
        <v>20</v>
      </c>
      <c r="B31" s="129" t="s">
        <v>219</v>
      </c>
      <c r="C31" s="80" t="s">
        <v>40</v>
      </c>
      <c r="D31" s="95">
        <v>2800</v>
      </c>
      <c r="E31" s="95">
        <f t="shared" si="14"/>
        <v>63.707000000000001</v>
      </c>
      <c r="F31" s="95"/>
      <c r="G31" s="95">
        <v>63.707000000000001</v>
      </c>
      <c r="H31" s="95">
        <v>0</v>
      </c>
      <c r="I31" s="95">
        <v>2459.3130000000001</v>
      </c>
      <c r="J31" s="95">
        <f t="shared" si="16"/>
        <v>63.707000000000001</v>
      </c>
      <c r="K31" s="95">
        <v>2459.3130000000001</v>
      </c>
      <c r="L31" s="95">
        <f t="shared" si="15"/>
        <v>63.707000000000001</v>
      </c>
      <c r="M31" s="88" t="s">
        <v>233</v>
      </c>
      <c r="N31" s="127">
        <f t="shared" si="4"/>
        <v>340.6869999999999</v>
      </c>
      <c r="O31" s="144">
        <f t="shared" si="5"/>
        <v>0</v>
      </c>
      <c r="P31" s="128">
        <f t="shared" si="6"/>
        <v>0</v>
      </c>
      <c r="Q31" s="144">
        <f t="shared" si="7"/>
        <v>0</v>
      </c>
      <c r="R31" s="144">
        <f t="shared" si="8"/>
        <v>0</v>
      </c>
      <c r="S31" s="144">
        <f t="shared" si="9"/>
        <v>340.6869999999999</v>
      </c>
    </row>
    <row r="32" spans="1:19" s="15" customFormat="1" ht="33" customHeight="1">
      <c r="A32" s="80">
        <v>21</v>
      </c>
      <c r="B32" s="129" t="s">
        <v>220</v>
      </c>
      <c r="C32" s="80" t="s">
        <v>161</v>
      </c>
      <c r="D32" s="95">
        <v>2700</v>
      </c>
      <c r="E32" s="95">
        <f t="shared" si="14"/>
        <v>16.626000000000001</v>
      </c>
      <c r="F32" s="95"/>
      <c r="G32" s="95">
        <v>16.626000000000001</v>
      </c>
      <c r="H32" s="95">
        <v>0</v>
      </c>
      <c r="I32" s="95">
        <v>2424.5819999999999</v>
      </c>
      <c r="J32" s="95">
        <f t="shared" si="16"/>
        <v>16.626000000000001</v>
      </c>
      <c r="K32" s="95">
        <v>2424.5819999999999</v>
      </c>
      <c r="L32" s="95">
        <f t="shared" si="15"/>
        <v>16.626000000000001</v>
      </c>
      <c r="M32" s="88" t="s">
        <v>233</v>
      </c>
      <c r="N32" s="127">
        <f t="shared" si="4"/>
        <v>275.41800000000012</v>
      </c>
      <c r="O32" s="144">
        <f t="shared" si="5"/>
        <v>0</v>
      </c>
      <c r="P32" s="128">
        <f t="shared" si="6"/>
        <v>0</v>
      </c>
      <c r="Q32" s="144">
        <f t="shared" si="7"/>
        <v>0</v>
      </c>
      <c r="R32" s="144">
        <f t="shared" si="8"/>
        <v>0</v>
      </c>
      <c r="S32" s="144">
        <f t="shared" si="9"/>
        <v>275.41800000000012</v>
      </c>
    </row>
    <row r="33" spans="1:19" s="15" customFormat="1" ht="33" customHeight="1">
      <c r="A33" s="80">
        <v>22</v>
      </c>
      <c r="B33" s="129" t="s">
        <v>221</v>
      </c>
      <c r="C33" s="92" t="s">
        <v>38</v>
      </c>
      <c r="D33" s="95">
        <v>2800</v>
      </c>
      <c r="E33" s="95">
        <f t="shared" si="14"/>
        <v>84.075999999999993</v>
      </c>
      <c r="F33" s="95"/>
      <c r="G33" s="95">
        <v>84.075999999999993</v>
      </c>
      <c r="H33" s="95">
        <v>0</v>
      </c>
      <c r="I33" s="95">
        <v>2664.317</v>
      </c>
      <c r="J33" s="95">
        <f t="shared" si="16"/>
        <v>84.075999999999993</v>
      </c>
      <c r="K33" s="95">
        <v>2664.317</v>
      </c>
      <c r="L33" s="95">
        <f t="shared" si="15"/>
        <v>84.075999999999993</v>
      </c>
      <c r="M33" s="88" t="s">
        <v>233</v>
      </c>
      <c r="N33" s="127">
        <f t="shared" si="4"/>
        <v>135.68299999999999</v>
      </c>
      <c r="O33" s="144">
        <f t="shared" si="5"/>
        <v>0</v>
      </c>
      <c r="P33" s="128">
        <f t="shared" si="6"/>
        <v>0</v>
      </c>
      <c r="Q33" s="144">
        <f t="shared" si="7"/>
        <v>0</v>
      </c>
      <c r="R33" s="144">
        <f t="shared" si="8"/>
        <v>0</v>
      </c>
      <c r="S33" s="144">
        <f t="shared" si="9"/>
        <v>135.68299999999999</v>
      </c>
    </row>
    <row r="34" spans="1:19" s="15" customFormat="1" ht="33" customHeight="1">
      <c r="A34" s="80">
        <v>23</v>
      </c>
      <c r="B34" s="129" t="s">
        <v>222</v>
      </c>
      <c r="C34" s="80" t="s">
        <v>41</v>
      </c>
      <c r="D34" s="95">
        <v>2500</v>
      </c>
      <c r="E34" s="95">
        <f t="shared" si="14"/>
        <v>66.519000000000005</v>
      </c>
      <c r="F34" s="95"/>
      <c r="G34" s="95">
        <v>66.519000000000005</v>
      </c>
      <c r="H34" s="95">
        <v>0</v>
      </c>
      <c r="I34" s="95">
        <v>2322.7130000000002</v>
      </c>
      <c r="J34" s="95">
        <f t="shared" si="16"/>
        <v>66.519000000000005</v>
      </c>
      <c r="K34" s="95">
        <v>2322.7130000000002</v>
      </c>
      <c r="L34" s="95">
        <f t="shared" si="15"/>
        <v>66.519000000000005</v>
      </c>
      <c r="M34" s="88" t="s">
        <v>233</v>
      </c>
      <c r="N34" s="127">
        <f t="shared" si="4"/>
        <v>177.28699999999981</v>
      </c>
      <c r="O34" s="144">
        <f t="shared" si="5"/>
        <v>0</v>
      </c>
      <c r="P34" s="128">
        <f t="shared" si="6"/>
        <v>0</v>
      </c>
      <c r="Q34" s="144">
        <f t="shared" si="7"/>
        <v>0</v>
      </c>
      <c r="R34" s="144">
        <f t="shared" si="8"/>
        <v>0</v>
      </c>
      <c r="S34" s="144">
        <f t="shared" si="9"/>
        <v>177.28699999999981</v>
      </c>
    </row>
    <row r="35" spans="1:19" s="15" customFormat="1" ht="33" customHeight="1">
      <c r="A35" s="80">
        <v>24</v>
      </c>
      <c r="B35" s="129" t="s">
        <v>223</v>
      </c>
      <c r="C35" s="80" t="s">
        <v>108</v>
      </c>
      <c r="D35" s="95">
        <v>6500</v>
      </c>
      <c r="E35" s="95">
        <f t="shared" si="14"/>
        <v>11.436999999999999</v>
      </c>
      <c r="F35" s="95"/>
      <c r="G35" s="95">
        <v>11.436999999999999</v>
      </c>
      <c r="H35" s="95">
        <v>0</v>
      </c>
      <c r="I35" s="95">
        <v>6188.5630000000001</v>
      </c>
      <c r="J35" s="95"/>
      <c r="K35" s="95">
        <v>6188.5630000000001</v>
      </c>
      <c r="L35" s="95"/>
      <c r="M35" s="88" t="s">
        <v>238</v>
      </c>
      <c r="N35" s="127">
        <f t="shared" si="4"/>
        <v>311.4369999999999</v>
      </c>
      <c r="O35" s="144">
        <f t="shared" si="5"/>
        <v>11.436999999999999</v>
      </c>
      <c r="P35" s="128">
        <f t="shared" si="6"/>
        <v>0</v>
      </c>
      <c r="Q35" s="144">
        <f t="shared" si="7"/>
        <v>11.436999999999999</v>
      </c>
      <c r="R35" s="144">
        <f t="shared" si="8"/>
        <v>0</v>
      </c>
      <c r="S35" s="144">
        <f t="shared" si="9"/>
        <v>311.4369999999999</v>
      </c>
    </row>
    <row r="36" spans="1:19" s="15" customFormat="1" ht="33" customHeight="1">
      <c r="A36" s="80">
        <v>25</v>
      </c>
      <c r="B36" s="129" t="s">
        <v>224</v>
      </c>
      <c r="C36" s="80" t="s">
        <v>132</v>
      </c>
      <c r="D36" s="95">
        <v>1730</v>
      </c>
      <c r="E36" s="95">
        <f t="shared" si="14"/>
        <v>0.4</v>
      </c>
      <c r="F36" s="95"/>
      <c r="G36" s="95">
        <v>0.4</v>
      </c>
      <c r="H36" s="95">
        <v>0</v>
      </c>
      <c r="I36" s="95">
        <v>1654.0419999999999</v>
      </c>
      <c r="J36" s="95">
        <f>E36</f>
        <v>0.4</v>
      </c>
      <c r="K36" s="95">
        <v>1654.0419999999999</v>
      </c>
      <c r="L36" s="95">
        <f>E36</f>
        <v>0.4</v>
      </c>
      <c r="M36" s="88" t="s">
        <v>233</v>
      </c>
      <c r="N36" s="127">
        <f t="shared" si="4"/>
        <v>75.958000000000084</v>
      </c>
      <c r="O36" s="144">
        <f t="shared" si="5"/>
        <v>0</v>
      </c>
      <c r="P36" s="128">
        <f t="shared" si="6"/>
        <v>0</v>
      </c>
      <c r="Q36" s="144">
        <f t="shared" si="7"/>
        <v>0</v>
      </c>
      <c r="R36" s="144">
        <f t="shared" si="8"/>
        <v>0</v>
      </c>
      <c r="S36" s="144">
        <f t="shared" si="9"/>
        <v>75.958000000000084</v>
      </c>
    </row>
    <row r="37" spans="1:19" s="15" customFormat="1" ht="33" customHeight="1">
      <c r="A37" s="91">
        <v>26</v>
      </c>
      <c r="B37" s="130" t="s">
        <v>225</v>
      </c>
      <c r="C37" s="91" t="s">
        <v>42</v>
      </c>
      <c r="D37" s="96">
        <v>5000</v>
      </c>
      <c r="E37" s="95">
        <f t="shared" si="14"/>
        <v>244.36099999999999</v>
      </c>
      <c r="F37" s="96"/>
      <c r="G37" s="96">
        <v>244.36099999999999</v>
      </c>
      <c r="H37" s="96">
        <v>0</v>
      </c>
      <c r="I37" s="96">
        <v>4912.0060000000003</v>
      </c>
      <c r="J37" s="96">
        <f>E37</f>
        <v>244.36099999999999</v>
      </c>
      <c r="K37" s="96">
        <v>4912.0060000000003</v>
      </c>
      <c r="L37" s="95">
        <f>E37</f>
        <v>244.36099999999999</v>
      </c>
      <c r="M37" s="88" t="s">
        <v>233</v>
      </c>
      <c r="N37" s="127">
        <f t="shared" si="4"/>
        <v>87.993999999999687</v>
      </c>
      <c r="O37" s="144">
        <f t="shared" si="5"/>
        <v>0</v>
      </c>
      <c r="P37" s="128">
        <f t="shared" si="6"/>
        <v>0</v>
      </c>
      <c r="Q37" s="144">
        <f t="shared" si="7"/>
        <v>0</v>
      </c>
      <c r="R37" s="144">
        <f t="shared" si="8"/>
        <v>0</v>
      </c>
      <c r="S37" s="144">
        <f t="shared" si="9"/>
        <v>87.993999999999687</v>
      </c>
    </row>
    <row r="38" spans="1:19" s="15" customFormat="1" ht="33" customHeight="1">
      <c r="A38" s="131" t="s">
        <v>46</v>
      </c>
      <c r="B38" s="23" t="s">
        <v>232</v>
      </c>
      <c r="C38" s="20"/>
      <c r="D38" s="117">
        <f t="shared" ref="D38:L38" si="17">D39</f>
        <v>13100</v>
      </c>
      <c r="E38" s="117">
        <f>F38+G38</f>
        <v>9300</v>
      </c>
      <c r="F38" s="117">
        <f>F39</f>
        <v>9300</v>
      </c>
      <c r="G38" s="117"/>
      <c r="H38" s="117">
        <f t="shared" si="17"/>
        <v>3070</v>
      </c>
      <c r="I38" s="117">
        <f t="shared" si="17"/>
        <v>3070</v>
      </c>
      <c r="J38" s="117">
        <f t="shared" si="17"/>
        <v>4170</v>
      </c>
      <c r="K38" s="117">
        <f t="shared" si="17"/>
        <v>4170</v>
      </c>
      <c r="L38" s="117">
        <f t="shared" si="17"/>
        <v>9300</v>
      </c>
      <c r="M38" s="19"/>
      <c r="N38" s="127">
        <f t="shared" si="4"/>
        <v>8930</v>
      </c>
      <c r="O38" s="144">
        <f t="shared" si="5"/>
        <v>5130</v>
      </c>
      <c r="P38" s="128">
        <f t="shared" si="6"/>
        <v>-1100</v>
      </c>
      <c r="Q38" s="144">
        <f t="shared" si="7"/>
        <v>0</v>
      </c>
      <c r="R38" s="144">
        <f t="shared" si="8"/>
        <v>5130</v>
      </c>
      <c r="S38" s="144">
        <f t="shared" si="9"/>
        <v>3800</v>
      </c>
    </row>
    <row r="39" spans="1:19" s="15" customFormat="1">
      <c r="A39" s="21" t="s">
        <v>28</v>
      </c>
      <c r="B39" s="111" t="s">
        <v>121</v>
      </c>
      <c r="C39" s="20"/>
      <c r="D39" s="117">
        <f t="shared" ref="D39:K39" si="18">SUM(D40:D45)</f>
        <v>13100</v>
      </c>
      <c r="E39" s="117">
        <f>F39+G39</f>
        <v>9300</v>
      </c>
      <c r="F39" s="117">
        <f t="shared" si="18"/>
        <v>9300</v>
      </c>
      <c r="G39" s="117"/>
      <c r="H39" s="117">
        <f t="shared" si="18"/>
        <v>3070</v>
      </c>
      <c r="I39" s="117">
        <f t="shared" si="18"/>
        <v>3070</v>
      </c>
      <c r="J39" s="117">
        <f t="shared" si="18"/>
        <v>4170</v>
      </c>
      <c r="K39" s="117">
        <f t="shared" si="18"/>
        <v>4170</v>
      </c>
      <c r="L39" s="117">
        <f t="shared" ref="L39" si="19">SUM(L40:L45)</f>
        <v>9300</v>
      </c>
      <c r="M39" s="19"/>
      <c r="N39" s="127">
        <f t="shared" si="4"/>
        <v>8930</v>
      </c>
      <c r="O39" s="144">
        <f t="shared" si="5"/>
        <v>5130</v>
      </c>
      <c r="P39" s="128">
        <f>+I39-K39</f>
        <v>-1100</v>
      </c>
      <c r="Q39" s="144">
        <f t="shared" si="7"/>
        <v>0</v>
      </c>
      <c r="R39" s="144">
        <f t="shared" si="8"/>
        <v>5130</v>
      </c>
      <c r="S39" s="144">
        <f t="shared" si="9"/>
        <v>3800</v>
      </c>
    </row>
    <row r="40" spans="1:19" s="15" customFormat="1" ht="46.8">
      <c r="A40" s="48">
        <v>1</v>
      </c>
      <c r="B40" s="87" t="s">
        <v>122</v>
      </c>
      <c r="C40" s="20" t="s">
        <v>201</v>
      </c>
      <c r="D40" s="99">
        <v>1500</v>
      </c>
      <c r="E40" s="95">
        <f t="shared" ref="E40:E45" si="20">F40+G40</f>
        <v>1200</v>
      </c>
      <c r="F40" s="99">
        <v>1200</v>
      </c>
      <c r="G40" s="99"/>
      <c r="H40" s="99">
        <v>470</v>
      </c>
      <c r="I40" s="99">
        <v>470</v>
      </c>
      <c r="J40" s="99">
        <v>470</v>
      </c>
      <c r="K40" s="99">
        <v>470</v>
      </c>
      <c r="L40" s="99">
        <f t="shared" ref="L40:L45" si="21">E40</f>
        <v>1200</v>
      </c>
      <c r="M40" s="19"/>
      <c r="N40" s="127">
        <f t="shared" si="4"/>
        <v>1030</v>
      </c>
      <c r="O40" s="144">
        <f t="shared" si="5"/>
        <v>730</v>
      </c>
      <c r="P40" s="128">
        <f t="shared" si="6"/>
        <v>0</v>
      </c>
      <c r="Q40" s="144">
        <f t="shared" si="7"/>
        <v>0</v>
      </c>
      <c r="R40" s="144">
        <f t="shared" si="8"/>
        <v>730</v>
      </c>
      <c r="S40" s="144">
        <f t="shared" si="9"/>
        <v>300</v>
      </c>
    </row>
    <row r="41" spans="1:19" s="15" customFormat="1" ht="24.75" customHeight="1">
      <c r="A41" s="48">
        <v>2</v>
      </c>
      <c r="B41" s="87" t="s">
        <v>123</v>
      </c>
      <c r="C41" s="20" t="s">
        <v>128</v>
      </c>
      <c r="D41" s="99">
        <v>1500</v>
      </c>
      <c r="E41" s="95">
        <f t="shared" si="20"/>
        <v>1200</v>
      </c>
      <c r="F41" s="99">
        <v>1200</v>
      </c>
      <c r="G41" s="99"/>
      <c r="H41" s="99">
        <v>450</v>
      </c>
      <c r="I41" s="99">
        <v>450</v>
      </c>
      <c r="J41" s="99">
        <v>450</v>
      </c>
      <c r="K41" s="99">
        <f t="shared" ref="K41:K44" si="22">J41</f>
        <v>450</v>
      </c>
      <c r="L41" s="99">
        <f t="shared" si="21"/>
        <v>1200</v>
      </c>
      <c r="M41" s="19"/>
      <c r="N41" s="127">
        <f t="shared" si="4"/>
        <v>1050</v>
      </c>
      <c r="O41" s="144">
        <f t="shared" si="5"/>
        <v>750</v>
      </c>
      <c r="P41" s="128">
        <f t="shared" si="6"/>
        <v>0</v>
      </c>
      <c r="Q41" s="144">
        <f t="shared" si="7"/>
        <v>0</v>
      </c>
      <c r="R41" s="144">
        <f t="shared" si="8"/>
        <v>750</v>
      </c>
      <c r="S41" s="144">
        <f t="shared" si="9"/>
        <v>300</v>
      </c>
    </row>
    <row r="42" spans="1:19" s="15" customFormat="1" ht="31.2">
      <c r="A42" s="48">
        <v>3</v>
      </c>
      <c r="B42" s="87" t="s">
        <v>124</v>
      </c>
      <c r="C42" s="20" t="s">
        <v>174</v>
      </c>
      <c r="D42" s="99">
        <v>1500</v>
      </c>
      <c r="E42" s="95">
        <f t="shared" si="20"/>
        <v>1000</v>
      </c>
      <c r="F42" s="99">
        <v>1000</v>
      </c>
      <c r="G42" s="99"/>
      <c r="H42" s="99">
        <v>400</v>
      </c>
      <c r="I42" s="99">
        <v>400</v>
      </c>
      <c r="J42" s="99">
        <v>400</v>
      </c>
      <c r="K42" s="99">
        <f t="shared" si="22"/>
        <v>400</v>
      </c>
      <c r="L42" s="99">
        <f t="shared" si="21"/>
        <v>1000</v>
      </c>
      <c r="M42" s="19"/>
      <c r="N42" s="127">
        <f t="shared" si="4"/>
        <v>1100</v>
      </c>
      <c r="O42" s="144">
        <f t="shared" si="5"/>
        <v>600</v>
      </c>
      <c r="P42" s="128">
        <f t="shared" si="6"/>
        <v>0</v>
      </c>
      <c r="Q42" s="144">
        <f t="shared" si="7"/>
        <v>0</v>
      </c>
      <c r="R42" s="144">
        <f t="shared" si="8"/>
        <v>600</v>
      </c>
      <c r="S42" s="144">
        <f t="shared" si="9"/>
        <v>500</v>
      </c>
    </row>
    <row r="43" spans="1:19" s="16" customFormat="1" ht="46.8">
      <c r="A43" s="48">
        <v>4</v>
      </c>
      <c r="B43" s="87" t="s">
        <v>125</v>
      </c>
      <c r="C43" s="20" t="s">
        <v>30</v>
      </c>
      <c r="D43" s="99">
        <v>100</v>
      </c>
      <c r="E43" s="95">
        <f t="shared" si="20"/>
        <v>100</v>
      </c>
      <c r="F43" s="99">
        <v>100</v>
      </c>
      <c r="G43" s="99"/>
      <c r="H43" s="99">
        <v>100</v>
      </c>
      <c r="I43" s="99">
        <v>100</v>
      </c>
      <c r="J43" s="99">
        <v>100</v>
      </c>
      <c r="K43" s="99">
        <f t="shared" si="22"/>
        <v>100</v>
      </c>
      <c r="L43" s="99">
        <f t="shared" si="21"/>
        <v>100</v>
      </c>
      <c r="M43" s="88"/>
      <c r="N43" s="127">
        <f t="shared" si="4"/>
        <v>0</v>
      </c>
      <c r="O43" s="144">
        <f t="shared" si="5"/>
        <v>0</v>
      </c>
      <c r="P43" s="128">
        <f t="shared" si="6"/>
        <v>0</v>
      </c>
      <c r="Q43" s="144">
        <f t="shared" si="7"/>
        <v>0</v>
      </c>
      <c r="R43" s="144">
        <f t="shared" si="8"/>
        <v>0</v>
      </c>
      <c r="S43" s="144">
        <f t="shared" si="9"/>
        <v>0</v>
      </c>
    </row>
    <row r="44" spans="1:19" s="16" customFormat="1" ht="27" customHeight="1">
      <c r="A44" s="48">
        <v>5</v>
      </c>
      <c r="B44" s="87" t="s">
        <v>126</v>
      </c>
      <c r="C44" s="20" t="s">
        <v>108</v>
      </c>
      <c r="D44" s="99">
        <v>5500</v>
      </c>
      <c r="E44" s="95">
        <f t="shared" si="20"/>
        <v>4000</v>
      </c>
      <c r="F44" s="99">
        <v>4000</v>
      </c>
      <c r="G44" s="99"/>
      <c r="H44" s="99">
        <v>900</v>
      </c>
      <c r="I44" s="150">
        <f>H44</f>
        <v>900</v>
      </c>
      <c r="J44" s="99">
        <v>2000</v>
      </c>
      <c r="K44" s="150">
        <f t="shared" si="22"/>
        <v>2000</v>
      </c>
      <c r="L44" s="99">
        <f t="shared" si="21"/>
        <v>4000</v>
      </c>
      <c r="M44" s="112"/>
      <c r="N44" s="127">
        <f t="shared" si="4"/>
        <v>3500</v>
      </c>
      <c r="O44" s="144">
        <f t="shared" si="5"/>
        <v>2000</v>
      </c>
      <c r="P44" s="145">
        <f t="shared" si="6"/>
        <v>-1100</v>
      </c>
      <c r="Q44" s="144">
        <f t="shared" si="7"/>
        <v>0</v>
      </c>
      <c r="R44" s="144">
        <f t="shared" si="8"/>
        <v>2000</v>
      </c>
      <c r="S44" s="144">
        <f t="shared" si="9"/>
        <v>1500</v>
      </c>
    </row>
    <row r="45" spans="1:19" s="16" customFormat="1" ht="27.75" customHeight="1">
      <c r="A45" s="48">
        <v>6</v>
      </c>
      <c r="B45" s="87" t="s">
        <v>127</v>
      </c>
      <c r="C45" s="80" t="s">
        <v>128</v>
      </c>
      <c r="D45" s="99">
        <v>3000</v>
      </c>
      <c r="E45" s="95">
        <f t="shared" si="20"/>
        <v>1800</v>
      </c>
      <c r="F45" s="99">
        <v>1800</v>
      </c>
      <c r="G45" s="99"/>
      <c r="H45" s="99">
        <v>750</v>
      </c>
      <c r="I45" s="99">
        <f>H45</f>
        <v>750</v>
      </c>
      <c r="J45" s="99">
        <v>750</v>
      </c>
      <c r="K45" s="99">
        <v>750</v>
      </c>
      <c r="L45" s="99">
        <f t="shared" si="21"/>
        <v>1800</v>
      </c>
      <c r="M45" s="112"/>
      <c r="N45" s="127">
        <f t="shared" si="4"/>
        <v>2250</v>
      </c>
      <c r="O45" s="144">
        <f t="shared" si="5"/>
        <v>1050</v>
      </c>
      <c r="P45" s="128">
        <f t="shared" si="6"/>
        <v>0</v>
      </c>
      <c r="Q45" s="144">
        <f t="shared" si="7"/>
        <v>0</v>
      </c>
      <c r="R45" s="144">
        <f t="shared" si="8"/>
        <v>1050</v>
      </c>
      <c r="S45" s="144">
        <f t="shared" si="9"/>
        <v>1200</v>
      </c>
    </row>
    <row r="46" spans="1:19" s="16" customFormat="1" ht="23.25" customHeight="1">
      <c r="A46" s="17" t="s">
        <v>129</v>
      </c>
      <c r="B46" s="18" t="s">
        <v>130</v>
      </c>
      <c r="C46" s="20"/>
      <c r="D46" s="117">
        <f t="shared" ref="D46:L46" si="23">D47</f>
        <v>40850</v>
      </c>
      <c r="E46" s="117">
        <f>F46+G46</f>
        <v>7393.8680000000004</v>
      </c>
      <c r="F46" s="117">
        <f>F47</f>
        <v>7300</v>
      </c>
      <c r="G46" s="117">
        <f>G47</f>
        <v>93.867999999999995</v>
      </c>
      <c r="H46" s="117">
        <f t="shared" si="23"/>
        <v>5712.5460000000003</v>
      </c>
      <c r="I46" s="117">
        <f t="shared" si="23"/>
        <v>38784.251000000004</v>
      </c>
      <c r="J46" s="117">
        <f t="shared" si="23"/>
        <v>6499.6010000000006</v>
      </c>
      <c r="K46" s="117">
        <f t="shared" si="23"/>
        <v>36951.786</v>
      </c>
      <c r="L46" s="117">
        <f t="shared" si="23"/>
        <v>7393.8680000000004</v>
      </c>
      <c r="M46" s="88"/>
      <c r="N46" s="127">
        <f t="shared" si="4"/>
        <v>3898.2139999999999</v>
      </c>
      <c r="O46" s="144">
        <f t="shared" si="5"/>
        <v>894.26699999999983</v>
      </c>
      <c r="P46" s="128">
        <f t="shared" si="6"/>
        <v>1832.4650000000038</v>
      </c>
      <c r="Q46" s="144">
        <f t="shared" si="7"/>
        <v>0</v>
      </c>
      <c r="R46" s="144">
        <f t="shared" si="8"/>
        <v>894.26699999999983</v>
      </c>
      <c r="S46" s="144">
        <f t="shared" si="9"/>
        <v>3003.9470000000001</v>
      </c>
    </row>
    <row r="47" spans="1:19" s="16" customFormat="1" ht="23.25" customHeight="1">
      <c r="A47" s="17" t="s">
        <v>23</v>
      </c>
      <c r="B47" s="18" t="s">
        <v>231</v>
      </c>
      <c r="C47" s="20"/>
      <c r="D47" s="117">
        <f t="shared" ref="D47:K47" si="24">SUM(D49:D59)</f>
        <v>40850</v>
      </c>
      <c r="E47" s="117">
        <f>F47+G47</f>
        <v>7393.8680000000004</v>
      </c>
      <c r="F47" s="117">
        <f>F48</f>
        <v>7300</v>
      </c>
      <c r="G47" s="117">
        <f>G48</f>
        <v>93.867999999999995</v>
      </c>
      <c r="H47" s="117">
        <f t="shared" si="24"/>
        <v>5712.5460000000003</v>
      </c>
      <c r="I47" s="117">
        <f t="shared" si="24"/>
        <v>38784.251000000004</v>
      </c>
      <c r="J47" s="117">
        <f t="shared" si="24"/>
        <v>6499.6010000000006</v>
      </c>
      <c r="K47" s="117">
        <f t="shared" si="24"/>
        <v>36951.786</v>
      </c>
      <c r="L47" s="117">
        <f t="shared" ref="L47" si="25">SUM(L49:L59)</f>
        <v>7393.8680000000004</v>
      </c>
      <c r="M47" s="124"/>
      <c r="N47" s="127">
        <f t="shared" si="4"/>
        <v>3898.2139999999999</v>
      </c>
      <c r="O47" s="144">
        <f t="shared" si="5"/>
        <v>894.26699999999983</v>
      </c>
      <c r="P47" s="128">
        <f t="shared" si="6"/>
        <v>1832.4650000000038</v>
      </c>
      <c r="Q47" s="144">
        <f t="shared" si="7"/>
        <v>0</v>
      </c>
      <c r="R47" s="144">
        <f t="shared" si="8"/>
        <v>894.26699999999983</v>
      </c>
      <c r="S47" s="144">
        <f t="shared" si="9"/>
        <v>3003.9470000000001</v>
      </c>
    </row>
    <row r="48" spans="1:19" s="16" customFormat="1" ht="23.25" customHeight="1">
      <c r="A48" s="20" t="s">
        <v>28</v>
      </c>
      <c r="B48" s="18" t="s">
        <v>100</v>
      </c>
      <c r="C48" s="20"/>
      <c r="D48" s="117">
        <f t="shared" ref="D48:K48" si="26">SUM(D49:D59)</f>
        <v>40850</v>
      </c>
      <c r="E48" s="117">
        <f>F48+G48</f>
        <v>7393.8680000000004</v>
      </c>
      <c r="F48" s="117">
        <f t="shared" si="26"/>
        <v>7300</v>
      </c>
      <c r="G48" s="117">
        <f t="shared" si="26"/>
        <v>93.867999999999995</v>
      </c>
      <c r="H48" s="117">
        <f t="shared" si="26"/>
        <v>5712.5460000000003</v>
      </c>
      <c r="I48" s="117">
        <f t="shared" si="26"/>
        <v>38784.251000000004</v>
      </c>
      <c r="J48" s="117">
        <f t="shared" si="26"/>
        <v>6499.6010000000006</v>
      </c>
      <c r="K48" s="117">
        <f t="shared" si="26"/>
        <v>36951.786</v>
      </c>
      <c r="L48" s="117">
        <f t="shared" ref="L48" si="27">SUM(L49:L59)</f>
        <v>7393.8680000000004</v>
      </c>
      <c r="M48" s="116"/>
      <c r="N48" s="127">
        <f t="shared" si="4"/>
        <v>3898.2139999999999</v>
      </c>
      <c r="O48" s="144">
        <f t="shared" si="5"/>
        <v>894.26699999999983</v>
      </c>
      <c r="P48" s="128">
        <f t="shared" si="6"/>
        <v>1832.4650000000038</v>
      </c>
      <c r="Q48" s="144">
        <f t="shared" si="7"/>
        <v>0</v>
      </c>
      <c r="R48" s="144">
        <f t="shared" si="8"/>
        <v>894.26699999999983</v>
      </c>
      <c r="S48" s="144">
        <f t="shared" si="9"/>
        <v>3003.9470000000001</v>
      </c>
    </row>
    <row r="49" spans="1:19" s="15" customFormat="1" ht="30" customHeight="1">
      <c r="A49" s="80">
        <v>1</v>
      </c>
      <c r="B49" s="87" t="s">
        <v>131</v>
      </c>
      <c r="C49" s="80" t="s">
        <v>132</v>
      </c>
      <c r="D49" s="98">
        <v>3000</v>
      </c>
      <c r="E49" s="99">
        <f>F49+G49</f>
        <v>1300</v>
      </c>
      <c r="F49" s="99">
        <v>1300</v>
      </c>
      <c r="G49" s="99"/>
      <c r="H49" s="99">
        <v>1344.9639999999999</v>
      </c>
      <c r="I49" s="99">
        <f>1272.236+H49</f>
        <v>2617.1999999999998</v>
      </c>
      <c r="J49" s="99">
        <v>500</v>
      </c>
      <c r="K49" s="99">
        <f>1272.236+J49</f>
        <v>1772.2360000000001</v>
      </c>
      <c r="L49" s="99">
        <f t="shared" ref="L49:L59" si="28">E49</f>
        <v>1300</v>
      </c>
      <c r="M49" s="88" t="s">
        <v>241</v>
      </c>
      <c r="N49" s="127">
        <f t="shared" si="4"/>
        <v>1227.7639999999999</v>
      </c>
      <c r="O49" s="144">
        <f t="shared" si="5"/>
        <v>800</v>
      </c>
      <c r="P49" s="128">
        <f t="shared" si="6"/>
        <v>844.96399999999971</v>
      </c>
      <c r="Q49" s="144">
        <f t="shared" si="7"/>
        <v>0</v>
      </c>
      <c r="R49" s="144">
        <f t="shared" si="8"/>
        <v>800</v>
      </c>
      <c r="S49" s="144">
        <f t="shared" si="9"/>
        <v>427.7639999999999</v>
      </c>
    </row>
    <row r="50" spans="1:19" s="15" customFormat="1" ht="23.25" customHeight="1">
      <c r="A50" s="80">
        <v>2</v>
      </c>
      <c r="B50" s="87" t="s">
        <v>133</v>
      </c>
      <c r="C50" s="80" t="s">
        <v>41</v>
      </c>
      <c r="D50" s="98">
        <v>2500</v>
      </c>
      <c r="E50" s="99">
        <f t="shared" ref="E50:E59" si="29">F50+G50</f>
        <v>1050</v>
      </c>
      <c r="F50" s="99">
        <v>1050</v>
      </c>
      <c r="G50" s="99"/>
      <c r="H50" s="99">
        <v>0</v>
      </c>
      <c r="I50" s="99">
        <v>2050</v>
      </c>
      <c r="J50" s="99">
        <v>1050</v>
      </c>
      <c r="K50" s="99">
        <v>2050</v>
      </c>
      <c r="L50" s="99">
        <f t="shared" si="28"/>
        <v>1050</v>
      </c>
      <c r="M50" s="88" t="s">
        <v>233</v>
      </c>
      <c r="N50" s="127">
        <f t="shared" si="4"/>
        <v>450</v>
      </c>
      <c r="O50" s="144">
        <f t="shared" si="5"/>
        <v>0</v>
      </c>
      <c r="P50" s="128">
        <f t="shared" si="6"/>
        <v>0</v>
      </c>
      <c r="Q50" s="144">
        <f t="shared" si="7"/>
        <v>0</v>
      </c>
      <c r="R50" s="144">
        <f t="shared" si="8"/>
        <v>0</v>
      </c>
      <c r="S50" s="144">
        <f t="shared" si="9"/>
        <v>450</v>
      </c>
    </row>
    <row r="51" spans="1:19" s="15" customFormat="1" ht="31.5" customHeight="1">
      <c r="A51" s="80">
        <v>3</v>
      </c>
      <c r="B51" s="87" t="s">
        <v>134</v>
      </c>
      <c r="C51" s="80" t="s">
        <v>41</v>
      </c>
      <c r="D51" s="98">
        <v>1250</v>
      </c>
      <c r="E51" s="99">
        <f t="shared" si="29"/>
        <v>450</v>
      </c>
      <c r="F51" s="99">
        <v>450</v>
      </c>
      <c r="G51" s="99"/>
      <c r="H51" s="99">
        <v>0</v>
      </c>
      <c r="I51" s="99">
        <f>1150.825-7.125</f>
        <v>1143.7</v>
      </c>
      <c r="J51" s="99">
        <v>415.69200000000001</v>
      </c>
      <c r="K51" s="99">
        <v>1143.7</v>
      </c>
      <c r="L51" s="99">
        <f t="shared" si="28"/>
        <v>450</v>
      </c>
      <c r="M51" s="88" t="s">
        <v>236</v>
      </c>
      <c r="N51" s="127">
        <f t="shared" si="4"/>
        <v>106.29999999999995</v>
      </c>
      <c r="O51" s="144">
        <f t="shared" si="5"/>
        <v>34.307999999999993</v>
      </c>
      <c r="P51" s="128">
        <f t="shared" si="6"/>
        <v>0</v>
      </c>
      <c r="Q51" s="144">
        <f t="shared" si="7"/>
        <v>0</v>
      </c>
      <c r="R51" s="144">
        <f t="shared" si="8"/>
        <v>34.307999999999993</v>
      </c>
      <c r="S51" s="144">
        <f t="shared" si="9"/>
        <v>71.991999999999962</v>
      </c>
    </row>
    <row r="52" spans="1:19" s="15" customFormat="1" ht="31.5" customHeight="1">
      <c r="A52" s="80">
        <v>4</v>
      </c>
      <c r="B52" s="87" t="s">
        <v>135</v>
      </c>
      <c r="C52" s="80" t="s">
        <v>118</v>
      </c>
      <c r="D52" s="98">
        <v>3900</v>
      </c>
      <c r="E52" s="99">
        <f t="shared" si="29"/>
        <v>1500</v>
      </c>
      <c r="F52" s="99">
        <v>1500</v>
      </c>
      <c r="G52" s="99"/>
      <c r="H52" s="99">
        <v>0</v>
      </c>
      <c r="I52" s="99">
        <v>3842.46</v>
      </c>
      <c r="J52" s="99">
        <v>1500</v>
      </c>
      <c r="K52" s="99">
        <v>3500</v>
      </c>
      <c r="L52" s="99">
        <f t="shared" si="28"/>
        <v>1500</v>
      </c>
      <c r="M52" s="88" t="s">
        <v>233</v>
      </c>
      <c r="N52" s="127">
        <f t="shared" si="4"/>
        <v>400</v>
      </c>
      <c r="O52" s="144">
        <f t="shared" si="5"/>
        <v>0</v>
      </c>
      <c r="P52" s="128">
        <f t="shared" si="6"/>
        <v>342.46000000000004</v>
      </c>
      <c r="Q52" s="144">
        <f t="shared" si="7"/>
        <v>0</v>
      </c>
      <c r="R52" s="144">
        <f t="shared" si="8"/>
        <v>0</v>
      </c>
      <c r="S52" s="144">
        <f t="shared" si="9"/>
        <v>400</v>
      </c>
    </row>
    <row r="53" spans="1:19" s="15" customFormat="1" ht="31.2">
      <c r="A53" s="80">
        <v>5</v>
      </c>
      <c r="B53" s="87" t="s">
        <v>136</v>
      </c>
      <c r="C53" s="80" t="s">
        <v>41</v>
      </c>
      <c r="D53" s="98">
        <v>6000</v>
      </c>
      <c r="E53" s="99">
        <f t="shared" si="29"/>
        <v>500</v>
      </c>
      <c r="F53" s="99">
        <v>500</v>
      </c>
      <c r="G53" s="99"/>
      <c r="H53" s="99">
        <v>1307.5820000000001</v>
      </c>
      <c r="I53" s="99">
        <v>5750.5820000000003</v>
      </c>
      <c r="J53" s="99">
        <v>500</v>
      </c>
      <c r="K53" s="99">
        <v>5500</v>
      </c>
      <c r="L53" s="99">
        <f t="shared" si="28"/>
        <v>500</v>
      </c>
      <c r="M53" s="93" t="s">
        <v>198</v>
      </c>
      <c r="N53" s="127">
        <f t="shared" si="4"/>
        <v>500</v>
      </c>
      <c r="O53" s="144">
        <f t="shared" si="5"/>
        <v>0</v>
      </c>
      <c r="P53" s="128">
        <f t="shared" si="6"/>
        <v>250.58200000000033</v>
      </c>
      <c r="Q53" s="144">
        <f t="shared" si="7"/>
        <v>0</v>
      </c>
      <c r="R53" s="144">
        <f t="shared" si="8"/>
        <v>0</v>
      </c>
      <c r="S53" s="144">
        <f t="shared" si="9"/>
        <v>500</v>
      </c>
    </row>
    <row r="54" spans="1:19" s="15" customFormat="1" ht="31.2">
      <c r="A54" s="80">
        <v>6</v>
      </c>
      <c r="B54" s="87" t="s">
        <v>137</v>
      </c>
      <c r="C54" s="80" t="s">
        <v>118</v>
      </c>
      <c r="D54" s="98">
        <v>14950</v>
      </c>
      <c r="E54" s="99">
        <f t="shared" si="29"/>
        <v>2500</v>
      </c>
      <c r="F54" s="99">
        <v>2500</v>
      </c>
      <c r="G54" s="99"/>
      <c r="H54" s="99">
        <v>3060</v>
      </c>
      <c r="I54" s="99">
        <v>14834.5</v>
      </c>
      <c r="J54" s="99">
        <v>2440.0410000000002</v>
      </c>
      <c r="K54" s="99">
        <v>14440.040999999999</v>
      </c>
      <c r="L54" s="99">
        <f t="shared" si="28"/>
        <v>2500</v>
      </c>
      <c r="M54" s="93" t="s">
        <v>199</v>
      </c>
      <c r="N54" s="127">
        <f t="shared" si="4"/>
        <v>509.95900000000074</v>
      </c>
      <c r="O54" s="144">
        <f t="shared" si="5"/>
        <v>59.958999999999833</v>
      </c>
      <c r="P54" s="128">
        <f t="shared" si="6"/>
        <v>394.45900000000074</v>
      </c>
      <c r="Q54" s="144">
        <f t="shared" si="7"/>
        <v>0</v>
      </c>
      <c r="R54" s="144">
        <f t="shared" si="8"/>
        <v>59.958999999999833</v>
      </c>
      <c r="S54" s="144">
        <f t="shared" si="9"/>
        <v>450.00000000000091</v>
      </c>
    </row>
    <row r="55" spans="1:19" s="15" customFormat="1" ht="40.5" customHeight="1">
      <c r="A55" s="80">
        <v>7</v>
      </c>
      <c r="B55" s="87" t="s">
        <v>226</v>
      </c>
      <c r="C55" s="80" t="s">
        <v>40</v>
      </c>
      <c r="D55" s="98">
        <v>1350</v>
      </c>
      <c r="E55" s="99">
        <f t="shared" si="29"/>
        <v>7.6619999999999999</v>
      </c>
      <c r="F55" s="99"/>
      <c r="G55" s="99">
        <v>7.6619999999999999</v>
      </c>
      <c r="H55" s="99"/>
      <c r="I55" s="99">
        <v>1326.712</v>
      </c>
      <c r="J55" s="99">
        <f>E55</f>
        <v>7.6619999999999999</v>
      </c>
      <c r="K55" s="99">
        <f>I55</f>
        <v>1326.712</v>
      </c>
      <c r="L55" s="99">
        <f t="shared" si="28"/>
        <v>7.6619999999999999</v>
      </c>
      <c r="M55" s="120" t="s">
        <v>233</v>
      </c>
      <c r="N55" s="127">
        <f t="shared" si="4"/>
        <v>23.288000000000011</v>
      </c>
      <c r="O55" s="144">
        <f t="shared" si="5"/>
        <v>0</v>
      </c>
      <c r="P55" s="128">
        <f t="shared" si="6"/>
        <v>0</v>
      </c>
      <c r="Q55" s="144">
        <f t="shared" si="7"/>
        <v>0</v>
      </c>
      <c r="R55" s="144">
        <f t="shared" si="8"/>
        <v>0</v>
      </c>
      <c r="S55" s="144">
        <f t="shared" si="9"/>
        <v>23.288000000000011</v>
      </c>
    </row>
    <row r="56" spans="1:19" s="15" customFormat="1">
      <c r="A56" s="80">
        <v>8</v>
      </c>
      <c r="B56" s="87" t="s">
        <v>227</v>
      </c>
      <c r="C56" s="80" t="s">
        <v>41</v>
      </c>
      <c r="D56" s="98">
        <v>700</v>
      </c>
      <c r="E56" s="99">
        <f t="shared" si="29"/>
        <v>47.966000000000001</v>
      </c>
      <c r="F56" s="99"/>
      <c r="G56" s="99">
        <v>47.966000000000001</v>
      </c>
      <c r="H56" s="99"/>
      <c r="I56" s="99">
        <v>623.96600000000001</v>
      </c>
      <c r="J56" s="99">
        <f>E56</f>
        <v>47.966000000000001</v>
      </c>
      <c r="K56" s="99">
        <f>I56</f>
        <v>623.96600000000001</v>
      </c>
      <c r="L56" s="99">
        <f t="shared" si="28"/>
        <v>47.966000000000001</v>
      </c>
      <c r="M56" s="120" t="s">
        <v>233</v>
      </c>
      <c r="N56" s="127">
        <f t="shared" si="4"/>
        <v>76.033999999999992</v>
      </c>
      <c r="O56" s="144">
        <f t="shared" si="5"/>
        <v>0</v>
      </c>
      <c r="P56" s="128">
        <f t="shared" si="6"/>
        <v>0</v>
      </c>
      <c r="Q56" s="144">
        <f t="shared" si="7"/>
        <v>0</v>
      </c>
      <c r="R56" s="144">
        <f t="shared" si="8"/>
        <v>0</v>
      </c>
      <c r="S56" s="144">
        <f t="shared" si="9"/>
        <v>76.033999999999992</v>
      </c>
    </row>
    <row r="57" spans="1:19" s="15" customFormat="1">
      <c r="A57" s="80">
        <v>9</v>
      </c>
      <c r="B57" s="87" t="s">
        <v>228</v>
      </c>
      <c r="C57" s="80" t="s">
        <v>40</v>
      </c>
      <c r="D57" s="98">
        <v>2500</v>
      </c>
      <c r="E57" s="99">
        <f t="shared" si="29"/>
        <v>13.387</v>
      </c>
      <c r="F57" s="99"/>
      <c r="G57" s="99">
        <v>13.387</v>
      </c>
      <c r="H57" s="99"/>
      <c r="I57" s="99">
        <v>2314.83</v>
      </c>
      <c r="J57" s="99">
        <f>E57</f>
        <v>13.387</v>
      </c>
      <c r="K57" s="99">
        <f>I57</f>
        <v>2314.83</v>
      </c>
      <c r="L57" s="99">
        <f t="shared" si="28"/>
        <v>13.387</v>
      </c>
      <c r="M57" s="120" t="s">
        <v>233</v>
      </c>
      <c r="N57" s="127">
        <f t="shared" si="4"/>
        <v>185.17000000000007</v>
      </c>
      <c r="O57" s="144">
        <f t="shared" si="5"/>
        <v>0</v>
      </c>
      <c r="P57" s="128">
        <f t="shared" si="6"/>
        <v>0</v>
      </c>
      <c r="Q57" s="144">
        <f t="shared" si="7"/>
        <v>0</v>
      </c>
      <c r="R57" s="144">
        <f t="shared" si="8"/>
        <v>0</v>
      </c>
      <c r="S57" s="144">
        <f t="shared" si="9"/>
        <v>185.17000000000007</v>
      </c>
    </row>
    <row r="58" spans="1:19" s="15" customFormat="1">
      <c r="A58" s="80">
        <v>10</v>
      </c>
      <c r="B58" s="87" t="s">
        <v>229</v>
      </c>
      <c r="C58" s="80" t="s">
        <v>42</v>
      </c>
      <c r="D58" s="98">
        <v>2200</v>
      </c>
      <c r="E58" s="99">
        <f t="shared" si="29"/>
        <v>11.753</v>
      </c>
      <c r="F58" s="99"/>
      <c r="G58" s="99">
        <v>11.753</v>
      </c>
      <c r="H58" s="99"/>
      <c r="I58" s="99">
        <v>1977.2560000000001</v>
      </c>
      <c r="J58" s="99">
        <f>E58</f>
        <v>11.753</v>
      </c>
      <c r="K58" s="99">
        <f>I58</f>
        <v>1977.2560000000001</v>
      </c>
      <c r="L58" s="99">
        <f t="shared" si="28"/>
        <v>11.753</v>
      </c>
      <c r="M58" s="120" t="s">
        <v>233</v>
      </c>
      <c r="N58" s="127">
        <f t="shared" si="4"/>
        <v>222.74399999999991</v>
      </c>
      <c r="O58" s="144">
        <f t="shared" si="5"/>
        <v>0</v>
      </c>
      <c r="P58" s="128">
        <f t="shared" si="6"/>
        <v>0</v>
      </c>
      <c r="Q58" s="144">
        <f t="shared" si="7"/>
        <v>0</v>
      </c>
      <c r="R58" s="144">
        <f t="shared" si="8"/>
        <v>0</v>
      </c>
      <c r="S58" s="144">
        <f t="shared" si="9"/>
        <v>222.74399999999991</v>
      </c>
    </row>
    <row r="59" spans="1:19" s="15" customFormat="1">
      <c r="A59" s="80">
        <v>11</v>
      </c>
      <c r="B59" s="87" t="s">
        <v>230</v>
      </c>
      <c r="C59" s="80" t="s">
        <v>40</v>
      </c>
      <c r="D59" s="98">
        <v>2500</v>
      </c>
      <c r="E59" s="99">
        <f t="shared" si="29"/>
        <v>13.1</v>
      </c>
      <c r="F59" s="99"/>
      <c r="G59" s="99">
        <v>13.1</v>
      </c>
      <c r="H59" s="99"/>
      <c r="I59" s="99">
        <v>2303.0450000000001</v>
      </c>
      <c r="J59" s="99">
        <f>E59</f>
        <v>13.1</v>
      </c>
      <c r="K59" s="99">
        <f>I59</f>
        <v>2303.0450000000001</v>
      </c>
      <c r="L59" s="99">
        <f t="shared" si="28"/>
        <v>13.1</v>
      </c>
      <c r="M59" s="120" t="s">
        <v>233</v>
      </c>
      <c r="N59" s="127">
        <f t="shared" si="4"/>
        <v>196.95499999999993</v>
      </c>
      <c r="O59" s="144">
        <f t="shared" si="5"/>
        <v>0</v>
      </c>
      <c r="P59" s="128">
        <f t="shared" si="6"/>
        <v>0</v>
      </c>
      <c r="Q59" s="144">
        <f t="shared" si="7"/>
        <v>0</v>
      </c>
      <c r="R59" s="144">
        <f t="shared" si="8"/>
        <v>0</v>
      </c>
      <c r="S59" s="144">
        <f t="shared" si="9"/>
        <v>196.95499999999993</v>
      </c>
    </row>
    <row r="60" spans="1:19" s="15" customFormat="1" ht="27" hidden="1" customHeight="1">
      <c r="A60" s="17" t="s">
        <v>28</v>
      </c>
      <c r="B60" s="23" t="s">
        <v>66</v>
      </c>
      <c r="C60" s="20"/>
      <c r="D60" s="121">
        <f>SUM(D61:D62)</f>
        <v>0</v>
      </c>
      <c r="E60" s="121">
        <f>SUM(E61:E62)</f>
        <v>0</v>
      </c>
      <c r="F60" s="121"/>
      <c r="G60" s="121"/>
      <c r="H60" s="122"/>
      <c r="I60" s="121"/>
      <c r="J60" s="122"/>
      <c r="K60" s="122"/>
      <c r="L60" s="122"/>
      <c r="M60" s="18"/>
      <c r="N60" s="127">
        <f t="shared" si="4"/>
        <v>0</v>
      </c>
      <c r="O60" s="144">
        <f t="shared" si="5"/>
        <v>0</v>
      </c>
      <c r="P60" s="128">
        <f t="shared" si="6"/>
        <v>0</v>
      </c>
      <c r="Q60" s="144">
        <f t="shared" si="7"/>
        <v>0</v>
      </c>
      <c r="R60" s="144">
        <f t="shared" si="8"/>
        <v>0</v>
      </c>
      <c r="S60" s="144">
        <f t="shared" si="9"/>
        <v>0</v>
      </c>
    </row>
    <row r="61" spans="1:19" s="16" customFormat="1" ht="27" hidden="1" customHeight="1">
      <c r="A61" s="80"/>
      <c r="B61" s="111" t="s">
        <v>121</v>
      </c>
      <c r="C61" s="20"/>
      <c r="D61" s="99"/>
      <c r="E61" s="99"/>
      <c r="F61" s="99"/>
      <c r="G61" s="99"/>
      <c r="H61" s="123"/>
      <c r="I61" s="99"/>
      <c r="J61" s="123"/>
      <c r="K61" s="123"/>
      <c r="L61" s="123"/>
      <c r="M61" s="116"/>
      <c r="N61" s="127">
        <f t="shared" si="4"/>
        <v>0</v>
      </c>
      <c r="O61" s="144">
        <f t="shared" si="5"/>
        <v>0</v>
      </c>
      <c r="P61" s="128">
        <f t="shared" si="6"/>
        <v>0</v>
      </c>
      <c r="Q61" s="144">
        <f t="shared" si="7"/>
        <v>0</v>
      </c>
      <c r="R61" s="144">
        <f t="shared" si="8"/>
        <v>0</v>
      </c>
      <c r="S61" s="144">
        <f t="shared" si="9"/>
        <v>0</v>
      </c>
    </row>
    <row r="62" spans="1:19" s="16" customFormat="1" ht="27" hidden="1" customHeight="1">
      <c r="A62" s="80"/>
      <c r="B62" s="9"/>
      <c r="C62" s="80"/>
      <c r="D62" s="99"/>
      <c r="E62" s="99"/>
      <c r="F62" s="99"/>
      <c r="G62" s="99"/>
      <c r="H62" s="123"/>
      <c r="I62" s="99"/>
      <c r="J62" s="123"/>
      <c r="K62" s="123"/>
      <c r="L62" s="123"/>
      <c r="M62" s="116"/>
      <c r="N62" s="127">
        <f t="shared" si="4"/>
        <v>0</v>
      </c>
      <c r="O62" s="144">
        <f t="shared" si="5"/>
        <v>0</v>
      </c>
      <c r="P62" s="128">
        <f t="shared" si="6"/>
        <v>0</v>
      </c>
      <c r="Q62" s="144">
        <f t="shared" si="7"/>
        <v>0</v>
      </c>
      <c r="R62" s="144">
        <f t="shared" si="8"/>
        <v>0</v>
      </c>
      <c r="S62" s="144">
        <f t="shared" si="9"/>
        <v>0</v>
      </c>
    </row>
    <row r="63" spans="1:19" s="16" customFormat="1" ht="27" customHeight="1">
      <c r="A63" s="17" t="s">
        <v>138</v>
      </c>
      <c r="B63" s="111" t="s">
        <v>139</v>
      </c>
      <c r="C63" s="111"/>
      <c r="D63" s="117">
        <f t="shared" ref="D63:K63" si="30">D64+D72</f>
        <v>36170</v>
      </c>
      <c r="E63" s="117">
        <f>F63+G63</f>
        <v>10544.198</v>
      </c>
      <c r="F63" s="117">
        <f t="shared" si="30"/>
        <v>10544.198</v>
      </c>
      <c r="G63" s="117"/>
      <c r="H63" s="117">
        <f t="shared" si="30"/>
        <v>3184.4260000000004</v>
      </c>
      <c r="I63" s="117">
        <f t="shared" si="30"/>
        <v>17133.188999999998</v>
      </c>
      <c r="J63" s="117">
        <f t="shared" si="30"/>
        <v>4611.2150000000001</v>
      </c>
      <c r="K63" s="117">
        <f t="shared" si="30"/>
        <v>15302.273000000001</v>
      </c>
      <c r="L63" s="117">
        <f t="shared" ref="L63" si="31">L64+L72</f>
        <v>10064.198</v>
      </c>
      <c r="M63" s="112"/>
      <c r="N63" s="127">
        <f t="shared" si="4"/>
        <v>20867.726999999999</v>
      </c>
      <c r="O63" s="144">
        <f t="shared" si="5"/>
        <v>5932.9830000000002</v>
      </c>
      <c r="P63" s="128">
        <f t="shared" si="6"/>
        <v>1830.9159999999974</v>
      </c>
      <c r="Q63" s="144">
        <f t="shared" si="7"/>
        <v>480</v>
      </c>
      <c r="R63" s="144">
        <f t="shared" si="8"/>
        <v>5452.9830000000002</v>
      </c>
      <c r="S63" s="144">
        <f t="shared" si="9"/>
        <v>15414.743999999999</v>
      </c>
    </row>
    <row r="64" spans="1:19" s="16" customFormat="1" ht="27" customHeight="1">
      <c r="A64" s="17" t="s">
        <v>23</v>
      </c>
      <c r="B64" s="18" t="s">
        <v>231</v>
      </c>
      <c r="C64" s="113"/>
      <c r="D64" s="117">
        <f t="shared" ref="D64:K64" si="32">SUM(D66:D71)</f>
        <v>27850</v>
      </c>
      <c r="E64" s="117">
        <f>F64+G64</f>
        <v>6177.1980000000003</v>
      </c>
      <c r="F64" s="117">
        <f>F65</f>
        <v>6177.1980000000003</v>
      </c>
      <c r="G64" s="117"/>
      <c r="H64" s="117">
        <f t="shared" si="32"/>
        <v>1885.432</v>
      </c>
      <c r="I64" s="117">
        <f t="shared" si="32"/>
        <v>15834.195</v>
      </c>
      <c r="J64" s="117">
        <f t="shared" si="32"/>
        <v>3312.221</v>
      </c>
      <c r="K64" s="117">
        <f t="shared" si="32"/>
        <v>14003.279</v>
      </c>
      <c r="L64" s="117">
        <f t="shared" ref="L64" si="33">SUM(L66:L71)</f>
        <v>6177.1980000000003</v>
      </c>
      <c r="M64" s="88"/>
      <c r="N64" s="127">
        <f t="shared" si="4"/>
        <v>13846.721</v>
      </c>
      <c r="O64" s="144">
        <f t="shared" si="5"/>
        <v>2864.9770000000003</v>
      </c>
      <c r="P64" s="128">
        <f t="shared" si="6"/>
        <v>1830.9159999999993</v>
      </c>
      <c r="Q64" s="144">
        <f t="shared" si="7"/>
        <v>0</v>
      </c>
      <c r="R64" s="144">
        <f t="shared" si="8"/>
        <v>2864.9770000000003</v>
      </c>
      <c r="S64" s="144">
        <f t="shared" si="9"/>
        <v>10981.743999999999</v>
      </c>
    </row>
    <row r="65" spans="1:19" s="15" customFormat="1" ht="27" customHeight="1">
      <c r="A65" s="114" t="s">
        <v>28</v>
      </c>
      <c r="B65" s="18" t="s">
        <v>100</v>
      </c>
      <c r="C65" s="115"/>
      <c r="D65" s="117">
        <f t="shared" ref="D65:K65" si="34">SUM(D66:D71)</f>
        <v>27850</v>
      </c>
      <c r="E65" s="117">
        <f>F65+G65</f>
        <v>6177.1980000000003</v>
      </c>
      <c r="F65" s="117">
        <f t="shared" si="34"/>
        <v>6177.1980000000003</v>
      </c>
      <c r="G65" s="117"/>
      <c r="H65" s="117">
        <f t="shared" si="34"/>
        <v>1885.432</v>
      </c>
      <c r="I65" s="117">
        <f t="shared" si="34"/>
        <v>15834.195</v>
      </c>
      <c r="J65" s="117">
        <f t="shared" si="34"/>
        <v>3312.221</v>
      </c>
      <c r="K65" s="117">
        <f t="shared" si="34"/>
        <v>14003.279</v>
      </c>
      <c r="L65" s="117">
        <f t="shared" ref="L65" si="35">SUM(L66:L71)</f>
        <v>6177.1980000000003</v>
      </c>
      <c r="M65" s="88"/>
      <c r="N65" s="127">
        <f t="shared" si="4"/>
        <v>13846.721</v>
      </c>
      <c r="O65" s="144">
        <f t="shared" si="5"/>
        <v>2864.9770000000003</v>
      </c>
      <c r="P65" s="128">
        <f t="shared" si="6"/>
        <v>1830.9159999999993</v>
      </c>
      <c r="Q65" s="144">
        <f t="shared" si="7"/>
        <v>0</v>
      </c>
      <c r="R65" s="144">
        <f t="shared" si="8"/>
        <v>2864.9770000000003</v>
      </c>
      <c r="S65" s="144">
        <f t="shared" si="9"/>
        <v>10981.743999999999</v>
      </c>
    </row>
    <row r="66" spans="1:19" s="15" customFormat="1" ht="27" customHeight="1">
      <c r="A66" s="80">
        <v>1</v>
      </c>
      <c r="B66" s="87" t="s">
        <v>140</v>
      </c>
      <c r="C66" s="80" t="s">
        <v>30</v>
      </c>
      <c r="D66" s="98">
        <v>9300</v>
      </c>
      <c r="E66" s="99">
        <f>F66+G66</f>
        <v>2000</v>
      </c>
      <c r="F66" s="99">
        <v>2000</v>
      </c>
      <c r="G66" s="99"/>
      <c r="H66" s="99">
        <v>250</v>
      </c>
      <c r="I66" s="99">
        <v>1000</v>
      </c>
      <c r="J66" s="99">
        <v>500</v>
      </c>
      <c r="K66" s="99">
        <f>J66+500</f>
        <v>1000</v>
      </c>
      <c r="L66" s="99">
        <f t="shared" ref="L66:L71" si="36">E66</f>
        <v>2000</v>
      </c>
      <c r="M66" s="88" t="s">
        <v>241</v>
      </c>
      <c r="N66" s="127">
        <f t="shared" si="4"/>
        <v>8300</v>
      </c>
      <c r="O66" s="144">
        <f t="shared" si="5"/>
        <v>1500</v>
      </c>
      <c r="P66" s="128">
        <f t="shared" si="6"/>
        <v>0</v>
      </c>
      <c r="Q66" s="144">
        <f t="shared" si="7"/>
        <v>0</v>
      </c>
      <c r="R66" s="144">
        <f t="shared" si="8"/>
        <v>1500</v>
      </c>
      <c r="S66" s="144">
        <f t="shared" si="9"/>
        <v>6800</v>
      </c>
    </row>
    <row r="67" spans="1:19" s="15" customFormat="1" ht="27" customHeight="1">
      <c r="A67" s="80">
        <v>2</v>
      </c>
      <c r="B67" s="87" t="s">
        <v>141</v>
      </c>
      <c r="C67" s="80" t="s">
        <v>30</v>
      </c>
      <c r="D67" s="95">
        <v>5000</v>
      </c>
      <c r="E67" s="99">
        <f t="shared" ref="E67:E71" si="37">F67+G67</f>
        <v>459.19799999999998</v>
      </c>
      <c r="F67" s="95">
        <v>459.19799999999998</v>
      </c>
      <c r="G67" s="95"/>
      <c r="H67" s="95">
        <v>0</v>
      </c>
      <c r="I67" s="95">
        <v>4643.6410000000005</v>
      </c>
      <c r="J67" s="95">
        <f>E67</f>
        <v>459.19799999999998</v>
      </c>
      <c r="K67" s="95">
        <f>4184.443+J67</f>
        <v>4643.6410000000005</v>
      </c>
      <c r="L67" s="99">
        <f t="shared" si="36"/>
        <v>459.19799999999998</v>
      </c>
      <c r="M67" s="118" t="s">
        <v>233</v>
      </c>
      <c r="N67" s="127">
        <f t="shared" si="4"/>
        <v>356.35899999999947</v>
      </c>
      <c r="O67" s="144">
        <f t="shared" si="5"/>
        <v>0</v>
      </c>
      <c r="P67" s="128">
        <f t="shared" si="6"/>
        <v>0</v>
      </c>
      <c r="Q67" s="144">
        <f t="shared" si="7"/>
        <v>0</v>
      </c>
      <c r="R67" s="144">
        <f t="shared" si="8"/>
        <v>0</v>
      </c>
      <c r="S67" s="144">
        <f t="shared" si="9"/>
        <v>356.35899999999947</v>
      </c>
    </row>
    <row r="68" spans="1:19" s="15" customFormat="1" ht="27" customHeight="1">
      <c r="A68" s="80">
        <v>3</v>
      </c>
      <c r="B68" s="87" t="s">
        <v>142</v>
      </c>
      <c r="C68" s="80" t="s">
        <v>30</v>
      </c>
      <c r="D68" s="98">
        <v>5300</v>
      </c>
      <c r="E68" s="99">
        <f t="shared" si="37"/>
        <v>2200</v>
      </c>
      <c r="F68" s="99">
        <v>2200</v>
      </c>
      <c r="G68" s="99"/>
      <c r="H68" s="99">
        <v>1500</v>
      </c>
      <c r="I68" s="99">
        <f>149.557+1976.548+86.023+749</f>
        <v>2961.1280000000002</v>
      </c>
      <c r="J68" s="99">
        <f>86.023+749</f>
        <v>835.02300000000002</v>
      </c>
      <c r="K68" s="99">
        <f>149.557+1976.548+J68</f>
        <v>2961.1280000000002</v>
      </c>
      <c r="L68" s="99">
        <f t="shared" si="36"/>
        <v>2200</v>
      </c>
      <c r="M68" s="88" t="s">
        <v>241</v>
      </c>
      <c r="N68" s="127">
        <f t="shared" si="4"/>
        <v>2338.8719999999998</v>
      </c>
      <c r="O68" s="144">
        <f t="shared" si="5"/>
        <v>1364.9769999999999</v>
      </c>
      <c r="P68" s="128">
        <f t="shared" si="6"/>
        <v>0</v>
      </c>
      <c r="Q68" s="144">
        <f t="shared" si="7"/>
        <v>0</v>
      </c>
      <c r="R68" s="144">
        <f t="shared" si="8"/>
        <v>1364.9769999999999</v>
      </c>
      <c r="S68" s="144">
        <f t="shared" si="9"/>
        <v>973.89499999999998</v>
      </c>
    </row>
    <row r="69" spans="1:19" s="15" customFormat="1" ht="32.25" customHeight="1">
      <c r="A69" s="80">
        <v>4</v>
      </c>
      <c r="B69" s="87" t="s">
        <v>143</v>
      </c>
      <c r="C69" s="80" t="s">
        <v>30</v>
      </c>
      <c r="D69" s="98">
        <v>3300</v>
      </c>
      <c r="E69" s="99">
        <f t="shared" si="37"/>
        <v>550</v>
      </c>
      <c r="F69" s="99">
        <v>550</v>
      </c>
      <c r="G69" s="99"/>
      <c r="H69" s="99">
        <v>64.108000000000004</v>
      </c>
      <c r="I69" s="99">
        <f>2545.167+160.689+6.929+6.714+2.847+3.48+88.229+0.313+1.22+1.22+64.108</f>
        <v>2880.9159999999997</v>
      </c>
      <c r="J69" s="99">
        <v>550</v>
      </c>
      <c r="K69" s="99">
        <v>1050</v>
      </c>
      <c r="L69" s="99">
        <f t="shared" si="36"/>
        <v>550</v>
      </c>
      <c r="M69" s="88" t="s">
        <v>241</v>
      </c>
      <c r="N69" s="127">
        <f t="shared" si="4"/>
        <v>2250</v>
      </c>
      <c r="O69" s="144">
        <f t="shared" si="5"/>
        <v>0</v>
      </c>
      <c r="P69" s="128">
        <f t="shared" si="6"/>
        <v>1830.9159999999997</v>
      </c>
      <c r="Q69" s="144">
        <f t="shared" si="7"/>
        <v>0</v>
      </c>
      <c r="R69" s="144">
        <f t="shared" si="8"/>
        <v>0</v>
      </c>
      <c r="S69" s="144">
        <f t="shared" si="9"/>
        <v>2250</v>
      </c>
    </row>
    <row r="70" spans="1:19" s="15" customFormat="1" ht="31.2">
      <c r="A70" s="80">
        <v>5</v>
      </c>
      <c r="B70" s="87" t="s">
        <v>144</v>
      </c>
      <c r="C70" s="10" t="s">
        <v>145</v>
      </c>
      <c r="D70" s="98">
        <v>3500</v>
      </c>
      <c r="E70" s="99">
        <f t="shared" si="37"/>
        <v>843</v>
      </c>
      <c r="F70" s="99">
        <v>843</v>
      </c>
      <c r="G70" s="99"/>
      <c r="H70" s="99">
        <v>71.323999999999998</v>
      </c>
      <c r="I70" s="99">
        <f>170.276+7.709+7.47+3.168+3.872+98.16+0.332+1.358+1.358+3106.697+71.324</f>
        <v>3471.7240000000002</v>
      </c>
      <c r="J70" s="99">
        <v>843</v>
      </c>
      <c r="K70" s="99">
        <v>3471.7240000000002</v>
      </c>
      <c r="L70" s="99">
        <f t="shared" si="36"/>
        <v>843</v>
      </c>
      <c r="M70" s="88" t="s">
        <v>233</v>
      </c>
      <c r="N70" s="127">
        <f t="shared" si="4"/>
        <v>28.27599999999984</v>
      </c>
      <c r="O70" s="144">
        <f t="shared" si="5"/>
        <v>0</v>
      </c>
      <c r="P70" s="128">
        <f t="shared" si="6"/>
        <v>0</v>
      </c>
      <c r="Q70" s="144">
        <f t="shared" si="7"/>
        <v>0</v>
      </c>
      <c r="R70" s="144">
        <f t="shared" si="8"/>
        <v>0</v>
      </c>
      <c r="S70" s="144">
        <f t="shared" si="9"/>
        <v>28.27599999999984</v>
      </c>
    </row>
    <row r="71" spans="1:19" s="15" customFormat="1" ht="22.5" customHeight="1">
      <c r="A71" s="80">
        <v>6</v>
      </c>
      <c r="B71" s="87" t="s">
        <v>146</v>
      </c>
      <c r="C71" s="80" t="s">
        <v>42</v>
      </c>
      <c r="D71" s="98">
        <v>1450</v>
      </c>
      <c r="E71" s="99">
        <f t="shared" si="37"/>
        <v>125</v>
      </c>
      <c r="F71" s="99">
        <v>125</v>
      </c>
      <c r="G71" s="99"/>
      <c r="H71" s="99"/>
      <c r="I71" s="99">
        <v>876.78599999999994</v>
      </c>
      <c r="J71" s="99">
        <v>125</v>
      </c>
      <c r="K71" s="99">
        <f>+J71+751.786</f>
        <v>876.78599999999994</v>
      </c>
      <c r="L71" s="99">
        <f t="shared" si="36"/>
        <v>125</v>
      </c>
      <c r="M71" s="88" t="s">
        <v>233</v>
      </c>
      <c r="N71" s="127">
        <f t="shared" si="4"/>
        <v>573.21400000000006</v>
      </c>
      <c r="O71" s="144">
        <f t="shared" si="5"/>
        <v>0</v>
      </c>
      <c r="P71" s="128">
        <f t="shared" si="6"/>
        <v>0</v>
      </c>
      <c r="Q71" s="144">
        <f t="shared" si="7"/>
        <v>0</v>
      </c>
      <c r="R71" s="144">
        <f t="shared" si="8"/>
        <v>0</v>
      </c>
      <c r="S71" s="144">
        <f t="shared" si="9"/>
        <v>573.21400000000006</v>
      </c>
    </row>
    <row r="72" spans="1:19" s="15" customFormat="1" ht="22.5" customHeight="1">
      <c r="A72" s="17" t="s">
        <v>46</v>
      </c>
      <c r="B72" s="23" t="s">
        <v>232</v>
      </c>
      <c r="C72" s="17"/>
      <c r="D72" s="117">
        <f t="shared" ref="D72:L72" si="38">SUM(D73:D73)</f>
        <v>8320</v>
      </c>
      <c r="E72" s="117">
        <f t="shared" si="38"/>
        <v>4367</v>
      </c>
      <c r="F72" s="117">
        <f t="shared" si="38"/>
        <v>4367</v>
      </c>
      <c r="G72" s="117"/>
      <c r="H72" s="117">
        <f t="shared" si="38"/>
        <v>1298.9940000000001</v>
      </c>
      <c r="I72" s="117">
        <f t="shared" si="38"/>
        <v>1298.9940000000001</v>
      </c>
      <c r="J72" s="117">
        <f t="shared" si="38"/>
        <v>1298.9940000000001</v>
      </c>
      <c r="K72" s="117">
        <f t="shared" si="38"/>
        <v>1298.9940000000001</v>
      </c>
      <c r="L72" s="117">
        <f t="shared" si="38"/>
        <v>3887</v>
      </c>
      <c r="M72" s="113"/>
      <c r="N72" s="127">
        <f t="shared" si="4"/>
        <v>7021.0059999999994</v>
      </c>
      <c r="O72" s="144">
        <f t="shared" si="5"/>
        <v>3068.0059999999999</v>
      </c>
      <c r="P72" s="128">
        <f t="shared" si="6"/>
        <v>0</v>
      </c>
      <c r="Q72" s="144">
        <f t="shared" si="7"/>
        <v>480</v>
      </c>
      <c r="R72" s="144">
        <f t="shared" si="8"/>
        <v>2588.0059999999999</v>
      </c>
      <c r="S72" s="144">
        <f t="shared" si="9"/>
        <v>4433</v>
      </c>
    </row>
    <row r="73" spans="1:19" s="15" customFormat="1" ht="22.5" customHeight="1">
      <c r="A73" s="48" t="s">
        <v>28</v>
      </c>
      <c r="B73" s="111" t="s">
        <v>121</v>
      </c>
      <c r="C73" s="49"/>
      <c r="D73" s="119">
        <f t="shared" ref="D73:K73" si="39">SUM(D74:D78)</f>
        <v>8320</v>
      </c>
      <c r="E73" s="119">
        <f>F73+G73</f>
        <v>4367</v>
      </c>
      <c r="F73" s="119">
        <f t="shared" si="39"/>
        <v>4367</v>
      </c>
      <c r="G73" s="119"/>
      <c r="H73" s="119">
        <f t="shared" si="39"/>
        <v>1298.9940000000001</v>
      </c>
      <c r="I73" s="119">
        <f t="shared" si="39"/>
        <v>1298.9940000000001</v>
      </c>
      <c r="J73" s="119">
        <f t="shared" si="39"/>
        <v>1298.9940000000001</v>
      </c>
      <c r="K73" s="119">
        <f t="shared" si="39"/>
        <v>1298.9940000000001</v>
      </c>
      <c r="L73" s="119">
        <f t="shared" ref="L73" si="40">SUM(L74:L78)</f>
        <v>3887</v>
      </c>
      <c r="M73" s="9"/>
      <c r="N73" s="127">
        <f t="shared" ref="N73:N83" si="41">+D73-K73</f>
        <v>7021.0059999999994</v>
      </c>
      <c r="O73" s="144">
        <f t="shared" ref="O73:O83" si="42">+E73-J73</f>
        <v>3068.0059999999999</v>
      </c>
      <c r="P73" s="128">
        <f t="shared" ref="P73:P83" si="43">+I73-K73</f>
        <v>0</v>
      </c>
      <c r="Q73" s="144">
        <f t="shared" ref="Q73:Q83" si="44">+E73-L73</f>
        <v>480</v>
      </c>
      <c r="R73" s="144">
        <f t="shared" ref="R73:R83" si="45">+L73-J73</f>
        <v>2588.0059999999999</v>
      </c>
      <c r="S73" s="144">
        <f t="shared" ref="S73:S83" si="46">+D73-K73-R73</f>
        <v>4433</v>
      </c>
    </row>
    <row r="74" spans="1:19" s="16" customFormat="1" ht="33" customHeight="1">
      <c r="A74" s="48">
        <v>1</v>
      </c>
      <c r="B74" s="87" t="s">
        <v>147</v>
      </c>
      <c r="C74" s="87" t="s">
        <v>30</v>
      </c>
      <c r="D74" s="98">
        <v>2500</v>
      </c>
      <c r="E74" s="98">
        <f>F74+G74</f>
        <v>500</v>
      </c>
      <c r="F74" s="98">
        <v>500</v>
      </c>
      <c r="G74" s="98"/>
      <c r="H74" s="98">
        <v>500</v>
      </c>
      <c r="I74" s="98">
        <v>500</v>
      </c>
      <c r="J74" s="98">
        <v>500</v>
      </c>
      <c r="K74" s="98">
        <f>J74</f>
        <v>500</v>
      </c>
      <c r="L74" s="98">
        <f>E74</f>
        <v>500</v>
      </c>
      <c r="M74" s="88" t="s">
        <v>241</v>
      </c>
      <c r="N74" s="127">
        <f t="shared" si="41"/>
        <v>2000</v>
      </c>
      <c r="O74" s="144">
        <f t="shared" si="42"/>
        <v>0</v>
      </c>
      <c r="P74" s="128">
        <f t="shared" si="43"/>
        <v>0</v>
      </c>
      <c r="Q74" s="144">
        <f t="shared" si="44"/>
        <v>0</v>
      </c>
      <c r="R74" s="144">
        <f t="shared" si="45"/>
        <v>0</v>
      </c>
      <c r="S74" s="144">
        <f t="shared" si="46"/>
        <v>2000</v>
      </c>
    </row>
    <row r="75" spans="1:19" s="16" customFormat="1" ht="51" customHeight="1">
      <c r="A75" s="48">
        <v>2</v>
      </c>
      <c r="B75" s="87" t="s">
        <v>148</v>
      </c>
      <c r="C75" s="49" t="s">
        <v>200</v>
      </c>
      <c r="D75" s="98">
        <v>1500</v>
      </c>
      <c r="E75" s="98">
        <f t="shared" ref="E75:E78" si="47">F75+G75</f>
        <v>1000</v>
      </c>
      <c r="F75" s="98">
        <v>1000</v>
      </c>
      <c r="G75" s="98"/>
      <c r="H75" s="98">
        <v>468.99400000000003</v>
      </c>
      <c r="I75" s="98">
        <v>468.99400000000003</v>
      </c>
      <c r="J75" s="98">
        <f>382+82.1+4.894</f>
        <v>468.99400000000003</v>
      </c>
      <c r="K75" s="98">
        <f>J75</f>
        <v>468.99400000000003</v>
      </c>
      <c r="L75" s="98">
        <f>E75</f>
        <v>1000</v>
      </c>
      <c r="M75" s="88" t="s">
        <v>241</v>
      </c>
      <c r="N75" s="127">
        <f t="shared" si="41"/>
        <v>1031.0059999999999</v>
      </c>
      <c r="O75" s="144">
        <f t="shared" si="42"/>
        <v>531.00599999999997</v>
      </c>
      <c r="P75" s="128">
        <f t="shared" si="43"/>
        <v>0</v>
      </c>
      <c r="Q75" s="144">
        <f t="shared" si="44"/>
        <v>0</v>
      </c>
      <c r="R75" s="144">
        <f t="shared" si="45"/>
        <v>531.00599999999997</v>
      </c>
      <c r="S75" s="144">
        <f t="shared" si="46"/>
        <v>499.99999999999989</v>
      </c>
    </row>
    <row r="76" spans="1:19" ht="32.25" customHeight="1">
      <c r="A76" s="138">
        <v>3</v>
      </c>
      <c r="B76" s="139" t="s">
        <v>149</v>
      </c>
      <c r="C76" s="140" t="s">
        <v>30</v>
      </c>
      <c r="D76" s="141">
        <v>520</v>
      </c>
      <c r="E76" s="98">
        <f t="shared" si="47"/>
        <v>1000</v>
      </c>
      <c r="F76" s="141">
        <v>1000</v>
      </c>
      <c r="G76" s="141"/>
      <c r="H76" s="141">
        <v>200</v>
      </c>
      <c r="I76" s="141">
        <v>200</v>
      </c>
      <c r="J76" s="141">
        <v>200</v>
      </c>
      <c r="K76" s="141">
        <f>J76</f>
        <v>200</v>
      </c>
      <c r="L76" s="141">
        <v>520</v>
      </c>
      <c r="M76" s="63" t="s">
        <v>241</v>
      </c>
      <c r="N76" s="127">
        <f t="shared" si="41"/>
        <v>320</v>
      </c>
      <c r="O76" s="144">
        <f t="shared" si="42"/>
        <v>800</v>
      </c>
      <c r="P76" s="128">
        <f t="shared" si="43"/>
        <v>0</v>
      </c>
      <c r="Q76" s="144">
        <f t="shared" si="44"/>
        <v>480</v>
      </c>
      <c r="R76" s="144">
        <f t="shared" si="45"/>
        <v>320</v>
      </c>
      <c r="S76" s="144">
        <f t="shared" si="46"/>
        <v>0</v>
      </c>
    </row>
    <row r="77" spans="1:19" s="16" customFormat="1" ht="26.25" customHeight="1">
      <c r="A77" s="48">
        <v>4</v>
      </c>
      <c r="B77" s="87" t="s">
        <v>150</v>
      </c>
      <c r="C77" s="49" t="s">
        <v>30</v>
      </c>
      <c r="D77" s="98">
        <v>2500</v>
      </c>
      <c r="E77" s="98">
        <f t="shared" si="47"/>
        <v>1500</v>
      </c>
      <c r="F77" s="98">
        <v>1500</v>
      </c>
      <c r="G77" s="98"/>
      <c r="H77" s="98">
        <v>130</v>
      </c>
      <c r="I77" s="98">
        <v>130</v>
      </c>
      <c r="J77" s="98">
        <v>130</v>
      </c>
      <c r="K77" s="98">
        <f>J77</f>
        <v>130</v>
      </c>
      <c r="L77" s="98">
        <f>E77</f>
        <v>1500</v>
      </c>
      <c r="M77" s="88"/>
      <c r="N77" s="127">
        <f t="shared" si="41"/>
        <v>2370</v>
      </c>
      <c r="O77" s="144">
        <f t="shared" si="42"/>
        <v>1370</v>
      </c>
      <c r="P77" s="128">
        <f t="shared" si="43"/>
        <v>0</v>
      </c>
      <c r="Q77" s="144">
        <f t="shared" si="44"/>
        <v>0</v>
      </c>
      <c r="R77" s="144">
        <f t="shared" si="45"/>
        <v>1370</v>
      </c>
      <c r="S77" s="144">
        <f t="shared" si="46"/>
        <v>1000</v>
      </c>
    </row>
    <row r="78" spans="1:19" s="16" customFormat="1" ht="65.25" customHeight="1">
      <c r="A78" s="48">
        <v>5</v>
      </c>
      <c r="B78" s="87" t="s">
        <v>156</v>
      </c>
      <c r="C78" s="49" t="s">
        <v>30</v>
      </c>
      <c r="D78" s="98">
        <v>1300</v>
      </c>
      <c r="E78" s="98">
        <f t="shared" si="47"/>
        <v>367</v>
      </c>
      <c r="F78" s="98">
        <v>367</v>
      </c>
      <c r="G78" s="98"/>
      <c r="H78" s="98">
        <v>0</v>
      </c>
      <c r="I78" s="98">
        <f t="shared" ref="I78" si="48">H78</f>
        <v>0</v>
      </c>
      <c r="J78" s="98"/>
      <c r="K78" s="98">
        <f>J78</f>
        <v>0</v>
      </c>
      <c r="L78" s="98">
        <f>E78</f>
        <v>367</v>
      </c>
      <c r="M78" s="88" t="s">
        <v>242</v>
      </c>
      <c r="N78" s="127">
        <f t="shared" si="41"/>
        <v>1300</v>
      </c>
      <c r="O78" s="144">
        <f t="shared" si="42"/>
        <v>367</v>
      </c>
      <c r="P78" s="128">
        <f t="shared" si="43"/>
        <v>0</v>
      </c>
      <c r="Q78" s="144">
        <f t="shared" si="44"/>
        <v>0</v>
      </c>
      <c r="R78" s="144">
        <f t="shared" si="45"/>
        <v>367</v>
      </c>
      <c r="S78" s="144">
        <f t="shared" si="46"/>
        <v>933</v>
      </c>
    </row>
    <row r="79" spans="1:19" s="16" customFormat="1" ht="21" customHeight="1">
      <c r="A79" s="17" t="s">
        <v>151</v>
      </c>
      <c r="B79" s="111" t="s">
        <v>152</v>
      </c>
      <c r="C79" s="111"/>
      <c r="D79" s="100">
        <f>D80</f>
        <v>11000</v>
      </c>
      <c r="E79" s="100">
        <f>F79+G79</f>
        <v>2537</v>
      </c>
      <c r="F79" s="100">
        <f t="shared" ref="F79" si="49">F80</f>
        <v>2537</v>
      </c>
      <c r="G79" s="100"/>
      <c r="H79" s="100">
        <f t="shared" ref="H79:L80" si="50">H80</f>
        <v>9934.777</v>
      </c>
      <c r="I79" s="100">
        <f t="shared" si="50"/>
        <v>10489.777</v>
      </c>
      <c r="J79" s="100">
        <f t="shared" si="50"/>
        <v>2537</v>
      </c>
      <c r="K79" s="100">
        <f t="shared" si="50"/>
        <v>5703.6329999999998</v>
      </c>
      <c r="L79" s="100">
        <f t="shared" si="50"/>
        <v>2537</v>
      </c>
      <c r="M79" s="112"/>
      <c r="N79" s="127">
        <f t="shared" si="41"/>
        <v>5296.3670000000002</v>
      </c>
      <c r="O79" s="144">
        <f t="shared" si="42"/>
        <v>0</v>
      </c>
      <c r="P79" s="128">
        <f t="shared" si="43"/>
        <v>4786.1440000000002</v>
      </c>
      <c r="Q79" s="144">
        <f t="shared" si="44"/>
        <v>0</v>
      </c>
      <c r="R79" s="144">
        <f t="shared" si="45"/>
        <v>0</v>
      </c>
      <c r="S79" s="144">
        <f t="shared" si="46"/>
        <v>5296.3670000000002</v>
      </c>
    </row>
    <row r="80" spans="1:19" s="16" customFormat="1" ht="21" customHeight="1">
      <c r="A80" s="17" t="s">
        <v>23</v>
      </c>
      <c r="B80" s="18" t="s">
        <v>153</v>
      </c>
      <c r="C80" s="113"/>
      <c r="D80" s="101">
        <f>D81</f>
        <v>11000</v>
      </c>
      <c r="E80" s="101">
        <f>F80+G80</f>
        <v>2537</v>
      </c>
      <c r="F80" s="101">
        <f t="shared" ref="F80" si="51">F81</f>
        <v>2537</v>
      </c>
      <c r="G80" s="101"/>
      <c r="H80" s="101">
        <f t="shared" si="50"/>
        <v>9934.777</v>
      </c>
      <c r="I80" s="101">
        <f t="shared" si="50"/>
        <v>10489.777</v>
      </c>
      <c r="J80" s="101">
        <f t="shared" si="50"/>
        <v>2537</v>
      </c>
      <c r="K80" s="101">
        <f t="shared" si="50"/>
        <v>5703.6329999999998</v>
      </c>
      <c r="L80" s="101">
        <f t="shared" si="50"/>
        <v>2537</v>
      </c>
      <c r="M80" s="88"/>
      <c r="N80" s="127">
        <f t="shared" si="41"/>
        <v>5296.3670000000002</v>
      </c>
      <c r="O80" s="144">
        <f t="shared" si="42"/>
        <v>0</v>
      </c>
      <c r="P80" s="128">
        <f t="shared" si="43"/>
        <v>4786.1440000000002</v>
      </c>
      <c r="Q80" s="144">
        <f t="shared" si="44"/>
        <v>0</v>
      </c>
      <c r="R80" s="144">
        <f t="shared" si="45"/>
        <v>0</v>
      </c>
      <c r="S80" s="144">
        <f t="shared" si="46"/>
        <v>5296.3670000000002</v>
      </c>
    </row>
    <row r="81" spans="1:19" s="15" customFormat="1" ht="21" customHeight="1">
      <c r="A81" s="114" t="s">
        <v>28</v>
      </c>
      <c r="B81" s="18" t="s">
        <v>100</v>
      </c>
      <c r="C81" s="115"/>
      <c r="D81" s="101">
        <f t="shared" ref="D81:K81" si="52">SUM(D82:D83)</f>
        <v>11000</v>
      </c>
      <c r="E81" s="101">
        <f>F81+G81</f>
        <v>2537</v>
      </c>
      <c r="F81" s="101">
        <f t="shared" si="52"/>
        <v>2537</v>
      </c>
      <c r="G81" s="101"/>
      <c r="H81" s="101">
        <f t="shared" si="52"/>
        <v>9934.777</v>
      </c>
      <c r="I81" s="101">
        <f t="shared" si="52"/>
        <v>10489.777</v>
      </c>
      <c r="J81" s="101">
        <f t="shared" si="52"/>
        <v>2537</v>
      </c>
      <c r="K81" s="101">
        <f t="shared" si="52"/>
        <v>5703.6329999999998</v>
      </c>
      <c r="L81" s="101">
        <f t="shared" ref="L81" si="53">SUM(L82:L83)</f>
        <v>2537</v>
      </c>
      <c r="M81" s="88"/>
      <c r="N81" s="127">
        <f t="shared" si="41"/>
        <v>5296.3670000000002</v>
      </c>
      <c r="O81" s="144">
        <f t="shared" si="42"/>
        <v>0</v>
      </c>
      <c r="P81" s="128">
        <f t="shared" si="43"/>
        <v>4786.1440000000002</v>
      </c>
      <c r="Q81" s="144">
        <f t="shared" si="44"/>
        <v>0</v>
      </c>
      <c r="R81" s="144">
        <f t="shared" si="45"/>
        <v>0</v>
      </c>
      <c r="S81" s="144">
        <f t="shared" si="46"/>
        <v>5296.3670000000002</v>
      </c>
    </row>
    <row r="82" spans="1:19" s="16" customFormat="1" ht="33.75" customHeight="1">
      <c r="A82" s="48">
        <v>1</v>
      </c>
      <c r="B82" s="87" t="s">
        <v>154</v>
      </c>
      <c r="C82" s="49" t="s">
        <v>41</v>
      </c>
      <c r="D82" s="98">
        <v>5500</v>
      </c>
      <c r="E82" s="98">
        <f>F82+G82</f>
        <v>1250</v>
      </c>
      <c r="F82" s="98">
        <v>1250</v>
      </c>
      <c r="G82" s="98"/>
      <c r="H82" s="98">
        <f>1231.561+3675</f>
        <v>4906.5609999999997</v>
      </c>
      <c r="I82" s="98">
        <v>5138.5609999999997</v>
      </c>
      <c r="J82" s="98">
        <v>1250</v>
      </c>
      <c r="K82" s="98">
        <f>1586.633+J82</f>
        <v>2836.6329999999998</v>
      </c>
      <c r="L82" s="98">
        <f>E82</f>
        <v>1250</v>
      </c>
      <c r="M82" s="116" t="s">
        <v>236</v>
      </c>
      <c r="N82" s="127">
        <f t="shared" si="41"/>
        <v>2663.3670000000002</v>
      </c>
      <c r="O82" s="144">
        <f t="shared" si="42"/>
        <v>0</v>
      </c>
      <c r="P82" s="128">
        <f t="shared" si="43"/>
        <v>2301.9279999999999</v>
      </c>
      <c r="Q82" s="144">
        <f t="shared" si="44"/>
        <v>0</v>
      </c>
      <c r="R82" s="144">
        <f t="shared" si="45"/>
        <v>0</v>
      </c>
      <c r="S82" s="144">
        <f t="shared" si="46"/>
        <v>2663.3670000000002</v>
      </c>
    </row>
    <row r="83" spans="1:19" s="16" customFormat="1" ht="33.75" customHeight="1">
      <c r="A83" s="48">
        <v>2</v>
      </c>
      <c r="B83" s="87" t="s">
        <v>155</v>
      </c>
      <c r="C83" s="49" t="s">
        <v>30</v>
      </c>
      <c r="D83" s="98">
        <v>5500</v>
      </c>
      <c r="E83" s="98">
        <f>F83+G83</f>
        <v>1287</v>
      </c>
      <c r="F83" s="98">
        <f>2537-F82</f>
        <v>1287</v>
      </c>
      <c r="G83" s="98"/>
      <c r="H83" s="98">
        <f>1908.216+3120</f>
        <v>5028.2160000000003</v>
      </c>
      <c r="I83" s="98">
        <v>5351.2160000000003</v>
      </c>
      <c r="J83" s="98">
        <v>1287</v>
      </c>
      <c r="K83" s="98">
        <f>1580+J83</f>
        <v>2867</v>
      </c>
      <c r="L83" s="98">
        <f>E83</f>
        <v>1287</v>
      </c>
      <c r="M83" s="116" t="s">
        <v>236</v>
      </c>
      <c r="N83" s="127">
        <f t="shared" si="41"/>
        <v>2633</v>
      </c>
      <c r="O83" s="144">
        <f t="shared" si="42"/>
        <v>0</v>
      </c>
      <c r="P83" s="128">
        <f t="shared" si="43"/>
        <v>2484.2160000000003</v>
      </c>
      <c r="Q83" s="144">
        <f t="shared" si="44"/>
        <v>0</v>
      </c>
      <c r="R83" s="144">
        <f t="shared" si="45"/>
        <v>0</v>
      </c>
      <c r="S83" s="144">
        <f t="shared" si="46"/>
        <v>2633</v>
      </c>
    </row>
  </sheetData>
  <mergeCells count="19">
    <mergeCell ref="J6:J7"/>
    <mergeCell ref="K6:K7"/>
    <mergeCell ref="M5:M7"/>
    <mergeCell ref="E4:M4"/>
    <mergeCell ref="A1:B1"/>
    <mergeCell ref="A2:M2"/>
    <mergeCell ref="A3:M3"/>
    <mergeCell ref="A5:A7"/>
    <mergeCell ref="B5:B7"/>
    <mergeCell ref="C5:C7"/>
    <mergeCell ref="D5:D7"/>
    <mergeCell ref="H5:I5"/>
    <mergeCell ref="J5:K5"/>
    <mergeCell ref="L5:L7"/>
    <mergeCell ref="E6:E7"/>
    <mergeCell ref="F6:G6"/>
    <mergeCell ref="E5:G5"/>
    <mergeCell ref="H6:H7"/>
    <mergeCell ref="I6:I7"/>
  </mergeCells>
  <pageMargins left="0.39370078740157499" right="0" top="0.25" bottom="0.25" header="0.31496062992126" footer="0.31496062992126"/>
  <pageSetup paperSize="9" scale="69" fitToHeight="0" orientation="landscape" verticalDpi="0"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FF00"/>
    <pageSetUpPr fitToPage="1"/>
  </sheetPr>
  <dimension ref="A1:Q34"/>
  <sheetViews>
    <sheetView view="pageBreakPreview" zoomScale="85" zoomScaleNormal="70" zoomScaleSheetLayoutView="85" workbookViewId="0">
      <selection activeCell="G11" sqref="G11"/>
    </sheetView>
  </sheetViews>
  <sheetFormatPr defaultColWidth="8.69921875" defaultRowHeight="15.6"/>
  <cols>
    <col min="1" max="1" width="5.59765625" style="56" customWidth="1"/>
    <col min="2" max="2" width="55.69921875" style="53" customWidth="1"/>
    <col min="3" max="3" width="16.3984375" style="53" customWidth="1"/>
    <col min="4" max="4" width="16" style="67" customWidth="1"/>
    <col min="5" max="6" width="18" style="68" customWidth="1"/>
    <col min="7" max="11" width="18" style="90" customWidth="1"/>
    <col min="12" max="12" width="18.5" style="52" customWidth="1"/>
    <col min="13" max="13" width="15.69921875" style="53" customWidth="1"/>
    <col min="14" max="14" width="18.69921875" style="53" customWidth="1"/>
    <col min="15" max="15" width="17.5" style="53" customWidth="1"/>
    <col min="16" max="16" width="20" style="53" customWidth="1"/>
    <col min="17" max="17" width="19.59765625" style="53" customWidth="1"/>
    <col min="18" max="16384" width="8.69921875" style="53"/>
  </cols>
  <sheetData>
    <row r="1" spans="1:17" ht="24" customHeight="1">
      <c r="A1" s="759" t="s">
        <v>202</v>
      </c>
      <c r="B1" s="759"/>
      <c r="C1" s="51"/>
      <c r="D1" s="51"/>
      <c r="E1" s="50"/>
      <c r="F1" s="50"/>
      <c r="G1" s="89"/>
      <c r="H1" s="89"/>
      <c r="I1" s="89"/>
      <c r="J1" s="89"/>
      <c r="K1" s="89"/>
    </row>
    <row r="2" spans="1:17" ht="27" customHeight="1">
      <c r="A2" s="760" t="s">
        <v>257</v>
      </c>
      <c r="B2" s="760"/>
      <c r="C2" s="760"/>
      <c r="D2" s="760"/>
      <c r="E2" s="760"/>
      <c r="F2" s="760"/>
      <c r="G2" s="760"/>
      <c r="H2" s="760"/>
      <c r="I2" s="760"/>
      <c r="J2" s="760"/>
      <c r="K2" s="760"/>
      <c r="L2" s="760"/>
    </row>
    <row r="3" spans="1:17" ht="27" customHeight="1">
      <c r="A3" s="761" t="str">
        <f>'Biểu số 04 (ĐTC huyện)'!A3:N3</f>
        <v>(Kèm theo Báo cáo số 899/BC-UBND, ngày 28 háng 11 năm 2022 của UBND huyện Tuần Giáo)</v>
      </c>
      <c r="B3" s="762"/>
      <c r="C3" s="762"/>
      <c r="D3" s="762"/>
      <c r="E3" s="762"/>
      <c r="F3" s="762"/>
      <c r="G3" s="762"/>
      <c r="H3" s="762"/>
      <c r="I3" s="762"/>
      <c r="J3" s="762"/>
      <c r="K3" s="762"/>
      <c r="L3" s="762"/>
    </row>
    <row r="4" spans="1:17" ht="27.9" customHeight="1">
      <c r="B4" s="57"/>
      <c r="C4" s="57"/>
      <c r="D4" s="58"/>
      <c r="E4" s="692" t="s">
        <v>44</v>
      </c>
      <c r="F4" s="692"/>
      <c r="G4" s="692"/>
      <c r="H4" s="692"/>
      <c r="I4" s="692"/>
      <c r="J4" s="692"/>
      <c r="K4" s="692"/>
      <c r="L4" s="692"/>
    </row>
    <row r="5" spans="1:17" ht="42" customHeight="1">
      <c r="A5" s="770" t="s">
        <v>49</v>
      </c>
      <c r="B5" s="773" t="s">
        <v>43</v>
      </c>
      <c r="C5" s="776" t="s">
        <v>27</v>
      </c>
      <c r="D5" s="770" t="s">
        <v>5</v>
      </c>
      <c r="E5" s="767" t="s">
        <v>97</v>
      </c>
      <c r="F5" s="768"/>
      <c r="G5" s="696" t="s">
        <v>81</v>
      </c>
      <c r="H5" s="697"/>
      <c r="I5" s="696" t="s">
        <v>82</v>
      </c>
      <c r="J5" s="697"/>
      <c r="K5" s="698" t="s">
        <v>234</v>
      </c>
      <c r="L5" s="770" t="s">
        <v>8</v>
      </c>
    </row>
    <row r="6" spans="1:17" ht="42" customHeight="1">
      <c r="A6" s="771"/>
      <c r="B6" s="774"/>
      <c r="C6" s="777"/>
      <c r="D6" s="771"/>
      <c r="E6" s="779" t="s">
        <v>250</v>
      </c>
      <c r="F6" s="151" t="s">
        <v>15</v>
      </c>
      <c r="G6" s="698" t="s">
        <v>203</v>
      </c>
      <c r="H6" s="698" t="s">
        <v>85</v>
      </c>
      <c r="I6" s="698" t="s">
        <v>203</v>
      </c>
      <c r="J6" s="698" t="s">
        <v>86</v>
      </c>
      <c r="K6" s="699"/>
      <c r="L6" s="771"/>
    </row>
    <row r="7" spans="1:17" s="51" customFormat="1" ht="63.75" customHeight="1">
      <c r="A7" s="772"/>
      <c r="B7" s="775"/>
      <c r="C7" s="778"/>
      <c r="D7" s="772"/>
      <c r="E7" s="780"/>
      <c r="F7" s="151" t="s">
        <v>254</v>
      </c>
      <c r="G7" s="700"/>
      <c r="H7" s="700"/>
      <c r="I7" s="700"/>
      <c r="J7" s="700"/>
      <c r="K7" s="700"/>
      <c r="L7" s="772"/>
    </row>
    <row r="8" spans="1:17" s="51" customFormat="1" ht="42" customHeight="1">
      <c r="A8" s="69"/>
      <c r="B8" s="69" t="s">
        <v>54</v>
      </c>
      <c r="C8" s="69"/>
      <c r="D8" s="70">
        <f t="shared" ref="D8:J8" si="0">D9+D22</f>
        <v>48350</v>
      </c>
      <c r="E8" s="70">
        <f t="shared" si="0"/>
        <v>25318.802</v>
      </c>
      <c r="F8" s="70">
        <f t="shared" si="0"/>
        <v>25318.802</v>
      </c>
      <c r="G8" s="70">
        <f t="shared" si="0"/>
        <v>5171.5250000000005</v>
      </c>
      <c r="H8" s="70">
        <f t="shared" si="0"/>
        <v>30366.044000000005</v>
      </c>
      <c r="I8" s="70">
        <f t="shared" si="0"/>
        <v>18397.043999999998</v>
      </c>
      <c r="J8" s="70">
        <f t="shared" si="0"/>
        <v>30366.044000000005</v>
      </c>
      <c r="K8" s="70">
        <f t="shared" ref="K8" si="1">K9+K22</f>
        <v>25318.802</v>
      </c>
      <c r="L8" s="60"/>
      <c r="M8" s="146">
        <f>+D8-J8</f>
        <v>17983.955999999995</v>
      </c>
      <c r="N8" s="61">
        <f>+H8-J8</f>
        <v>0</v>
      </c>
      <c r="O8" s="146">
        <f>+E8-I8</f>
        <v>6921.7580000000016</v>
      </c>
      <c r="P8" s="146">
        <f>+K8-I8</f>
        <v>6921.7580000000016</v>
      </c>
      <c r="Q8" s="146">
        <f>+D8-J8-P8</f>
        <v>11062.197999999993</v>
      </c>
    </row>
    <row r="9" spans="1:17" ht="42" customHeight="1">
      <c r="A9" s="22" t="s">
        <v>23</v>
      </c>
      <c r="B9" s="71" t="s">
        <v>56</v>
      </c>
      <c r="C9" s="22"/>
      <c r="D9" s="72">
        <f t="shared" ref="D9:F9" si="2">D10</f>
        <v>26050</v>
      </c>
      <c r="E9" s="72">
        <f t="shared" si="2"/>
        <v>13718.802</v>
      </c>
      <c r="F9" s="72">
        <f t="shared" si="2"/>
        <v>13718.802</v>
      </c>
      <c r="G9" s="70">
        <f>G10</f>
        <v>0</v>
      </c>
      <c r="H9" s="70">
        <f t="shared" ref="H9:K9" si="3">H10</f>
        <v>25194.519000000004</v>
      </c>
      <c r="I9" s="70">
        <f t="shared" si="3"/>
        <v>13225.518999999998</v>
      </c>
      <c r="J9" s="70">
        <f t="shared" si="3"/>
        <v>25194.519000000004</v>
      </c>
      <c r="K9" s="72">
        <f t="shared" si="3"/>
        <v>13718.802</v>
      </c>
      <c r="L9" s="62"/>
      <c r="M9" s="146">
        <f t="shared" ref="M9:M33" si="4">+D9-J9</f>
        <v>855.48099999999613</v>
      </c>
      <c r="N9" s="61">
        <f t="shared" ref="N9:N33" si="5">+H9-J9</f>
        <v>0</v>
      </c>
      <c r="O9" s="146">
        <f t="shared" ref="O9:O33" si="6">+E9-I9</f>
        <v>493.28300000000127</v>
      </c>
      <c r="P9" s="146">
        <f t="shared" ref="P9:P33" si="7">+K9-I9</f>
        <v>493.28300000000127</v>
      </c>
      <c r="Q9" s="146">
        <f t="shared" ref="Q9:Q33" si="8">+D9-J9-P9</f>
        <v>362.19799999999486</v>
      </c>
    </row>
    <row r="10" spans="1:17" s="51" customFormat="1" ht="42" customHeight="1">
      <c r="A10" s="22" t="s">
        <v>28</v>
      </c>
      <c r="B10" s="71" t="s">
        <v>158</v>
      </c>
      <c r="C10" s="22"/>
      <c r="D10" s="72">
        <f t="shared" ref="D10:J10" si="9">SUM(D11:D21)</f>
        <v>26050</v>
      </c>
      <c r="E10" s="72">
        <f t="shared" si="9"/>
        <v>13718.802</v>
      </c>
      <c r="F10" s="72">
        <f t="shared" si="9"/>
        <v>13718.802</v>
      </c>
      <c r="G10" s="70">
        <f t="shared" si="9"/>
        <v>0</v>
      </c>
      <c r="H10" s="70">
        <f>SUM(H11:H21)</f>
        <v>25194.519000000004</v>
      </c>
      <c r="I10" s="70">
        <f t="shared" si="9"/>
        <v>13225.518999999998</v>
      </c>
      <c r="J10" s="70">
        <f t="shared" si="9"/>
        <v>25194.519000000004</v>
      </c>
      <c r="K10" s="72">
        <f t="shared" ref="K10" si="10">SUM(K11:K21)</f>
        <v>13718.802</v>
      </c>
      <c r="L10" s="63"/>
      <c r="M10" s="146">
        <f t="shared" si="4"/>
        <v>855.48099999999613</v>
      </c>
      <c r="N10" s="61">
        <f t="shared" si="5"/>
        <v>0</v>
      </c>
      <c r="O10" s="146">
        <f t="shared" si="6"/>
        <v>493.28300000000127</v>
      </c>
      <c r="P10" s="146">
        <f t="shared" si="7"/>
        <v>493.28300000000127</v>
      </c>
      <c r="Q10" s="146">
        <f t="shared" si="8"/>
        <v>362.19799999999486</v>
      </c>
    </row>
    <row r="11" spans="1:17" s="51" customFormat="1" ht="42" customHeight="1">
      <c r="A11" s="73">
        <v>1</v>
      </c>
      <c r="B11" s="75" t="s">
        <v>159</v>
      </c>
      <c r="C11" s="49" t="s">
        <v>160</v>
      </c>
      <c r="D11" s="74">
        <v>3000</v>
      </c>
      <c r="E11" s="74">
        <v>380.80199999999968</v>
      </c>
      <c r="F11" s="74">
        <v>380.80199999999968</v>
      </c>
      <c r="G11" s="103"/>
      <c r="H11" s="103">
        <v>2978.1019999999999</v>
      </c>
      <c r="I11" s="103">
        <v>380.80200000000002</v>
      </c>
      <c r="J11" s="103">
        <v>2978.1019999999999</v>
      </c>
      <c r="K11" s="74">
        <v>380.80199999999968</v>
      </c>
      <c r="L11" s="63"/>
      <c r="M11" s="146">
        <f t="shared" si="4"/>
        <v>21.898000000000138</v>
      </c>
      <c r="N11" s="61">
        <f t="shared" si="5"/>
        <v>0</v>
      </c>
      <c r="O11" s="146">
        <f t="shared" si="6"/>
        <v>0</v>
      </c>
      <c r="P11" s="146">
        <f t="shared" si="7"/>
        <v>0</v>
      </c>
      <c r="Q11" s="146">
        <f t="shared" si="8"/>
        <v>21.898000000000138</v>
      </c>
    </row>
    <row r="12" spans="1:17" s="51" customFormat="1" ht="42" customHeight="1">
      <c r="A12" s="78">
        <v>2</v>
      </c>
      <c r="B12" s="79" t="s">
        <v>162</v>
      </c>
      <c r="C12" s="78" t="s">
        <v>40</v>
      </c>
      <c r="D12" s="74">
        <v>2400</v>
      </c>
      <c r="E12" s="74">
        <v>1399</v>
      </c>
      <c r="F12" s="74">
        <v>1399</v>
      </c>
      <c r="G12" s="103"/>
      <c r="H12" s="103">
        <v>2334.0549999999998</v>
      </c>
      <c r="I12" s="103">
        <v>1334.0550000000001</v>
      </c>
      <c r="J12" s="103">
        <v>2334.0549999999998</v>
      </c>
      <c r="K12" s="74">
        <v>1399</v>
      </c>
      <c r="L12" s="64"/>
      <c r="M12" s="146">
        <f t="shared" si="4"/>
        <v>65.945000000000164</v>
      </c>
      <c r="N12" s="61">
        <f t="shared" si="5"/>
        <v>0</v>
      </c>
      <c r="O12" s="146">
        <f t="shared" si="6"/>
        <v>64.944999999999936</v>
      </c>
      <c r="P12" s="146">
        <f t="shared" si="7"/>
        <v>64.944999999999936</v>
      </c>
      <c r="Q12" s="146">
        <f t="shared" si="8"/>
        <v>1.0000000000002274</v>
      </c>
    </row>
    <row r="13" spans="1:17" s="51" customFormat="1" ht="42" customHeight="1">
      <c r="A13" s="73">
        <v>3</v>
      </c>
      <c r="B13" s="79" t="s">
        <v>163</v>
      </c>
      <c r="C13" s="78" t="s">
        <v>42</v>
      </c>
      <c r="D13" s="74">
        <v>2300</v>
      </c>
      <c r="E13" s="74">
        <v>1327</v>
      </c>
      <c r="F13" s="74">
        <v>1327</v>
      </c>
      <c r="G13" s="103"/>
      <c r="H13" s="103">
        <v>2197.172</v>
      </c>
      <c r="I13" s="103">
        <v>1225.472</v>
      </c>
      <c r="J13" s="103">
        <v>2197.172</v>
      </c>
      <c r="K13" s="74">
        <v>1327</v>
      </c>
      <c r="L13" s="64"/>
      <c r="M13" s="146">
        <f t="shared" si="4"/>
        <v>102.82799999999997</v>
      </c>
      <c r="N13" s="61">
        <f t="shared" si="5"/>
        <v>0</v>
      </c>
      <c r="O13" s="146">
        <f t="shared" si="6"/>
        <v>101.52800000000002</v>
      </c>
      <c r="P13" s="146">
        <f t="shared" si="7"/>
        <v>101.52800000000002</v>
      </c>
      <c r="Q13" s="146">
        <f t="shared" si="8"/>
        <v>1.2999999999999545</v>
      </c>
    </row>
    <row r="14" spans="1:17" s="51" customFormat="1" ht="42" customHeight="1">
      <c r="A14" s="78">
        <v>4</v>
      </c>
      <c r="B14" s="79" t="s">
        <v>164</v>
      </c>
      <c r="C14" s="78" t="s">
        <v>165</v>
      </c>
      <c r="D14" s="74">
        <v>2650</v>
      </c>
      <c r="E14" s="74">
        <v>1543</v>
      </c>
      <c r="F14" s="74">
        <v>1543</v>
      </c>
      <c r="G14" s="103"/>
      <c r="H14" s="103">
        <v>2630.931</v>
      </c>
      <c r="I14" s="103">
        <v>1530.931</v>
      </c>
      <c r="J14" s="103">
        <v>2630.931</v>
      </c>
      <c r="K14" s="74">
        <v>1543</v>
      </c>
      <c r="L14" s="63"/>
      <c r="M14" s="146">
        <f t="shared" si="4"/>
        <v>19.06899999999996</v>
      </c>
      <c r="N14" s="61">
        <f t="shared" si="5"/>
        <v>0</v>
      </c>
      <c r="O14" s="146">
        <f t="shared" si="6"/>
        <v>12.06899999999996</v>
      </c>
      <c r="P14" s="146">
        <f t="shared" si="7"/>
        <v>12.06899999999996</v>
      </c>
      <c r="Q14" s="146">
        <f t="shared" si="8"/>
        <v>7</v>
      </c>
    </row>
    <row r="15" spans="1:17" s="51" customFormat="1" ht="42" customHeight="1">
      <c r="A15" s="73">
        <v>5</v>
      </c>
      <c r="B15" s="79" t="s">
        <v>166</v>
      </c>
      <c r="C15" s="78" t="s">
        <v>41</v>
      </c>
      <c r="D15" s="74">
        <v>2700</v>
      </c>
      <c r="E15" s="74">
        <v>1561</v>
      </c>
      <c r="F15" s="74">
        <v>1561</v>
      </c>
      <c r="G15" s="103"/>
      <c r="H15" s="103">
        <v>2589.91</v>
      </c>
      <c r="I15" s="103">
        <v>1489.91</v>
      </c>
      <c r="J15" s="103">
        <v>2589.91</v>
      </c>
      <c r="K15" s="74">
        <v>1561</v>
      </c>
      <c r="L15" s="63"/>
      <c r="M15" s="146">
        <f t="shared" si="4"/>
        <v>110.09000000000015</v>
      </c>
      <c r="N15" s="61">
        <f t="shared" si="5"/>
        <v>0</v>
      </c>
      <c r="O15" s="146">
        <f t="shared" si="6"/>
        <v>71.089999999999918</v>
      </c>
      <c r="P15" s="146">
        <f t="shared" si="7"/>
        <v>71.089999999999918</v>
      </c>
      <c r="Q15" s="146">
        <f t="shared" si="8"/>
        <v>39.000000000000227</v>
      </c>
    </row>
    <row r="16" spans="1:17" s="51" customFormat="1" ht="42" customHeight="1">
      <c r="A16" s="78">
        <v>6</v>
      </c>
      <c r="B16" s="79" t="s">
        <v>167</v>
      </c>
      <c r="C16" s="78" t="s">
        <v>37</v>
      </c>
      <c r="D16" s="74">
        <v>2200</v>
      </c>
      <c r="E16" s="74">
        <v>1382</v>
      </c>
      <c r="F16" s="74">
        <v>1382</v>
      </c>
      <c r="G16" s="103"/>
      <c r="H16" s="103">
        <v>2098.1689999999999</v>
      </c>
      <c r="I16" s="103">
        <v>1298.1690000000001</v>
      </c>
      <c r="J16" s="103">
        <v>2098.1689999999999</v>
      </c>
      <c r="K16" s="74">
        <v>1382</v>
      </c>
      <c r="L16" s="64"/>
      <c r="M16" s="146">
        <f t="shared" si="4"/>
        <v>101.83100000000013</v>
      </c>
      <c r="N16" s="61">
        <f t="shared" si="5"/>
        <v>0</v>
      </c>
      <c r="O16" s="146">
        <f t="shared" si="6"/>
        <v>83.830999999999904</v>
      </c>
      <c r="P16" s="146">
        <f t="shared" si="7"/>
        <v>83.830999999999904</v>
      </c>
      <c r="Q16" s="146">
        <f t="shared" si="8"/>
        <v>18.000000000000227</v>
      </c>
    </row>
    <row r="17" spans="1:17" s="51" customFormat="1" ht="42" customHeight="1">
      <c r="A17" s="73">
        <v>7</v>
      </c>
      <c r="B17" s="79" t="s">
        <v>168</v>
      </c>
      <c r="C17" s="78" t="s">
        <v>161</v>
      </c>
      <c r="D17" s="74">
        <v>2100</v>
      </c>
      <c r="E17" s="74">
        <v>1210</v>
      </c>
      <c r="F17" s="74">
        <v>1210</v>
      </c>
      <c r="G17" s="103"/>
      <c r="H17" s="103">
        <v>2008.7570000000001</v>
      </c>
      <c r="I17" s="103">
        <v>1208.7570000000001</v>
      </c>
      <c r="J17" s="103">
        <v>2008.7570000000001</v>
      </c>
      <c r="K17" s="74">
        <v>1210</v>
      </c>
      <c r="L17" s="63"/>
      <c r="M17" s="146">
        <f t="shared" si="4"/>
        <v>91.242999999999938</v>
      </c>
      <c r="N17" s="61">
        <f t="shared" si="5"/>
        <v>0</v>
      </c>
      <c r="O17" s="146">
        <f t="shared" si="6"/>
        <v>1.2429999999999382</v>
      </c>
      <c r="P17" s="146">
        <f t="shared" si="7"/>
        <v>1.2429999999999382</v>
      </c>
      <c r="Q17" s="146">
        <f t="shared" si="8"/>
        <v>90</v>
      </c>
    </row>
    <row r="18" spans="1:17" s="51" customFormat="1" ht="42" customHeight="1">
      <c r="A18" s="78">
        <v>8</v>
      </c>
      <c r="B18" s="79" t="s">
        <v>169</v>
      </c>
      <c r="C18" s="78" t="s">
        <v>170</v>
      </c>
      <c r="D18" s="74">
        <v>2000</v>
      </c>
      <c r="E18" s="74">
        <v>1193</v>
      </c>
      <c r="F18" s="74">
        <v>1193</v>
      </c>
      <c r="G18" s="103"/>
      <c r="H18" s="103">
        <v>1984.165</v>
      </c>
      <c r="I18" s="103">
        <v>1184.165</v>
      </c>
      <c r="J18" s="103">
        <v>1984.165</v>
      </c>
      <c r="K18" s="74">
        <v>1193</v>
      </c>
      <c r="L18" s="63"/>
      <c r="M18" s="146">
        <f t="shared" si="4"/>
        <v>15.835000000000036</v>
      </c>
      <c r="N18" s="61">
        <f t="shared" si="5"/>
        <v>0</v>
      </c>
      <c r="O18" s="146">
        <f t="shared" si="6"/>
        <v>8.8350000000000364</v>
      </c>
      <c r="P18" s="146">
        <f t="shared" si="7"/>
        <v>8.8350000000000364</v>
      </c>
      <c r="Q18" s="146">
        <f t="shared" si="8"/>
        <v>7</v>
      </c>
    </row>
    <row r="19" spans="1:17" s="51" customFormat="1" ht="42" customHeight="1">
      <c r="A19" s="73">
        <v>9</v>
      </c>
      <c r="B19" s="79" t="s">
        <v>171</v>
      </c>
      <c r="C19" s="78" t="s">
        <v>128</v>
      </c>
      <c r="D19" s="74">
        <v>1800</v>
      </c>
      <c r="E19" s="74">
        <v>935</v>
      </c>
      <c r="F19" s="74">
        <v>935</v>
      </c>
      <c r="G19" s="94"/>
      <c r="H19" s="97">
        <v>1672.5139999999999</v>
      </c>
      <c r="I19" s="97">
        <v>872.51400000000001</v>
      </c>
      <c r="J19" s="97">
        <v>1672.5139999999999</v>
      </c>
      <c r="K19" s="74">
        <v>935</v>
      </c>
      <c r="L19" s="64"/>
      <c r="M19" s="146">
        <f t="shared" si="4"/>
        <v>127.4860000000001</v>
      </c>
      <c r="N19" s="61">
        <f t="shared" si="5"/>
        <v>0</v>
      </c>
      <c r="O19" s="146">
        <f t="shared" si="6"/>
        <v>62.48599999999999</v>
      </c>
      <c r="P19" s="146">
        <f t="shared" si="7"/>
        <v>62.48599999999999</v>
      </c>
      <c r="Q19" s="146">
        <f t="shared" si="8"/>
        <v>65.000000000000114</v>
      </c>
    </row>
    <row r="20" spans="1:17" s="51" customFormat="1" ht="42" customHeight="1">
      <c r="A20" s="78">
        <v>10</v>
      </c>
      <c r="B20" s="79" t="s">
        <v>172</v>
      </c>
      <c r="C20" s="78" t="s">
        <v>108</v>
      </c>
      <c r="D20" s="74">
        <v>2300</v>
      </c>
      <c r="E20" s="74">
        <v>1290</v>
      </c>
      <c r="F20" s="74">
        <v>1290</v>
      </c>
      <c r="G20" s="94"/>
      <c r="H20" s="97">
        <v>2103.402</v>
      </c>
      <c r="I20" s="97">
        <v>1203.402</v>
      </c>
      <c r="J20" s="97">
        <v>2103.402</v>
      </c>
      <c r="K20" s="74">
        <v>1290</v>
      </c>
      <c r="L20" s="64"/>
      <c r="M20" s="146">
        <f t="shared" si="4"/>
        <v>196.59799999999996</v>
      </c>
      <c r="N20" s="61">
        <f t="shared" si="5"/>
        <v>0</v>
      </c>
      <c r="O20" s="146">
        <f t="shared" si="6"/>
        <v>86.597999999999956</v>
      </c>
      <c r="P20" s="146">
        <f t="shared" si="7"/>
        <v>86.597999999999956</v>
      </c>
      <c r="Q20" s="146">
        <f t="shared" si="8"/>
        <v>110</v>
      </c>
    </row>
    <row r="21" spans="1:17" s="51" customFormat="1" ht="42" customHeight="1">
      <c r="A21" s="73">
        <v>11</v>
      </c>
      <c r="B21" s="79" t="s">
        <v>173</v>
      </c>
      <c r="C21" s="78" t="s">
        <v>174</v>
      </c>
      <c r="D21" s="74">
        <v>2600</v>
      </c>
      <c r="E21" s="74">
        <v>1498</v>
      </c>
      <c r="F21" s="74">
        <v>1498</v>
      </c>
      <c r="G21" s="97"/>
      <c r="H21" s="97">
        <v>2597.3420000000001</v>
      </c>
      <c r="I21" s="97">
        <v>1497.3420000000001</v>
      </c>
      <c r="J21" s="97">
        <v>2597.3420000000001</v>
      </c>
      <c r="K21" s="74">
        <v>1498</v>
      </c>
      <c r="L21" s="64"/>
      <c r="M21" s="146">
        <f t="shared" si="4"/>
        <v>2.6579999999999018</v>
      </c>
      <c r="N21" s="61">
        <f t="shared" si="5"/>
        <v>0</v>
      </c>
      <c r="O21" s="146">
        <f t="shared" si="6"/>
        <v>0.65799999999990177</v>
      </c>
      <c r="P21" s="146">
        <f t="shared" si="7"/>
        <v>0.65799999999990177</v>
      </c>
      <c r="Q21" s="146">
        <f t="shared" si="8"/>
        <v>2</v>
      </c>
    </row>
    <row r="22" spans="1:17" s="51" customFormat="1" ht="35.25" customHeight="1">
      <c r="A22" s="76" t="s">
        <v>46</v>
      </c>
      <c r="B22" s="77" t="s">
        <v>175</v>
      </c>
      <c r="C22" s="17"/>
      <c r="D22" s="86">
        <f t="shared" ref="D22:K22" si="11">D23</f>
        <v>22300</v>
      </c>
      <c r="E22" s="86">
        <f t="shared" si="11"/>
        <v>11600</v>
      </c>
      <c r="F22" s="86">
        <f t="shared" si="11"/>
        <v>11600</v>
      </c>
      <c r="G22" s="86">
        <f t="shared" si="11"/>
        <v>5171.5250000000005</v>
      </c>
      <c r="H22" s="86">
        <f t="shared" si="11"/>
        <v>5171.5250000000005</v>
      </c>
      <c r="I22" s="86">
        <f t="shared" si="11"/>
        <v>5171.5250000000005</v>
      </c>
      <c r="J22" s="86">
        <f t="shared" si="11"/>
        <v>5171.5250000000005</v>
      </c>
      <c r="K22" s="86">
        <f t="shared" si="11"/>
        <v>11600</v>
      </c>
      <c r="L22" s="64"/>
      <c r="M22" s="146">
        <f t="shared" si="4"/>
        <v>17128.474999999999</v>
      </c>
      <c r="N22" s="61">
        <f t="shared" si="5"/>
        <v>0</v>
      </c>
      <c r="O22" s="146">
        <f t="shared" si="6"/>
        <v>6428.4749999999995</v>
      </c>
      <c r="P22" s="146">
        <f t="shared" si="7"/>
        <v>6428.4749999999995</v>
      </c>
      <c r="Q22" s="146">
        <f t="shared" si="8"/>
        <v>10700</v>
      </c>
    </row>
    <row r="23" spans="1:17" s="51" customFormat="1" ht="35.25" customHeight="1">
      <c r="A23" s="22" t="s">
        <v>28</v>
      </c>
      <c r="B23" s="71" t="s">
        <v>158</v>
      </c>
      <c r="C23" s="17"/>
      <c r="D23" s="72">
        <f t="shared" ref="D23:J23" si="12">SUM(D24:D33)</f>
        <v>22300</v>
      </c>
      <c r="E23" s="72">
        <f t="shared" si="12"/>
        <v>11600</v>
      </c>
      <c r="F23" s="72">
        <f t="shared" si="12"/>
        <v>11600</v>
      </c>
      <c r="G23" s="70">
        <f t="shared" si="12"/>
        <v>5171.5250000000005</v>
      </c>
      <c r="H23" s="70">
        <f t="shared" si="12"/>
        <v>5171.5250000000005</v>
      </c>
      <c r="I23" s="70">
        <f t="shared" si="12"/>
        <v>5171.5250000000005</v>
      </c>
      <c r="J23" s="70">
        <f t="shared" si="12"/>
        <v>5171.5250000000005</v>
      </c>
      <c r="K23" s="72">
        <f t="shared" ref="K23" si="13">SUM(K24:K33)</f>
        <v>11600</v>
      </c>
      <c r="L23" s="64"/>
      <c r="M23" s="146">
        <f t="shared" si="4"/>
        <v>17128.474999999999</v>
      </c>
      <c r="N23" s="61">
        <f t="shared" si="5"/>
        <v>0</v>
      </c>
      <c r="O23" s="146">
        <f t="shared" si="6"/>
        <v>6428.4749999999995</v>
      </c>
      <c r="P23" s="146">
        <f t="shared" si="7"/>
        <v>6428.4749999999995</v>
      </c>
      <c r="Q23" s="146">
        <f t="shared" si="8"/>
        <v>10700</v>
      </c>
    </row>
    <row r="24" spans="1:17" s="51" customFormat="1" ht="35.25" customHeight="1">
      <c r="A24" s="80">
        <v>1</v>
      </c>
      <c r="B24" s="75" t="s">
        <v>176</v>
      </c>
      <c r="C24" s="49" t="s">
        <v>75</v>
      </c>
      <c r="D24" s="81">
        <v>2500</v>
      </c>
      <c r="E24" s="82">
        <v>1200</v>
      </c>
      <c r="F24" s="82">
        <v>1200</v>
      </c>
      <c r="G24" s="104">
        <v>140.66300000000001</v>
      </c>
      <c r="H24" s="104">
        <v>140.66300000000001</v>
      </c>
      <c r="I24" s="104">
        <v>140.66300000000001</v>
      </c>
      <c r="J24" s="104">
        <v>140.66300000000001</v>
      </c>
      <c r="K24" s="82">
        <v>1200</v>
      </c>
      <c r="L24" s="64"/>
      <c r="M24" s="146">
        <f t="shared" si="4"/>
        <v>2359.337</v>
      </c>
      <c r="N24" s="61">
        <f t="shared" si="5"/>
        <v>0</v>
      </c>
      <c r="O24" s="146">
        <f t="shared" si="6"/>
        <v>1059.337</v>
      </c>
      <c r="P24" s="146">
        <f t="shared" si="7"/>
        <v>1059.337</v>
      </c>
      <c r="Q24" s="146">
        <f t="shared" si="8"/>
        <v>1300</v>
      </c>
    </row>
    <row r="25" spans="1:17" ht="35.25" customHeight="1">
      <c r="A25" s="80">
        <v>2</v>
      </c>
      <c r="B25" s="75" t="s">
        <v>177</v>
      </c>
      <c r="C25" s="49" t="s">
        <v>118</v>
      </c>
      <c r="D25" s="81">
        <v>2000</v>
      </c>
      <c r="E25" s="82">
        <v>1000</v>
      </c>
      <c r="F25" s="82">
        <v>1000</v>
      </c>
      <c r="G25" s="105">
        <v>597.73699999999997</v>
      </c>
      <c r="H25" s="105">
        <v>597.73699999999997</v>
      </c>
      <c r="I25" s="105">
        <v>597.73699999999997</v>
      </c>
      <c r="J25" s="105">
        <v>597.73699999999997</v>
      </c>
      <c r="K25" s="82">
        <v>1000</v>
      </c>
      <c r="L25" s="63"/>
      <c r="M25" s="146">
        <f t="shared" si="4"/>
        <v>1402.2629999999999</v>
      </c>
      <c r="N25" s="61">
        <f t="shared" si="5"/>
        <v>0</v>
      </c>
      <c r="O25" s="146">
        <f t="shared" si="6"/>
        <v>402.26300000000003</v>
      </c>
      <c r="P25" s="146">
        <f t="shared" si="7"/>
        <v>402.26300000000003</v>
      </c>
      <c r="Q25" s="146">
        <f t="shared" si="8"/>
        <v>999.99999999999989</v>
      </c>
    </row>
    <row r="26" spans="1:17" ht="35.25" customHeight="1">
      <c r="A26" s="80">
        <v>3</v>
      </c>
      <c r="B26" s="75" t="s">
        <v>178</v>
      </c>
      <c r="C26" s="80" t="s">
        <v>36</v>
      </c>
      <c r="D26" s="82">
        <v>2000</v>
      </c>
      <c r="E26" s="82">
        <v>1000</v>
      </c>
      <c r="F26" s="82">
        <v>1000</v>
      </c>
      <c r="G26" s="105">
        <v>511.10300000000001</v>
      </c>
      <c r="H26" s="105">
        <v>511.10300000000001</v>
      </c>
      <c r="I26" s="105">
        <v>511.10300000000001</v>
      </c>
      <c r="J26" s="105">
        <v>511.10300000000001</v>
      </c>
      <c r="K26" s="82">
        <v>1000</v>
      </c>
      <c r="L26" s="62"/>
      <c r="M26" s="146">
        <f t="shared" si="4"/>
        <v>1488.8969999999999</v>
      </c>
      <c r="N26" s="61">
        <f t="shared" si="5"/>
        <v>0</v>
      </c>
      <c r="O26" s="146">
        <f t="shared" si="6"/>
        <v>488.89699999999999</v>
      </c>
      <c r="P26" s="146">
        <f t="shared" si="7"/>
        <v>488.89699999999999</v>
      </c>
      <c r="Q26" s="146">
        <f t="shared" si="8"/>
        <v>1000</v>
      </c>
    </row>
    <row r="27" spans="1:17" ht="35.25" customHeight="1">
      <c r="A27" s="80">
        <v>4</v>
      </c>
      <c r="B27" s="75" t="s">
        <v>179</v>
      </c>
      <c r="C27" s="80" t="s">
        <v>180</v>
      </c>
      <c r="D27" s="82">
        <v>2500</v>
      </c>
      <c r="E27" s="82">
        <v>1300</v>
      </c>
      <c r="F27" s="82">
        <v>1300</v>
      </c>
      <c r="G27" s="105">
        <v>538.96500000000003</v>
      </c>
      <c r="H27" s="105">
        <v>538.96500000000003</v>
      </c>
      <c r="I27" s="105">
        <v>538.96500000000003</v>
      </c>
      <c r="J27" s="105">
        <v>538.96500000000003</v>
      </c>
      <c r="K27" s="82">
        <v>1300</v>
      </c>
      <c r="L27" s="62"/>
      <c r="M27" s="146">
        <f t="shared" si="4"/>
        <v>1961.0349999999999</v>
      </c>
      <c r="N27" s="61">
        <f t="shared" si="5"/>
        <v>0</v>
      </c>
      <c r="O27" s="146">
        <f t="shared" si="6"/>
        <v>761.03499999999997</v>
      </c>
      <c r="P27" s="146">
        <f t="shared" si="7"/>
        <v>761.03499999999997</v>
      </c>
      <c r="Q27" s="146">
        <f t="shared" si="8"/>
        <v>1200</v>
      </c>
    </row>
    <row r="28" spans="1:17" ht="35.25" customHeight="1">
      <c r="A28" s="80">
        <v>5</v>
      </c>
      <c r="B28" s="75" t="s">
        <v>181</v>
      </c>
      <c r="C28" s="80" t="s">
        <v>182</v>
      </c>
      <c r="D28" s="82">
        <v>2300</v>
      </c>
      <c r="E28" s="82">
        <v>1100</v>
      </c>
      <c r="F28" s="82">
        <v>1100</v>
      </c>
      <c r="G28" s="105">
        <v>520.34900000000005</v>
      </c>
      <c r="H28" s="105">
        <v>520.34900000000005</v>
      </c>
      <c r="I28" s="105">
        <v>520.34900000000005</v>
      </c>
      <c r="J28" s="105">
        <v>520.34900000000005</v>
      </c>
      <c r="K28" s="82">
        <v>1100</v>
      </c>
      <c r="L28" s="63"/>
      <c r="M28" s="146">
        <f t="shared" si="4"/>
        <v>1779.6509999999998</v>
      </c>
      <c r="N28" s="61">
        <f t="shared" si="5"/>
        <v>0</v>
      </c>
      <c r="O28" s="146">
        <f t="shared" si="6"/>
        <v>579.65099999999995</v>
      </c>
      <c r="P28" s="146">
        <f t="shared" si="7"/>
        <v>579.65099999999995</v>
      </c>
      <c r="Q28" s="146">
        <f t="shared" si="8"/>
        <v>1200</v>
      </c>
    </row>
    <row r="29" spans="1:17" ht="35.25" customHeight="1">
      <c r="A29" s="80">
        <v>6</v>
      </c>
      <c r="B29" s="75" t="s">
        <v>183</v>
      </c>
      <c r="C29" s="80" t="s">
        <v>184</v>
      </c>
      <c r="D29" s="82">
        <v>3500</v>
      </c>
      <c r="E29" s="82">
        <v>1800</v>
      </c>
      <c r="F29" s="82">
        <v>1800</v>
      </c>
      <c r="G29" s="105">
        <v>771.99199999999996</v>
      </c>
      <c r="H29" s="105">
        <v>771.99199999999996</v>
      </c>
      <c r="I29" s="105">
        <v>771.99199999999996</v>
      </c>
      <c r="J29" s="105">
        <v>771.99199999999996</v>
      </c>
      <c r="K29" s="82">
        <v>1800</v>
      </c>
      <c r="L29" s="65"/>
      <c r="M29" s="146">
        <f t="shared" si="4"/>
        <v>2728.0079999999998</v>
      </c>
      <c r="N29" s="61">
        <f t="shared" si="5"/>
        <v>0</v>
      </c>
      <c r="O29" s="146">
        <f t="shared" si="6"/>
        <v>1028.008</v>
      </c>
      <c r="P29" s="146">
        <f t="shared" si="7"/>
        <v>1028.008</v>
      </c>
      <c r="Q29" s="146">
        <f t="shared" si="8"/>
        <v>1699.9999999999998</v>
      </c>
    </row>
    <row r="30" spans="1:17" ht="35.25" customHeight="1">
      <c r="A30" s="80">
        <v>7</v>
      </c>
      <c r="B30" s="75" t="s">
        <v>185</v>
      </c>
      <c r="C30" s="80" t="s">
        <v>186</v>
      </c>
      <c r="D30" s="82">
        <v>1900</v>
      </c>
      <c r="E30" s="82">
        <v>1000</v>
      </c>
      <c r="F30" s="82">
        <v>1000</v>
      </c>
      <c r="G30" s="105">
        <v>414.71600000000001</v>
      </c>
      <c r="H30" s="105">
        <v>414.71600000000001</v>
      </c>
      <c r="I30" s="105">
        <v>414.71600000000001</v>
      </c>
      <c r="J30" s="105">
        <v>414.71600000000001</v>
      </c>
      <c r="K30" s="82">
        <v>1000</v>
      </c>
      <c r="L30" s="66"/>
      <c r="M30" s="146">
        <f t="shared" si="4"/>
        <v>1485.2840000000001</v>
      </c>
      <c r="N30" s="61">
        <f t="shared" si="5"/>
        <v>0</v>
      </c>
      <c r="O30" s="146">
        <f t="shared" si="6"/>
        <v>585.28399999999999</v>
      </c>
      <c r="P30" s="146">
        <f t="shared" si="7"/>
        <v>585.28399999999999</v>
      </c>
      <c r="Q30" s="146">
        <f t="shared" si="8"/>
        <v>900.00000000000011</v>
      </c>
    </row>
    <row r="31" spans="1:17" s="51" customFormat="1" ht="35.25" customHeight="1">
      <c r="A31" s="80">
        <v>8</v>
      </c>
      <c r="B31" s="75" t="s">
        <v>187</v>
      </c>
      <c r="C31" s="80" t="s">
        <v>184</v>
      </c>
      <c r="D31" s="82">
        <v>2500</v>
      </c>
      <c r="E31" s="82">
        <v>1200</v>
      </c>
      <c r="F31" s="82">
        <v>1200</v>
      </c>
      <c r="G31" s="105">
        <v>640.14700000000005</v>
      </c>
      <c r="H31" s="105">
        <v>640.14700000000005</v>
      </c>
      <c r="I31" s="105">
        <v>640.14700000000005</v>
      </c>
      <c r="J31" s="105">
        <v>640.14700000000005</v>
      </c>
      <c r="K31" s="82">
        <v>1200</v>
      </c>
      <c r="L31" s="64"/>
      <c r="M31" s="146">
        <f t="shared" si="4"/>
        <v>1859.8530000000001</v>
      </c>
      <c r="N31" s="61">
        <f t="shared" si="5"/>
        <v>0</v>
      </c>
      <c r="O31" s="146">
        <f t="shared" si="6"/>
        <v>559.85299999999995</v>
      </c>
      <c r="P31" s="146">
        <f t="shared" si="7"/>
        <v>559.85299999999995</v>
      </c>
      <c r="Q31" s="146">
        <f t="shared" si="8"/>
        <v>1300</v>
      </c>
    </row>
    <row r="32" spans="1:17" s="51" customFormat="1" ht="35.25" customHeight="1">
      <c r="A32" s="80">
        <v>9</v>
      </c>
      <c r="B32" s="75" t="s">
        <v>188</v>
      </c>
      <c r="C32" s="80" t="s">
        <v>189</v>
      </c>
      <c r="D32" s="82">
        <v>1500</v>
      </c>
      <c r="E32" s="82">
        <v>1000</v>
      </c>
      <c r="F32" s="82">
        <v>1000</v>
      </c>
      <c r="G32" s="105">
        <v>393.666</v>
      </c>
      <c r="H32" s="105">
        <v>393.666</v>
      </c>
      <c r="I32" s="105">
        <v>393.666</v>
      </c>
      <c r="J32" s="105">
        <v>393.666</v>
      </c>
      <c r="K32" s="82">
        <v>1000</v>
      </c>
      <c r="L32" s="64"/>
      <c r="M32" s="146">
        <f t="shared" si="4"/>
        <v>1106.3340000000001</v>
      </c>
      <c r="N32" s="61">
        <f t="shared" si="5"/>
        <v>0</v>
      </c>
      <c r="O32" s="146">
        <f t="shared" si="6"/>
        <v>606.33400000000006</v>
      </c>
      <c r="P32" s="146">
        <f t="shared" si="7"/>
        <v>606.33400000000006</v>
      </c>
      <c r="Q32" s="146">
        <f t="shared" si="8"/>
        <v>500</v>
      </c>
    </row>
    <row r="33" spans="1:17" s="51" customFormat="1" ht="35.25" customHeight="1" thickBot="1">
      <c r="A33" s="83">
        <v>10</v>
      </c>
      <c r="B33" s="84" t="s">
        <v>190</v>
      </c>
      <c r="C33" s="83" t="s">
        <v>180</v>
      </c>
      <c r="D33" s="85">
        <v>1600</v>
      </c>
      <c r="E33" s="85">
        <v>1000</v>
      </c>
      <c r="F33" s="85">
        <v>1000</v>
      </c>
      <c r="G33" s="106">
        <v>642.18700000000001</v>
      </c>
      <c r="H33" s="106">
        <v>642.18700000000001</v>
      </c>
      <c r="I33" s="106">
        <v>642.18700000000001</v>
      </c>
      <c r="J33" s="106">
        <v>642.18700000000001</v>
      </c>
      <c r="K33" s="85">
        <v>1000</v>
      </c>
      <c r="L33" s="85"/>
      <c r="M33" s="146">
        <f t="shared" si="4"/>
        <v>957.81299999999999</v>
      </c>
      <c r="N33" s="61">
        <f t="shared" si="5"/>
        <v>0</v>
      </c>
      <c r="O33" s="146">
        <f t="shared" si="6"/>
        <v>357.81299999999999</v>
      </c>
      <c r="P33" s="146">
        <f t="shared" si="7"/>
        <v>357.81299999999999</v>
      </c>
      <c r="Q33" s="146">
        <f t="shared" si="8"/>
        <v>600</v>
      </c>
    </row>
    <row r="34" spans="1:17" ht="27.75" customHeight="1" thickTop="1">
      <c r="P34" s="57"/>
    </row>
  </sheetData>
  <mergeCells count="18">
    <mergeCell ref="I6:I7"/>
    <mergeCell ref="J6:J7"/>
    <mergeCell ref="A1:B1"/>
    <mergeCell ref="A2:L2"/>
    <mergeCell ref="A3:L3"/>
    <mergeCell ref="L5:L7"/>
    <mergeCell ref="E4:L4"/>
    <mergeCell ref="A5:A7"/>
    <mergeCell ref="B5:B7"/>
    <mergeCell ref="C5:C7"/>
    <mergeCell ref="D5:D7"/>
    <mergeCell ref="G5:H5"/>
    <mergeCell ref="I5:J5"/>
    <mergeCell ref="K5:K7"/>
    <mergeCell ref="E5:F5"/>
    <mergeCell ref="E6:E7"/>
    <mergeCell ref="G6:G7"/>
    <mergeCell ref="H6:H7"/>
  </mergeCells>
  <pageMargins left="0.39370078740157483" right="0" top="0.51181102362204722" bottom="0.51181102362204722" header="0.31496062992125984" footer="0.31496062992125984"/>
  <pageSetup paperSize="9" scale="5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5.6"/>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L13"/>
  <sheetViews>
    <sheetView view="pageBreakPreview" zoomScale="60" zoomScaleNormal="70" workbookViewId="0">
      <selection activeCell="S7" sqref="S7"/>
    </sheetView>
  </sheetViews>
  <sheetFormatPr defaultColWidth="7.69921875" defaultRowHeight="15.6"/>
  <cols>
    <col min="2" max="2" width="28.5" customWidth="1"/>
    <col min="3" max="3" width="11" customWidth="1"/>
    <col min="4" max="4" width="10.3984375" customWidth="1"/>
    <col min="5" max="7" width="12.3984375" customWidth="1"/>
    <col min="8" max="8" width="10.8984375" customWidth="1"/>
    <col min="9" max="10" width="8.09765625" customWidth="1"/>
    <col min="11" max="11" width="12.59765625" customWidth="1"/>
    <col min="12" max="12" width="21.59765625" customWidth="1"/>
    <col min="250" max="250" width="26.69921875" customWidth="1"/>
    <col min="257" max="259" width="0" hidden="1" customWidth="1"/>
    <col min="506" max="506" width="26.69921875" customWidth="1"/>
    <col min="513" max="515" width="0" hidden="1" customWidth="1"/>
    <col min="762" max="762" width="26.69921875" customWidth="1"/>
    <col min="769" max="771" width="0" hidden="1" customWidth="1"/>
    <col min="1018" max="1018" width="26.69921875" customWidth="1"/>
    <col min="1025" max="1027" width="0" hidden="1" customWidth="1"/>
    <col min="1274" max="1274" width="26.69921875" customWidth="1"/>
    <col min="1281" max="1283" width="0" hidden="1" customWidth="1"/>
    <col min="1530" max="1530" width="26.69921875" customWidth="1"/>
    <col min="1537" max="1539" width="0" hidden="1" customWidth="1"/>
    <col min="1786" max="1786" width="26.69921875" customWidth="1"/>
    <col min="1793" max="1795" width="0" hidden="1" customWidth="1"/>
    <col min="2042" max="2042" width="26.69921875" customWidth="1"/>
    <col min="2049" max="2051" width="0" hidden="1" customWidth="1"/>
    <col min="2298" max="2298" width="26.69921875" customWidth="1"/>
    <col min="2305" max="2307" width="0" hidden="1" customWidth="1"/>
    <col min="2554" max="2554" width="26.69921875" customWidth="1"/>
    <col min="2561" max="2563" width="0" hidden="1" customWidth="1"/>
    <col min="2810" max="2810" width="26.69921875" customWidth="1"/>
    <col min="2817" max="2819" width="0" hidden="1" customWidth="1"/>
    <col min="3066" max="3066" width="26.69921875" customWidth="1"/>
    <col min="3073" max="3075" width="0" hidden="1" customWidth="1"/>
    <col min="3322" max="3322" width="26.69921875" customWidth="1"/>
    <col min="3329" max="3331" width="0" hidden="1" customWidth="1"/>
    <col min="3578" max="3578" width="26.69921875" customWidth="1"/>
    <col min="3585" max="3587" width="0" hidden="1" customWidth="1"/>
    <col min="3834" max="3834" width="26.69921875" customWidth="1"/>
    <col min="3841" max="3843" width="0" hidden="1" customWidth="1"/>
    <col min="4090" max="4090" width="26.69921875" customWidth="1"/>
    <col min="4097" max="4099" width="0" hidden="1" customWidth="1"/>
    <col min="4346" max="4346" width="26.69921875" customWidth="1"/>
    <col min="4353" max="4355" width="0" hidden="1" customWidth="1"/>
    <col min="4602" max="4602" width="26.69921875" customWidth="1"/>
    <col min="4609" max="4611" width="0" hidden="1" customWidth="1"/>
    <col min="4858" max="4858" width="26.69921875" customWidth="1"/>
    <col min="4865" max="4867" width="0" hidden="1" customWidth="1"/>
    <col min="5114" max="5114" width="26.69921875" customWidth="1"/>
    <col min="5121" max="5123" width="0" hidden="1" customWidth="1"/>
    <col min="5370" max="5370" width="26.69921875" customWidth="1"/>
    <col min="5377" max="5379" width="0" hidden="1" customWidth="1"/>
    <col min="5626" max="5626" width="26.69921875" customWidth="1"/>
    <col min="5633" max="5635" width="0" hidden="1" customWidth="1"/>
    <col min="5882" max="5882" width="26.69921875" customWidth="1"/>
    <col min="5889" max="5891" width="0" hidden="1" customWidth="1"/>
    <col min="6138" max="6138" width="26.69921875" customWidth="1"/>
    <col min="6145" max="6147" width="0" hidden="1" customWidth="1"/>
    <col min="6394" max="6394" width="26.69921875" customWidth="1"/>
    <col min="6401" max="6403" width="0" hidden="1" customWidth="1"/>
    <col min="6650" max="6650" width="26.69921875" customWidth="1"/>
    <col min="6657" max="6659" width="0" hidden="1" customWidth="1"/>
    <col min="6906" max="6906" width="26.69921875" customWidth="1"/>
    <col min="6913" max="6915" width="0" hidden="1" customWidth="1"/>
    <col min="7162" max="7162" width="26.69921875" customWidth="1"/>
    <col min="7169" max="7171" width="0" hidden="1" customWidth="1"/>
    <col min="7418" max="7418" width="26.69921875" customWidth="1"/>
    <col min="7425" max="7427" width="0" hidden="1" customWidth="1"/>
    <col min="7674" max="7674" width="26.69921875" customWidth="1"/>
    <col min="7681" max="7683" width="0" hidden="1" customWidth="1"/>
    <col min="7930" max="7930" width="26.69921875" customWidth="1"/>
    <col min="7937" max="7939" width="0" hidden="1" customWidth="1"/>
    <col min="8186" max="8186" width="26.69921875" customWidth="1"/>
    <col min="8193" max="8195" width="0" hidden="1" customWidth="1"/>
    <col min="8442" max="8442" width="26.69921875" customWidth="1"/>
    <col min="8449" max="8451" width="0" hidden="1" customWidth="1"/>
    <col min="8698" max="8698" width="26.69921875" customWidth="1"/>
    <col min="8705" max="8707" width="0" hidden="1" customWidth="1"/>
    <col min="8954" max="8954" width="26.69921875" customWidth="1"/>
    <col min="8961" max="8963" width="0" hidden="1" customWidth="1"/>
    <col min="9210" max="9210" width="26.69921875" customWidth="1"/>
    <col min="9217" max="9219" width="0" hidden="1" customWidth="1"/>
    <col min="9466" max="9466" width="26.69921875" customWidth="1"/>
    <col min="9473" max="9475" width="0" hidden="1" customWidth="1"/>
    <col min="9722" max="9722" width="26.69921875" customWidth="1"/>
    <col min="9729" max="9731" width="0" hidden="1" customWidth="1"/>
    <col min="9978" max="9978" width="26.69921875" customWidth="1"/>
    <col min="9985" max="9987" width="0" hidden="1" customWidth="1"/>
    <col min="10234" max="10234" width="26.69921875" customWidth="1"/>
    <col min="10241" max="10243" width="0" hidden="1" customWidth="1"/>
    <col min="10490" max="10490" width="26.69921875" customWidth="1"/>
    <col min="10497" max="10499" width="0" hidden="1" customWidth="1"/>
    <col min="10746" max="10746" width="26.69921875" customWidth="1"/>
    <col min="10753" max="10755" width="0" hidden="1" customWidth="1"/>
    <col min="11002" max="11002" width="26.69921875" customWidth="1"/>
    <col min="11009" max="11011" width="0" hidden="1" customWidth="1"/>
    <col min="11258" max="11258" width="26.69921875" customWidth="1"/>
    <col min="11265" max="11267" width="0" hidden="1" customWidth="1"/>
    <col min="11514" max="11514" width="26.69921875" customWidth="1"/>
    <col min="11521" max="11523" width="0" hidden="1" customWidth="1"/>
    <col min="11770" max="11770" width="26.69921875" customWidth="1"/>
    <col min="11777" max="11779" width="0" hidden="1" customWidth="1"/>
    <col min="12026" max="12026" width="26.69921875" customWidth="1"/>
    <col min="12033" max="12035" width="0" hidden="1" customWidth="1"/>
    <col min="12282" max="12282" width="26.69921875" customWidth="1"/>
    <col min="12289" max="12291" width="0" hidden="1" customWidth="1"/>
    <col min="12538" max="12538" width="26.69921875" customWidth="1"/>
    <col min="12545" max="12547" width="0" hidden="1" customWidth="1"/>
    <col min="12794" max="12794" width="26.69921875" customWidth="1"/>
    <col min="12801" max="12803" width="0" hidden="1" customWidth="1"/>
    <col min="13050" max="13050" width="26.69921875" customWidth="1"/>
    <col min="13057" max="13059" width="0" hidden="1" customWidth="1"/>
    <col min="13306" max="13306" width="26.69921875" customWidth="1"/>
    <col min="13313" max="13315" width="0" hidden="1" customWidth="1"/>
    <col min="13562" max="13562" width="26.69921875" customWidth="1"/>
    <col min="13569" max="13571" width="0" hidden="1" customWidth="1"/>
    <col min="13818" max="13818" width="26.69921875" customWidth="1"/>
    <col min="13825" max="13827" width="0" hidden="1" customWidth="1"/>
    <col min="14074" max="14074" width="26.69921875" customWidth="1"/>
    <col min="14081" max="14083" width="0" hidden="1" customWidth="1"/>
    <col min="14330" max="14330" width="26.69921875" customWidth="1"/>
    <col min="14337" max="14339" width="0" hidden="1" customWidth="1"/>
    <col min="14586" max="14586" width="26.69921875" customWidth="1"/>
    <col min="14593" max="14595" width="0" hidden="1" customWidth="1"/>
    <col min="14842" max="14842" width="26.69921875" customWidth="1"/>
    <col min="14849" max="14851" width="0" hidden="1" customWidth="1"/>
    <col min="15098" max="15098" width="26.69921875" customWidth="1"/>
    <col min="15105" max="15107" width="0" hidden="1" customWidth="1"/>
    <col min="15354" max="15354" width="26.69921875" customWidth="1"/>
    <col min="15361" max="15363" width="0" hidden="1" customWidth="1"/>
    <col min="15610" max="15610" width="26.69921875" customWidth="1"/>
    <col min="15617" max="15619" width="0" hidden="1" customWidth="1"/>
    <col min="15866" max="15866" width="26.69921875" customWidth="1"/>
    <col min="15873" max="15875" width="0" hidden="1" customWidth="1"/>
    <col min="16122" max="16122" width="26.69921875" customWidth="1"/>
    <col min="16129" max="16131" width="0" hidden="1" customWidth="1"/>
  </cols>
  <sheetData>
    <row r="1" spans="1:12" ht="17.399999999999999">
      <c r="A1" s="781" t="s">
        <v>96</v>
      </c>
      <c r="B1" s="781"/>
      <c r="C1" s="781"/>
      <c r="D1" s="781"/>
      <c r="E1" s="781"/>
      <c r="F1" s="781"/>
      <c r="G1" s="781"/>
      <c r="H1" s="781"/>
      <c r="I1" s="781"/>
      <c r="J1" s="781"/>
      <c r="K1" s="781"/>
      <c r="L1" s="781"/>
    </row>
    <row r="2" spans="1:12" ht="17.399999999999999">
      <c r="A2" s="782" t="s">
        <v>291</v>
      </c>
      <c r="B2" s="782"/>
      <c r="C2" s="782"/>
      <c r="D2" s="782"/>
      <c r="E2" s="782"/>
      <c r="F2" s="782"/>
      <c r="G2" s="782"/>
      <c r="H2" s="782"/>
      <c r="I2" s="782"/>
      <c r="J2" s="782"/>
      <c r="K2" s="782"/>
      <c r="L2" s="782"/>
    </row>
    <row r="3" spans="1:12" s="227" customFormat="1" ht="18">
      <c r="A3" s="783" t="e">
        <f>#REF!</f>
        <v>#REF!</v>
      </c>
      <c r="B3" s="783"/>
      <c r="C3" s="783"/>
      <c r="D3" s="783"/>
      <c r="E3" s="783"/>
      <c r="F3" s="783"/>
      <c r="G3" s="783"/>
      <c r="H3" s="783"/>
      <c r="I3" s="783"/>
      <c r="J3" s="783"/>
      <c r="K3" s="783"/>
      <c r="L3" s="783"/>
    </row>
    <row r="4" spans="1:12" ht="18">
      <c r="A4" s="784" t="s">
        <v>10</v>
      </c>
      <c r="B4" s="784"/>
      <c r="C4" s="784"/>
      <c r="D4" s="784"/>
      <c r="E4" s="784"/>
      <c r="F4" s="784"/>
      <c r="G4" s="784"/>
      <c r="H4" s="784"/>
      <c r="I4" s="784"/>
      <c r="J4" s="784"/>
      <c r="K4" s="784"/>
      <c r="L4" s="784"/>
    </row>
    <row r="5" spans="1:12" ht="45.75" customHeight="1">
      <c r="A5" s="785" t="s">
        <v>0</v>
      </c>
      <c r="B5" s="785" t="s">
        <v>1</v>
      </c>
      <c r="C5" s="665" t="s">
        <v>292</v>
      </c>
      <c r="D5" s="665"/>
      <c r="E5" s="665"/>
      <c r="F5" s="665" t="s">
        <v>293</v>
      </c>
      <c r="G5" s="665"/>
      <c r="H5" s="665"/>
      <c r="I5" s="665" t="s">
        <v>294</v>
      </c>
      <c r="J5" s="665"/>
      <c r="K5" s="665" t="s">
        <v>295</v>
      </c>
      <c r="L5" s="785" t="s">
        <v>8</v>
      </c>
    </row>
    <row r="6" spans="1:12" ht="28.5" customHeight="1">
      <c r="A6" s="785"/>
      <c r="B6" s="785"/>
      <c r="C6" s="665" t="s">
        <v>296</v>
      </c>
      <c r="D6" s="665" t="s">
        <v>297</v>
      </c>
      <c r="E6" s="665" t="s">
        <v>298</v>
      </c>
      <c r="F6" s="665" t="s">
        <v>6</v>
      </c>
      <c r="G6" s="665" t="s">
        <v>299</v>
      </c>
      <c r="H6" s="665"/>
      <c r="I6" s="665" t="s">
        <v>300</v>
      </c>
      <c r="J6" s="665" t="s">
        <v>301</v>
      </c>
      <c r="K6" s="665"/>
      <c r="L6" s="785"/>
    </row>
    <row r="7" spans="1:12" ht="95.25" customHeight="1">
      <c r="A7" s="785"/>
      <c r="B7" s="785"/>
      <c r="C7" s="665"/>
      <c r="D7" s="665"/>
      <c r="E7" s="665"/>
      <c r="F7" s="665"/>
      <c r="G7" s="281" t="s">
        <v>302</v>
      </c>
      <c r="H7" s="281" t="s">
        <v>303</v>
      </c>
      <c r="I7" s="665"/>
      <c r="J7" s="665"/>
      <c r="K7" s="665"/>
      <c r="L7" s="785"/>
    </row>
    <row r="8" spans="1:12">
      <c r="A8" s="28">
        <v>1</v>
      </c>
      <c r="B8" s="28">
        <v>2</v>
      </c>
      <c r="C8" s="28">
        <v>3</v>
      </c>
      <c r="D8" s="28">
        <v>4</v>
      </c>
      <c r="E8" s="28">
        <v>5</v>
      </c>
      <c r="F8" s="28">
        <v>6</v>
      </c>
      <c r="G8" s="28">
        <v>7</v>
      </c>
      <c r="H8" s="28">
        <v>8</v>
      </c>
      <c r="I8" s="28">
        <v>9</v>
      </c>
      <c r="J8" s="28">
        <v>10</v>
      </c>
      <c r="K8" s="28">
        <v>11</v>
      </c>
      <c r="L8" s="28">
        <v>12</v>
      </c>
    </row>
    <row r="9" spans="1:12">
      <c r="A9" s="228"/>
      <c r="B9" s="229" t="s">
        <v>9</v>
      </c>
      <c r="C9" s="223"/>
      <c r="D9" s="223"/>
      <c r="E9" s="223"/>
      <c r="F9" s="223"/>
      <c r="G9" s="223"/>
      <c r="H9" s="223"/>
      <c r="I9" s="223"/>
      <c r="J9" s="223"/>
      <c r="K9" s="223"/>
      <c r="L9" s="223"/>
    </row>
    <row r="10" spans="1:12" s="232" customFormat="1" ht="45.75" customHeight="1">
      <c r="A10" s="230" t="s">
        <v>28</v>
      </c>
      <c r="B10" s="231" t="s">
        <v>288</v>
      </c>
      <c r="C10" s="223"/>
      <c r="D10" s="283">
        <f>SUM(D11:D13)</f>
        <v>92000</v>
      </c>
      <c r="E10" s="283">
        <f t="shared" ref="E10:K10" si="0">SUM(E11:E13)</f>
        <v>92000</v>
      </c>
      <c r="F10" s="283">
        <f t="shared" si="0"/>
        <v>79000</v>
      </c>
      <c r="G10" s="283">
        <f t="shared" si="0"/>
        <v>0</v>
      </c>
      <c r="H10" s="283">
        <f t="shared" si="0"/>
        <v>47378</v>
      </c>
      <c r="I10" s="283">
        <f t="shared" si="0"/>
        <v>27000</v>
      </c>
      <c r="J10" s="283">
        <f t="shared" si="0"/>
        <v>27000</v>
      </c>
      <c r="K10" s="283">
        <f t="shared" si="0"/>
        <v>79000</v>
      </c>
      <c r="L10" s="223"/>
    </row>
    <row r="11" spans="1:12" ht="111.75" customHeight="1">
      <c r="A11" s="233">
        <v>1</v>
      </c>
      <c r="B11" s="234" t="s">
        <v>280</v>
      </c>
      <c r="C11" s="235" t="s">
        <v>304</v>
      </c>
      <c r="D11" s="236">
        <v>65000</v>
      </c>
      <c r="E11" s="236">
        <v>65000</v>
      </c>
      <c r="F11" s="236">
        <v>52000</v>
      </c>
      <c r="G11" s="236"/>
      <c r="H11" s="236">
        <v>38689</v>
      </c>
      <c r="I11" s="236">
        <v>13000</v>
      </c>
      <c r="J11" s="236"/>
      <c r="K11" s="236">
        <v>65000</v>
      </c>
      <c r="L11" s="237" t="s">
        <v>305</v>
      </c>
    </row>
    <row r="12" spans="1:12" ht="45" customHeight="1">
      <c r="A12" s="238" t="s">
        <v>51</v>
      </c>
      <c r="B12" s="234" t="s">
        <v>306</v>
      </c>
      <c r="C12" s="223"/>
      <c r="D12" s="236">
        <v>27000</v>
      </c>
      <c r="E12" s="236">
        <v>27000</v>
      </c>
      <c r="F12" s="236">
        <v>27000</v>
      </c>
      <c r="G12" s="236"/>
      <c r="H12" s="236">
        <v>8689</v>
      </c>
      <c r="I12" s="236"/>
      <c r="J12" s="236">
        <v>27000</v>
      </c>
      <c r="K12" s="236"/>
      <c r="L12" s="228" t="s">
        <v>307</v>
      </c>
    </row>
    <row r="13" spans="1:12" ht="136.5" customHeight="1">
      <c r="A13" s="238" t="s">
        <v>52</v>
      </c>
      <c r="B13" s="239" t="s">
        <v>308</v>
      </c>
      <c r="C13" s="223"/>
      <c r="D13" s="236"/>
      <c r="E13" s="236"/>
      <c r="F13" s="236"/>
      <c r="G13" s="236"/>
      <c r="H13" s="236"/>
      <c r="I13" s="236">
        <v>14000</v>
      </c>
      <c r="J13" s="236"/>
      <c r="K13" s="236">
        <v>14000</v>
      </c>
      <c r="L13" s="237" t="s">
        <v>309</v>
      </c>
    </row>
  </sheetData>
  <mergeCells count="18">
    <mergeCell ref="J6:J7"/>
    <mergeCell ref="A1:L1"/>
    <mergeCell ref="A2:L2"/>
    <mergeCell ref="A3:L3"/>
    <mergeCell ref="A4:L4"/>
    <mergeCell ref="A5:A7"/>
    <mergeCell ref="B5:B7"/>
    <mergeCell ref="C5:E5"/>
    <mergeCell ref="F5:H5"/>
    <mergeCell ref="I5:J5"/>
    <mergeCell ref="K5:K7"/>
    <mergeCell ref="L5:L7"/>
    <mergeCell ref="C6:C7"/>
    <mergeCell ref="D6:D7"/>
    <mergeCell ref="E6:E7"/>
    <mergeCell ref="F6:F7"/>
    <mergeCell ref="G6:H6"/>
    <mergeCell ref="I6:I7"/>
  </mergeCells>
  <pageMargins left="0.7" right="0.7" top="0.75" bottom="0.75" header="0.3" footer="0.3"/>
  <pageSetup paperSize="9" scale="7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L40"/>
  <sheetViews>
    <sheetView view="pageBreakPreview" topLeftCell="A7" zoomScale="60" zoomScaleNormal="80" workbookViewId="0">
      <selection activeCell="P19" sqref="P19"/>
    </sheetView>
  </sheetViews>
  <sheetFormatPr defaultRowHeight="15.6"/>
  <cols>
    <col min="1" max="1" width="6.19921875" customWidth="1"/>
    <col min="2" max="2" width="33.19921875" customWidth="1"/>
    <col min="3" max="3" width="10.69921875" customWidth="1"/>
    <col min="4" max="4" width="11" customWidth="1"/>
    <col min="5" max="5" width="10.69921875" customWidth="1"/>
    <col min="6" max="7" width="9.69921875" customWidth="1"/>
    <col min="9" max="9" width="10.69921875" bestFit="1" customWidth="1"/>
    <col min="10" max="10" width="12.09765625" customWidth="1"/>
    <col min="11" max="11" width="19.59765625" customWidth="1"/>
    <col min="12" max="12" width="9.09765625" customWidth="1"/>
  </cols>
  <sheetData>
    <row r="1" spans="1:12">
      <c r="A1" s="649" t="s">
        <v>326</v>
      </c>
      <c r="B1" s="649"/>
      <c r="C1" s="649"/>
      <c r="D1" s="649"/>
      <c r="E1" s="649"/>
      <c r="F1" s="649"/>
      <c r="G1" s="649"/>
      <c r="H1" s="649"/>
      <c r="I1" s="649"/>
      <c r="J1" s="649"/>
      <c r="K1" s="649"/>
      <c r="L1" s="649"/>
    </row>
    <row r="2" spans="1:12" ht="20.25" customHeight="1">
      <c r="A2" s="786" t="s">
        <v>328</v>
      </c>
      <c r="B2" s="786"/>
      <c r="C2" s="786"/>
      <c r="D2" s="786"/>
      <c r="E2" s="786"/>
      <c r="F2" s="786"/>
      <c r="G2" s="786"/>
      <c r="H2" s="786"/>
      <c r="I2" s="786"/>
      <c r="J2" s="786"/>
      <c r="K2" s="786"/>
      <c r="L2" s="786"/>
    </row>
    <row r="3" spans="1:12" ht="18">
      <c r="A3" s="787" t="e">
        <f>'Biểu 04 DC trung han  2021-2025'!A3:L3</f>
        <v>#REF!</v>
      </c>
      <c r="B3" s="788"/>
      <c r="C3" s="788"/>
      <c r="D3" s="788"/>
      <c r="E3" s="788"/>
      <c r="F3" s="788"/>
      <c r="G3" s="788"/>
      <c r="H3" s="788"/>
      <c r="I3" s="788"/>
      <c r="J3" s="788"/>
      <c r="K3" s="788"/>
      <c r="L3" s="788"/>
    </row>
    <row r="4" spans="1:12">
      <c r="K4" s="789" t="s">
        <v>10</v>
      </c>
      <c r="L4" s="789"/>
    </row>
    <row r="5" spans="1:12" ht="45.75" customHeight="1">
      <c r="A5" s="735" t="s">
        <v>310</v>
      </c>
      <c r="B5" s="701" t="s">
        <v>1</v>
      </c>
      <c r="C5" s="674" t="s">
        <v>87</v>
      </c>
      <c r="D5" s="696" t="s">
        <v>311</v>
      </c>
      <c r="E5" s="790"/>
      <c r="F5" s="696" t="s">
        <v>324</v>
      </c>
      <c r="G5" s="790"/>
      <c r="H5" s="696" t="s">
        <v>331</v>
      </c>
      <c r="I5" s="790"/>
      <c r="J5" s="674" t="s">
        <v>332</v>
      </c>
      <c r="K5" s="698" t="s">
        <v>313</v>
      </c>
      <c r="L5" s="701" t="s">
        <v>8</v>
      </c>
    </row>
    <row r="6" spans="1:12">
      <c r="A6" s="735"/>
      <c r="B6" s="701"/>
      <c r="C6" s="676"/>
      <c r="D6" s="698" t="s">
        <v>314</v>
      </c>
      <c r="E6" s="698" t="str">
        <f>G6</f>
        <v>Trong đó: Vốn NSĐP</v>
      </c>
      <c r="F6" s="698" t="s">
        <v>314</v>
      </c>
      <c r="G6" s="698" t="s">
        <v>330</v>
      </c>
      <c r="H6" s="665" t="s">
        <v>300</v>
      </c>
      <c r="I6" s="668" t="s">
        <v>301</v>
      </c>
      <c r="J6" s="676"/>
      <c r="K6" s="699"/>
      <c r="L6" s="701"/>
    </row>
    <row r="7" spans="1:12">
      <c r="A7" s="735"/>
      <c r="B7" s="701"/>
      <c r="C7" s="676"/>
      <c r="D7" s="699"/>
      <c r="E7" s="699"/>
      <c r="F7" s="699"/>
      <c r="G7" s="699"/>
      <c r="H7" s="665"/>
      <c r="I7" s="795"/>
      <c r="J7" s="676"/>
      <c r="K7" s="699"/>
      <c r="L7" s="701"/>
    </row>
    <row r="8" spans="1:12">
      <c r="A8" s="735"/>
      <c r="B8" s="701"/>
      <c r="C8" s="676"/>
      <c r="D8" s="699"/>
      <c r="E8" s="699"/>
      <c r="F8" s="699"/>
      <c r="G8" s="699"/>
      <c r="H8" s="665"/>
      <c r="I8" s="795"/>
      <c r="J8" s="676"/>
      <c r="K8" s="699"/>
      <c r="L8" s="701"/>
    </row>
    <row r="9" spans="1:12">
      <c r="A9" s="735"/>
      <c r="B9" s="701"/>
      <c r="C9" s="676"/>
      <c r="D9" s="699"/>
      <c r="E9" s="699"/>
      <c r="F9" s="699"/>
      <c r="G9" s="699"/>
      <c r="H9" s="665"/>
      <c r="I9" s="795"/>
      <c r="J9" s="676"/>
      <c r="K9" s="699"/>
      <c r="L9" s="701"/>
    </row>
    <row r="10" spans="1:12">
      <c r="A10" s="735"/>
      <c r="B10" s="701"/>
      <c r="C10" s="678"/>
      <c r="D10" s="699"/>
      <c r="E10" s="699"/>
      <c r="F10" s="699"/>
      <c r="G10" s="699"/>
      <c r="H10" s="665"/>
      <c r="I10" s="795"/>
      <c r="J10" s="676"/>
      <c r="K10" s="699"/>
      <c r="L10" s="701"/>
    </row>
    <row r="11" spans="1:12" ht="26.25" customHeight="1">
      <c r="A11" s="226"/>
      <c r="B11" s="226" t="s">
        <v>250</v>
      </c>
      <c r="C11" s="278">
        <f t="shared" ref="C11:I11" si="0">SUM(C12:C24)</f>
        <v>193053.283</v>
      </c>
      <c r="D11" s="278">
        <f t="shared" si="0"/>
        <v>20850.391000000003</v>
      </c>
      <c r="E11" s="278">
        <f t="shared" si="0"/>
        <v>20850.391000000003</v>
      </c>
      <c r="F11" s="278">
        <f t="shared" si="0"/>
        <v>20850.391000000003</v>
      </c>
      <c r="G11" s="278">
        <f t="shared" si="0"/>
        <v>20850.391000000003</v>
      </c>
      <c r="H11" s="278">
        <f t="shared" si="0"/>
        <v>0</v>
      </c>
      <c r="I11" s="250">
        <f t="shared" si="0"/>
        <v>106.54399999999998</v>
      </c>
      <c r="J11" s="278">
        <f>SUM(J12:J24)</f>
        <v>20743.847000000005</v>
      </c>
      <c r="K11" s="226"/>
      <c r="L11" s="226"/>
    </row>
    <row r="12" spans="1:12" ht="39.75" customHeight="1">
      <c r="A12" s="2">
        <v>1</v>
      </c>
      <c r="B12" s="244" t="s">
        <v>209</v>
      </c>
      <c r="C12" s="243">
        <v>3162.11</v>
      </c>
      <c r="D12" s="247">
        <f>E12</f>
        <v>789.79100000000005</v>
      </c>
      <c r="E12" s="247">
        <f>F12</f>
        <v>789.79100000000005</v>
      </c>
      <c r="F12" s="247">
        <v>789.79100000000005</v>
      </c>
      <c r="G12" s="247">
        <f>F12</f>
        <v>789.79100000000005</v>
      </c>
      <c r="H12" s="247"/>
      <c r="I12" s="247">
        <f>G12-J12</f>
        <v>12.55600000000004</v>
      </c>
      <c r="J12" s="254">
        <v>777.23500000000001</v>
      </c>
      <c r="K12" s="796" t="s">
        <v>329</v>
      </c>
      <c r="L12" s="792" t="s">
        <v>342</v>
      </c>
    </row>
    <row r="13" spans="1:12" ht="39.75" customHeight="1">
      <c r="A13" s="2">
        <v>2</v>
      </c>
      <c r="B13" s="244" t="s">
        <v>211</v>
      </c>
      <c r="C13" s="243">
        <v>43500</v>
      </c>
      <c r="D13" s="247">
        <f>E13</f>
        <v>1047.5229999999999</v>
      </c>
      <c r="E13" s="247">
        <f>F13</f>
        <v>1047.5229999999999</v>
      </c>
      <c r="F13" s="254">
        <v>1047.5229999999999</v>
      </c>
      <c r="G13" s="254">
        <f>F13</f>
        <v>1047.5229999999999</v>
      </c>
      <c r="H13" s="243"/>
      <c r="I13" s="254">
        <f>G13-J13</f>
        <v>93.987999999999943</v>
      </c>
      <c r="J13" s="242">
        <v>953.53499999999997</v>
      </c>
      <c r="K13" s="796"/>
      <c r="L13" s="794"/>
    </row>
    <row r="14" spans="1:12" s="265" customFormat="1" ht="46.8">
      <c r="A14" s="2">
        <v>3</v>
      </c>
      <c r="B14" s="154" t="s">
        <v>195</v>
      </c>
      <c r="C14" s="243">
        <v>12000</v>
      </c>
      <c r="D14" s="243">
        <v>6800</v>
      </c>
      <c r="E14" s="243">
        <v>6800</v>
      </c>
      <c r="F14" s="243">
        <v>6800</v>
      </c>
      <c r="G14" s="243">
        <v>6800</v>
      </c>
      <c r="H14" s="243"/>
      <c r="I14" s="243"/>
      <c r="J14" s="243">
        <v>6800</v>
      </c>
      <c r="K14" s="245"/>
      <c r="L14" s="792" t="s">
        <v>334</v>
      </c>
    </row>
    <row r="15" spans="1:12" s="265" customFormat="1" ht="31.2">
      <c r="A15" s="2">
        <v>4</v>
      </c>
      <c r="B15" s="154" t="s">
        <v>196</v>
      </c>
      <c r="C15" s="243">
        <v>7500</v>
      </c>
      <c r="D15" s="243">
        <v>2969</v>
      </c>
      <c r="E15" s="243">
        <v>2969</v>
      </c>
      <c r="F15" s="243">
        <v>2969</v>
      </c>
      <c r="G15" s="243">
        <v>2969</v>
      </c>
      <c r="H15" s="243"/>
      <c r="I15" s="243"/>
      <c r="J15" s="243">
        <v>2969</v>
      </c>
      <c r="K15" s="245"/>
      <c r="L15" s="793"/>
    </row>
    <row r="16" spans="1:12" s="265" customFormat="1" ht="46.8">
      <c r="A16" s="2">
        <v>5</v>
      </c>
      <c r="B16" s="154" t="s">
        <v>197</v>
      </c>
      <c r="C16" s="243">
        <v>14000</v>
      </c>
      <c r="D16" s="243">
        <v>7000</v>
      </c>
      <c r="E16" s="243">
        <v>7000</v>
      </c>
      <c r="F16" s="243">
        <v>7000</v>
      </c>
      <c r="G16" s="243">
        <v>7000</v>
      </c>
      <c r="H16" s="243"/>
      <c r="I16" s="243"/>
      <c r="J16" s="243">
        <v>7000</v>
      </c>
      <c r="K16" s="245"/>
      <c r="L16" s="793"/>
    </row>
    <row r="17" spans="1:12" s="265" customFormat="1" ht="46.8">
      <c r="A17" s="2">
        <v>6</v>
      </c>
      <c r="B17" s="154" t="s">
        <v>204</v>
      </c>
      <c r="C17" s="243">
        <v>4535</v>
      </c>
      <c r="D17" s="246">
        <v>233.768</v>
      </c>
      <c r="E17" s="246">
        <v>233.768</v>
      </c>
      <c r="F17" s="246">
        <v>233.768</v>
      </c>
      <c r="G17" s="246">
        <v>233.768</v>
      </c>
      <c r="H17" s="246"/>
      <c r="I17" s="248"/>
      <c r="J17" s="246">
        <v>233.768</v>
      </c>
      <c r="K17" s="245"/>
      <c r="L17" s="793"/>
    </row>
    <row r="18" spans="1:12" s="265" customFormat="1" ht="25.5" customHeight="1">
      <c r="A18" s="2">
        <v>7</v>
      </c>
      <c r="B18" s="154" t="s">
        <v>205</v>
      </c>
      <c r="C18" s="243">
        <v>7300</v>
      </c>
      <c r="D18" s="246">
        <v>34.366</v>
      </c>
      <c r="E18" s="246">
        <v>34.366</v>
      </c>
      <c r="F18" s="246">
        <v>34.366</v>
      </c>
      <c r="G18" s="246">
        <v>34.366</v>
      </c>
      <c r="H18" s="246"/>
      <c r="I18" s="248"/>
      <c r="J18" s="246">
        <v>34.366</v>
      </c>
      <c r="K18" s="245"/>
      <c r="L18" s="793"/>
    </row>
    <row r="19" spans="1:12" s="265" customFormat="1" ht="31.2">
      <c r="A19" s="2">
        <v>8</v>
      </c>
      <c r="B19" s="154" t="s">
        <v>206</v>
      </c>
      <c r="C19" s="243">
        <v>9200</v>
      </c>
      <c r="D19" s="246">
        <v>322.64800000000002</v>
      </c>
      <c r="E19" s="246">
        <v>322.64800000000002</v>
      </c>
      <c r="F19" s="246">
        <v>322.64800000000002</v>
      </c>
      <c r="G19" s="246">
        <v>322.64800000000002</v>
      </c>
      <c r="H19" s="246"/>
      <c r="I19" s="248"/>
      <c r="J19" s="246">
        <v>322.64800000000002</v>
      </c>
      <c r="K19" s="245"/>
      <c r="L19" s="793"/>
    </row>
    <row r="20" spans="1:12" s="265" customFormat="1" ht="31.2">
      <c r="A20" s="2">
        <v>9</v>
      </c>
      <c r="B20" s="154" t="s">
        <v>207</v>
      </c>
      <c r="C20" s="279">
        <v>30566</v>
      </c>
      <c r="D20" s="279">
        <v>809.70299999999997</v>
      </c>
      <c r="E20" s="279">
        <v>809.70299999999997</v>
      </c>
      <c r="F20" s="279">
        <v>809.70299999999997</v>
      </c>
      <c r="G20" s="279">
        <v>809.70299999999997</v>
      </c>
      <c r="H20" s="279"/>
      <c r="I20" s="280"/>
      <c r="J20" s="280">
        <v>809.70299999999997</v>
      </c>
      <c r="K20" s="240"/>
      <c r="L20" s="793"/>
    </row>
    <row r="21" spans="1:12" s="265" customFormat="1" ht="31.2">
      <c r="A21" s="2">
        <v>10</v>
      </c>
      <c r="B21" s="154" t="s">
        <v>208</v>
      </c>
      <c r="C21" s="243">
        <v>46300</v>
      </c>
      <c r="D21" s="260">
        <v>380.00799999999998</v>
      </c>
      <c r="E21" s="260">
        <v>380.00799999999998</v>
      </c>
      <c r="F21" s="260">
        <v>380.00799999999998</v>
      </c>
      <c r="G21" s="260">
        <v>380.00799999999998</v>
      </c>
      <c r="H21" s="260"/>
      <c r="I21" s="260"/>
      <c r="J21" s="260">
        <v>380.00799999999998</v>
      </c>
      <c r="K21" s="240"/>
      <c r="L21" s="793"/>
    </row>
    <row r="22" spans="1:12" s="265" customFormat="1" ht="31.2">
      <c r="A22" s="2">
        <v>11</v>
      </c>
      <c r="B22" s="154" t="s">
        <v>210</v>
      </c>
      <c r="C22" s="243">
        <v>4990.1729999999998</v>
      </c>
      <c r="D22" s="242">
        <v>165.10900000000001</v>
      </c>
      <c r="E22" s="242">
        <v>165.10900000000001</v>
      </c>
      <c r="F22" s="242">
        <v>165.10900000000001</v>
      </c>
      <c r="G22" s="242">
        <v>165.10900000000001</v>
      </c>
      <c r="H22" s="242"/>
      <c r="I22" s="242"/>
      <c r="J22" s="242">
        <v>165.10900000000001</v>
      </c>
      <c r="K22" s="244"/>
      <c r="L22" s="793"/>
    </row>
    <row r="23" spans="1:12" s="265" customFormat="1" ht="31.2">
      <c r="A23" s="2">
        <v>12</v>
      </c>
      <c r="B23" s="154" t="s">
        <v>212</v>
      </c>
      <c r="C23" s="153">
        <v>5000</v>
      </c>
      <c r="D23" s="99">
        <v>27.387</v>
      </c>
      <c r="E23" s="99">
        <v>27.387</v>
      </c>
      <c r="F23" s="99">
        <v>27.387</v>
      </c>
      <c r="G23" s="99">
        <v>27.387</v>
      </c>
      <c r="H23" s="242"/>
      <c r="I23" s="242"/>
      <c r="J23" s="99">
        <v>27.387</v>
      </c>
      <c r="K23" s="244"/>
      <c r="L23" s="793"/>
    </row>
    <row r="24" spans="1:12" s="265" customFormat="1" ht="31.2">
      <c r="A24" s="2">
        <v>13</v>
      </c>
      <c r="B24" s="154" t="s">
        <v>213</v>
      </c>
      <c r="C24" s="153">
        <v>5000</v>
      </c>
      <c r="D24" s="99">
        <v>271.08800000000002</v>
      </c>
      <c r="E24" s="99">
        <v>271.08800000000002</v>
      </c>
      <c r="F24" s="99">
        <v>271.08800000000002</v>
      </c>
      <c r="G24" s="99">
        <v>271.08800000000002</v>
      </c>
      <c r="H24" s="242"/>
      <c r="I24" s="242"/>
      <c r="J24" s="99">
        <v>271.08800000000002</v>
      </c>
      <c r="K24" s="245"/>
      <c r="L24" s="794"/>
    </row>
    <row r="25" spans="1:12" s="265" customFormat="1">
      <c r="A25" s="261"/>
      <c r="B25" s="271"/>
      <c r="C25" s="272"/>
      <c r="D25" s="272"/>
      <c r="E25" s="272"/>
      <c r="F25" s="272"/>
      <c r="G25" s="272"/>
      <c r="J25" s="272"/>
      <c r="K25" s="264"/>
      <c r="L25" s="791"/>
    </row>
    <row r="26" spans="1:12" s="265" customFormat="1">
      <c r="A26" s="261"/>
      <c r="B26" s="271"/>
      <c r="C26" s="272"/>
      <c r="D26" s="272"/>
      <c r="E26" s="272"/>
      <c r="F26" s="272"/>
      <c r="G26" s="272"/>
      <c r="J26" s="272"/>
      <c r="K26" s="264"/>
      <c r="L26" s="791"/>
    </row>
    <row r="27" spans="1:12" s="265" customFormat="1">
      <c r="A27" s="261"/>
      <c r="B27" s="271"/>
      <c r="C27" s="272"/>
      <c r="D27" s="272"/>
      <c r="E27" s="272"/>
      <c r="F27" s="272"/>
      <c r="G27" s="272"/>
      <c r="J27" s="269"/>
      <c r="K27" s="264"/>
      <c r="L27" s="791"/>
    </row>
    <row r="28" spans="1:12" s="265" customFormat="1">
      <c r="A28" s="261"/>
      <c r="B28" s="271"/>
      <c r="C28" s="272"/>
      <c r="D28" s="272"/>
      <c r="E28" s="272"/>
      <c r="F28" s="272"/>
      <c r="G28" s="272"/>
      <c r="J28" s="269"/>
      <c r="K28" s="264"/>
      <c r="L28" s="791"/>
    </row>
    <row r="29" spans="1:12" s="265" customFormat="1">
      <c r="A29" s="261"/>
      <c r="B29" s="271"/>
      <c r="C29" s="272"/>
      <c r="D29" s="272"/>
      <c r="E29" s="272"/>
      <c r="F29" s="272"/>
      <c r="G29" s="272"/>
      <c r="J29" s="269"/>
      <c r="K29" s="264"/>
      <c r="L29" s="791"/>
    </row>
    <row r="30" spans="1:12" s="265" customFormat="1">
      <c r="A30" s="261"/>
      <c r="B30" s="271"/>
      <c r="C30" s="272"/>
      <c r="D30" s="272"/>
      <c r="E30" s="272"/>
      <c r="F30" s="272"/>
      <c r="G30" s="272"/>
      <c r="J30" s="269"/>
      <c r="K30" s="264"/>
      <c r="L30" s="791"/>
    </row>
    <row r="31" spans="1:12" s="265" customFormat="1">
      <c r="A31" s="261"/>
      <c r="B31" s="271"/>
      <c r="C31" s="273"/>
      <c r="D31" s="272"/>
      <c r="E31" s="272"/>
      <c r="F31" s="272"/>
      <c r="G31" s="272"/>
      <c r="J31" s="269"/>
      <c r="K31" s="264"/>
      <c r="L31" s="791"/>
    </row>
    <row r="32" spans="1:12" s="265" customFormat="1" ht="16.2">
      <c r="A32" s="266"/>
      <c r="B32" s="268"/>
    </row>
    <row r="33" spans="1:12" s="269" customFormat="1">
      <c r="A33" s="261"/>
      <c r="B33" s="262"/>
      <c r="C33" s="274"/>
      <c r="D33" s="263"/>
      <c r="E33" s="263"/>
      <c r="F33" s="274"/>
      <c r="G33" s="263"/>
      <c r="J33" s="275"/>
    </row>
    <row r="34" spans="1:12" s="265" customFormat="1">
      <c r="A34" s="261"/>
      <c r="B34" s="262"/>
      <c r="C34" s="274"/>
      <c r="D34" s="274"/>
      <c r="E34" s="274"/>
      <c r="F34" s="274"/>
      <c r="G34" s="274"/>
      <c r="I34" s="269"/>
      <c r="J34" s="275"/>
    </row>
    <row r="35" spans="1:12" s="265" customFormat="1">
      <c r="A35" s="261"/>
      <c r="B35" s="262"/>
      <c r="C35" s="274"/>
      <c r="D35" s="274"/>
      <c r="E35" s="274"/>
      <c r="F35" s="274"/>
      <c r="G35" s="274"/>
      <c r="I35" s="269"/>
      <c r="J35" s="270"/>
    </row>
    <row r="36" spans="1:12" s="265" customFormat="1">
      <c r="A36" s="266"/>
      <c r="B36" s="276"/>
      <c r="C36" s="267"/>
      <c r="D36" s="267"/>
      <c r="E36" s="267"/>
      <c r="F36" s="267"/>
      <c r="G36" s="267"/>
      <c r="H36" s="267"/>
      <c r="I36" s="267"/>
      <c r="J36" s="267"/>
    </row>
    <row r="37" spans="1:12" s="265" customFormat="1">
      <c r="A37" s="261"/>
      <c r="B37" s="269"/>
      <c r="C37" s="263"/>
      <c r="D37" s="263"/>
      <c r="E37" s="263"/>
      <c r="F37" s="263"/>
      <c r="G37" s="263"/>
      <c r="H37" s="263"/>
      <c r="I37" s="263"/>
      <c r="J37" s="263"/>
    </row>
    <row r="38" spans="1:12" s="265" customFormat="1">
      <c r="A38" s="261"/>
      <c r="B38" s="277"/>
      <c r="C38" s="274"/>
      <c r="D38" s="274"/>
      <c r="E38" s="274"/>
      <c r="F38" s="274"/>
      <c r="G38" s="274"/>
      <c r="J38" s="274"/>
      <c r="L38" s="791"/>
    </row>
    <row r="39" spans="1:12" s="265" customFormat="1">
      <c r="A39" s="261"/>
      <c r="B39" s="277"/>
      <c r="C39" s="274"/>
      <c r="D39" s="274"/>
      <c r="E39" s="274"/>
      <c r="F39" s="274"/>
      <c r="G39" s="274"/>
      <c r="J39" s="274"/>
      <c r="L39" s="791"/>
    </row>
    <row r="40" spans="1:12" s="265" customFormat="1"/>
  </sheetData>
  <mergeCells count="24">
    <mergeCell ref="L38:L39"/>
    <mergeCell ref="J5:J10"/>
    <mergeCell ref="K5:K10"/>
    <mergeCell ref="L5:L10"/>
    <mergeCell ref="D6:D10"/>
    <mergeCell ref="E6:E10"/>
    <mergeCell ref="F6:F10"/>
    <mergeCell ref="G6:G10"/>
    <mergeCell ref="H6:H10"/>
    <mergeCell ref="L14:L24"/>
    <mergeCell ref="I6:I10"/>
    <mergeCell ref="K12:K13"/>
    <mergeCell ref="L25:L31"/>
    <mergeCell ref="L12:L13"/>
    <mergeCell ref="A1:L1"/>
    <mergeCell ref="A2:L2"/>
    <mergeCell ref="A3:L3"/>
    <mergeCell ref="K4:L4"/>
    <mergeCell ref="A5:A10"/>
    <mergeCell ref="B5:B10"/>
    <mergeCell ref="D5:E5"/>
    <mergeCell ref="F5:G5"/>
    <mergeCell ref="H5:I5"/>
    <mergeCell ref="C5:C10"/>
  </mergeCells>
  <pageMargins left="0.7" right="0.7" top="0.3" bottom="0.3" header="0.3" footer="0.3"/>
  <pageSetup paperSize="9" scale="8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M40"/>
  <sheetViews>
    <sheetView view="pageBreakPreview" zoomScale="60" zoomScaleNormal="80" workbookViewId="0">
      <selection activeCell="N14" sqref="N14"/>
    </sheetView>
  </sheetViews>
  <sheetFormatPr defaultRowHeight="15.6"/>
  <cols>
    <col min="1" max="1" width="6.19921875" customWidth="1"/>
    <col min="2" max="2" width="33.19921875" customWidth="1"/>
    <col min="3" max="3" width="10.69921875" customWidth="1"/>
    <col min="4" max="4" width="10.09765625" style="287" customWidth="1"/>
    <col min="8" max="8" width="9.69921875" customWidth="1"/>
    <col min="9" max="9" width="10.59765625" customWidth="1"/>
    <col min="10" max="10" width="10.69921875" bestFit="1" customWidth="1"/>
    <col min="11" max="11" width="12.09765625" customWidth="1"/>
    <col min="12" max="12" width="19.59765625" customWidth="1"/>
    <col min="13" max="13" width="9.09765625" customWidth="1"/>
  </cols>
  <sheetData>
    <row r="1" spans="1:13">
      <c r="A1" s="649" t="s">
        <v>335</v>
      </c>
      <c r="B1" s="649"/>
      <c r="C1" s="649"/>
      <c r="D1" s="649"/>
      <c r="E1" s="649"/>
      <c r="F1" s="649"/>
      <c r="G1" s="649"/>
      <c r="H1" s="649"/>
      <c r="I1" s="649"/>
      <c r="J1" s="649"/>
      <c r="K1" s="649"/>
      <c r="L1" s="649"/>
      <c r="M1" s="649"/>
    </row>
    <row r="2" spans="1:13" ht="17.399999999999999">
      <c r="A2" s="781" t="s">
        <v>323</v>
      </c>
      <c r="B2" s="781"/>
      <c r="C2" s="781"/>
      <c r="D2" s="781"/>
      <c r="E2" s="781"/>
      <c r="F2" s="781"/>
      <c r="G2" s="781"/>
      <c r="H2" s="781"/>
      <c r="I2" s="781"/>
      <c r="J2" s="781"/>
      <c r="K2" s="781"/>
      <c r="L2" s="781"/>
      <c r="M2" s="781"/>
    </row>
    <row r="3" spans="1:13" ht="18">
      <c r="A3" s="787" t="e">
        <f>'Biểu 04 DC trung han  2021-2025'!A3:L3</f>
        <v>#REF!</v>
      </c>
      <c r="B3" s="788"/>
      <c r="C3" s="788"/>
      <c r="D3" s="788"/>
      <c r="E3" s="788"/>
      <c r="F3" s="788"/>
      <c r="G3" s="788"/>
      <c r="H3" s="788"/>
      <c r="I3" s="788"/>
      <c r="J3" s="788"/>
      <c r="K3" s="788"/>
      <c r="L3" s="788"/>
      <c r="M3" s="788"/>
    </row>
    <row r="4" spans="1:13" ht="25.5" customHeight="1">
      <c r="L4" s="789" t="s">
        <v>10</v>
      </c>
      <c r="M4" s="789"/>
    </row>
    <row r="5" spans="1:13" ht="60.75" customHeight="1">
      <c r="A5" s="735" t="s">
        <v>310</v>
      </c>
      <c r="B5" s="701" t="s">
        <v>1</v>
      </c>
      <c r="C5" s="696" t="s">
        <v>87</v>
      </c>
      <c r="D5" s="790"/>
      <c r="E5" s="696" t="s">
        <v>311</v>
      </c>
      <c r="F5" s="790"/>
      <c r="G5" s="696" t="s">
        <v>324</v>
      </c>
      <c r="H5" s="790"/>
      <c r="I5" s="696" t="s">
        <v>312</v>
      </c>
      <c r="J5" s="790"/>
      <c r="K5" s="674" t="s">
        <v>315</v>
      </c>
      <c r="L5" s="698" t="s">
        <v>313</v>
      </c>
      <c r="M5" s="701" t="s">
        <v>8</v>
      </c>
    </row>
    <row r="6" spans="1:13" ht="15.75" customHeight="1">
      <c r="A6" s="735"/>
      <c r="B6" s="701"/>
      <c r="C6" s="701" t="s">
        <v>314</v>
      </c>
      <c r="D6" s="698" t="s">
        <v>298</v>
      </c>
      <c r="E6" s="698" t="s">
        <v>314</v>
      </c>
      <c r="F6" s="698" t="str">
        <f>D6</f>
        <v>Trong đó: Vốn NSTW</v>
      </c>
      <c r="G6" s="698" t="s">
        <v>314</v>
      </c>
      <c r="H6" s="698" t="s">
        <v>298</v>
      </c>
      <c r="I6" s="665" t="s">
        <v>300</v>
      </c>
      <c r="J6" s="668" t="s">
        <v>301</v>
      </c>
      <c r="K6" s="676"/>
      <c r="L6" s="699"/>
      <c r="M6" s="701"/>
    </row>
    <row r="7" spans="1:13" ht="15.75" customHeight="1">
      <c r="A7" s="735"/>
      <c r="B7" s="701"/>
      <c r="C7" s="701"/>
      <c r="D7" s="699"/>
      <c r="E7" s="699"/>
      <c r="F7" s="699"/>
      <c r="G7" s="699"/>
      <c r="H7" s="699"/>
      <c r="I7" s="665"/>
      <c r="J7" s="795"/>
      <c r="K7" s="676"/>
      <c r="L7" s="699"/>
      <c r="M7" s="701"/>
    </row>
    <row r="8" spans="1:13">
      <c r="A8" s="735"/>
      <c r="B8" s="701"/>
      <c r="C8" s="701"/>
      <c r="D8" s="699"/>
      <c r="E8" s="699"/>
      <c r="F8" s="699"/>
      <c r="G8" s="699"/>
      <c r="H8" s="699"/>
      <c r="I8" s="665"/>
      <c r="J8" s="795"/>
      <c r="K8" s="676"/>
      <c r="L8" s="699"/>
      <c r="M8" s="701"/>
    </row>
    <row r="9" spans="1:13">
      <c r="A9" s="735"/>
      <c r="B9" s="701"/>
      <c r="C9" s="701"/>
      <c r="D9" s="699"/>
      <c r="E9" s="699"/>
      <c r="F9" s="699"/>
      <c r="G9" s="699"/>
      <c r="H9" s="699"/>
      <c r="I9" s="665"/>
      <c r="J9" s="795"/>
      <c r="K9" s="676"/>
      <c r="L9" s="699"/>
      <c r="M9" s="701"/>
    </row>
    <row r="10" spans="1:13">
      <c r="A10" s="735"/>
      <c r="B10" s="701"/>
      <c r="C10" s="701"/>
      <c r="D10" s="699"/>
      <c r="E10" s="699"/>
      <c r="F10" s="699"/>
      <c r="G10" s="699"/>
      <c r="H10" s="699"/>
      <c r="I10" s="665"/>
      <c r="J10" s="795"/>
      <c r="K10" s="676"/>
      <c r="L10" s="699"/>
      <c r="M10" s="701"/>
    </row>
    <row r="11" spans="1:13" ht="24" customHeight="1">
      <c r="A11" s="226"/>
      <c r="B11" s="226" t="s">
        <v>250</v>
      </c>
      <c r="C11" s="249">
        <f t="shared" ref="C11:K11" si="0">C12+C21+C37</f>
        <v>238485</v>
      </c>
      <c r="D11" s="288">
        <f t="shared" si="0"/>
        <v>208792.514</v>
      </c>
      <c r="E11" s="249">
        <f t="shared" si="0"/>
        <v>151763</v>
      </c>
      <c r="F11" s="249">
        <f t="shared" si="0"/>
        <v>150593</v>
      </c>
      <c r="G11" s="249">
        <f t="shared" si="0"/>
        <v>88452</v>
      </c>
      <c r="H11" s="249">
        <f t="shared" si="0"/>
        <v>87282</v>
      </c>
      <c r="I11" s="250">
        <f t="shared" si="0"/>
        <v>0</v>
      </c>
      <c r="J11" s="250">
        <f t="shared" si="0"/>
        <v>22743.833999999999</v>
      </c>
      <c r="K11" s="250">
        <f t="shared" si="0"/>
        <v>64538.165999999997</v>
      </c>
      <c r="L11" s="226"/>
      <c r="M11" s="226"/>
    </row>
    <row r="12" spans="1:13" ht="46.8">
      <c r="A12" s="226" t="s">
        <v>23</v>
      </c>
      <c r="B12" s="7" t="s">
        <v>316</v>
      </c>
      <c r="C12" s="249">
        <f>SUM(C13:C20)</f>
        <v>33663</v>
      </c>
      <c r="D12" s="288">
        <f>SUM(D13:D20)</f>
        <v>30347.113999999998</v>
      </c>
      <c r="E12" s="249">
        <f>SUM(E13:E20)</f>
        <v>1257</v>
      </c>
      <c r="F12" s="249">
        <f t="shared" ref="F12:G12" si="1">SUM(F13:F20)</f>
        <v>1257</v>
      </c>
      <c r="G12" s="249">
        <f t="shared" si="1"/>
        <v>1257</v>
      </c>
      <c r="H12" s="249">
        <f>SUM(H13:H20)</f>
        <v>1257</v>
      </c>
      <c r="I12" s="249">
        <f t="shared" ref="I12:J12" si="2">SUM(I13:I20)</f>
        <v>0</v>
      </c>
      <c r="J12" s="250">
        <f t="shared" si="2"/>
        <v>35.853000000000002</v>
      </c>
      <c r="K12" s="250">
        <f>SUM(K13:K20)</f>
        <v>1221.1469999999999</v>
      </c>
      <c r="L12" s="240"/>
      <c r="M12" s="240"/>
    </row>
    <row r="13" spans="1:13" ht="49.5" customHeight="1">
      <c r="A13" s="2">
        <v>1</v>
      </c>
      <c r="B13" s="244" t="s">
        <v>272</v>
      </c>
      <c r="C13" s="243">
        <v>4000</v>
      </c>
      <c r="D13" s="289">
        <v>3823</v>
      </c>
      <c r="E13" s="247">
        <v>14.853</v>
      </c>
      <c r="F13" s="247">
        <f>E13</f>
        <v>14.853</v>
      </c>
      <c r="G13" s="247">
        <f>F13</f>
        <v>14.853</v>
      </c>
      <c r="H13" s="247">
        <f>G13</f>
        <v>14.853</v>
      </c>
      <c r="I13" s="247"/>
      <c r="J13" s="247">
        <f>H13</f>
        <v>14.853</v>
      </c>
      <c r="K13" s="243">
        <v>0</v>
      </c>
      <c r="L13" s="792" t="s">
        <v>317</v>
      </c>
      <c r="M13" s="792" t="s">
        <v>342</v>
      </c>
    </row>
    <row r="14" spans="1:13" ht="51" customHeight="1">
      <c r="A14" s="2">
        <v>2</v>
      </c>
      <c r="B14" s="244" t="s">
        <v>273</v>
      </c>
      <c r="C14" s="243">
        <v>4950</v>
      </c>
      <c r="D14" s="289">
        <v>4609</v>
      </c>
      <c r="E14" s="243">
        <v>20</v>
      </c>
      <c r="F14" s="243">
        <v>20</v>
      </c>
      <c r="G14" s="243">
        <v>20</v>
      </c>
      <c r="H14" s="243">
        <v>20</v>
      </c>
      <c r="I14" s="243"/>
      <c r="J14" s="243">
        <v>20</v>
      </c>
      <c r="K14" s="242">
        <v>0</v>
      </c>
      <c r="L14" s="794"/>
      <c r="M14" s="793"/>
    </row>
    <row r="15" spans="1:13" ht="31.2">
      <c r="A15" s="2">
        <v>3</v>
      </c>
      <c r="B15" s="244" t="s">
        <v>276</v>
      </c>
      <c r="C15" s="243">
        <v>1890</v>
      </c>
      <c r="D15" s="289">
        <v>1643.5139999999999</v>
      </c>
      <c r="E15" s="246">
        <v>16.93</v>
      </c>
      <c r="F15" s="246">
        <f>E15</f>
        <v>16.93</v>
      </c>
      <c r="G15" s="246">
        <f>F15</f>
        <v>16.93</v>
      </c>
      <c r="H15" s="246">
        <f>F15</f>
        <v>16.93</v>
      </c>
      <c r="I15" s="246"/>
      <c r="J15" s="248">
        <v>1</v>
      </c>
      <c r="K15" s="246">
        <v>15.93</v>
      </c>
      <c r="L15" s="245" t="s">
        <v>318</v>
      </c>
      <c r="M15" s="794"/>
    </row>
    <row r="16" spans="1:13" ht="31.2">
      <c r="A16" s="2">
        <v>4</v>
      </c>
      <c r="B16" s="244" t="s">
        <v>271</v>
      </c>
      <c r="C16" s="243">
        <v>4673</v>
      </c>
      <c r="D16" s="289">
        <v>4450</v>
      </c>
      <c r="E16" s="246">
        <v>85.286000000000001</v>
      </c>
      <c r="F16" s="246">
        <v>85.286000000000001</v>
      </c>
      <c r="G16" s="246">
        <v>85.286000000000001</v>
      </c>
      <c r="H16" s="246">
        <v>85.286000000000001</v>
      </c>
      <c r="I16" s="246"/>
      <c r="J16" s="248"/>
      <c r="K16" s="246">
        <v>85.286000000000001</v>
      </c>
      <c r="L16" s="245"/>
      <c r="M16" s="792" t="s">
        <v>325</v>
      </c>
    </row>
    <row r="17" spans="1:13" ht="27" customHeight="1">
      <c r="A17" s="2">
        <v>5</v>
      </c>
      <c r="B17" s="164" t="s">
        <v>274</v>
      </c>
      <c r="C17" s="243">
        <v>14500</v>
      </c>
      <c r="D17" s="289">
        <v>12512</v>
      </c>
      <c r="E17" s="246">
        <v>523.53200000000004</v>
      </c>
      <c r="F17" s="246">
        <v>523.53200000000004</v>
      </c>
      <c r="G17" s="246">
        <v>523.53200000000004</v>
      </c>
      <c r="H17" s="246">
        <v>523.53200000000004</v>
      </c>
      <c r="I17" s="246"/>
      <c r="J17" s="248"/>
      <c r="K17" s="246">
        <v>523.53200000000004</v>
      </c>
      <c r="L17" s="245"/>
      <c r="M17" s="793"/>
    </row>
    <row r="18" spans="1:13" ht="31.2">
      <c r="A18" s="2">
        <v>6</v>
      </c>
      <c r="B18" s="164" t="s">
        <v>275</v>
      </c>
      <c r="C18" s="243">
        <v>1100</v>
      </c>
      <c r="D18" s="289">
        <v>850</v>
      </c>
      <c r="E18" s="246">
        <v>120.63500000000001</v>
      </c>
      <c r="F18" s="246">
        <v>120.63500000000001</v>
      </c>
      <c r="G18" s="246">
        <v>120.63500000000001</v>
      </c>
      <c r="H18" s="246">
        <v>120.63500000000001</v>
      </c>
      <c r="I18" s="246"/>
      <c r="J18" s="248"/>
      <c r="K18" s="246">
        <v>120.63500000000001</v>
      </c>
      <c r="L18" s="245"/>
      <c r="M18" s="793"/>
    </row>
    <row r="19" spans="1:13" ht="24" customHeight="1">
      <c r="A19" s="2">
        <v>7</v>
      </c>
      <c r="B19" s="164" t="s">
        <v>277</v>
      </c>
      <c r="C19" s="243">
        <v>1050</v>
      </c>
      <c r="D19" s="289">
        <v>993.8</v>
      </c>
      <c r="E19" s="246">
        <v>63.713999999999999</v>
      </c>
      <c r="F19" s="246">
        <v>63.713999999999999</v>
      </c>
      <c r="G19" s="246">
        <v>63.713999999999999</v>
      </c>
      <c r="H19" s="246">
        <v>63.713999999999999</v>
      </c>
      <c r="I19" s="246"/>
      <c r="J19" s="248"/>
      <c r="K19" s="246">
        <v>63.713999999999999</v>
      </c>
      <c r="L19" s="245"/>
      <c r="M19" s="793"/>
    </row>
    <row r="20" spans="1:13" ht="31.2">
      <c r="A20" s="2">
        <v>8</v>
      </c>
      <c r="B20" s="165" t="s">
        <v>278</v>
      </c>
      <c r="C20" s="243">
        <v>1500</v>
      </c>
      <c r="D20" s="289">
        <v>1465.8</v>
      </c>
      <c r="E20" s="246">
        <v>412.05</v>
      </c>
      <c r="F20" s="246">
        <v>412.05</v>
      </c>
      <c r="G20" s="246">
        <v>412.05</v>
      </c>
      <c r="H20" s="246">
        <v>412.05</v>
      </c>
      <c r="I20" s="246"/>
      <c r="J20" s="248"/>
      <c r="K20" s="246">
        <v>412.05</v>
      </c>
      <c r="L20" s="245"/>
      <c r="M20" s="794"/>
    </row>
    <row r="21" spans="1:13" ht="44.25" customHeight="1">
      <c r="A21" s="226" t="s">
        <v>46</v>
      </c>
      <c r="B21" s="252" t="s">
        <v>287</v>
      </c>
      <c r="C21" s="249">
        <f t="shared" ref="C21:K21" si="3">C22+C33</f>
        <v>83822</v>
      </c>
      <c r="D21" s="288">
        <f t="shared" si="3"/>
        <v>57445.4</v>
      </c>
      <c r="E21" s="249">
        <f t="shared" si="3"/>
        <v>29506</v>
      </c>
      <c r="F21" s="249">
        <f t="shared" si="3"/>
        <v>28336</v>
      </c>
      <c r="G21" s="249">
        <f t="shared" si="3"/>
        <v>29506</v>
      </c>
      <c r="H21" s="249">
        <f t="shared" si="3"/>
        <v>28336</v>
      </c>
      <c r="I21" s="249">
        <f t="shared" si="3"/>
        <v>0</v>
      </c>
      <c r="J21" s="250">
        <f t="shared" si="3"/>
        <v>2707.9809999999998</v>
      </c>
      <c r="K21" s="250">
        <f t="shared" si="3"/>
        <v>25628.019</v>
      </c>
      <c r="L21" s="240"/>
      <c r="M21" s="240"/>
    </row>
    <row r="22" spans="1:13" ht="21" customHeight="1">
      <c r="A22" s="226" t="s">
        <v>28</v>
      </c>
      <c r="B22" s="251" t="s">
        <v>283</v>
      </c>
      <c r="C22" s="249">
        <f t="shared" ref="C22:J22" si="4">SUM(C23:C32)</f>
        <v>60462</v>
      </c>
      <c r="D22" s="288">
        <f t="shared" si="4"/>
        <v>35255.4</v>
      </c>
      <c r="E22" s="249">
        <f t="shared" si="4"/>
        <v>6146</v>
      </c>
      <c r="F22" s="249">
        <f t="shared" si="4"/>
        <v>6146</v>
      </c>
      <c r="G22" s="249">
        <f t="shared" si="4"/>
        <v>6146</v>
      </c>
      <c r="H22" s="249">
        <f t="shared" si="4"/>
        <v>6146</v>
      </c>
      <c r="I22" s="249">
        <f t="shared" si="4"/>
        <v>0</v>
      </c>
      <c r="J22" s="250">
        <f t="shared" si="4"/>
        <v>634.11699999999996</v>
      </c>
      <c r="K22" s="250">
        <f t="shared" ref="K22" si="5">SUM(K23:K32)</f>
        <v>5511.8829999999998</v>
      </c>
      <c r="L22" s="240"/>
      <c r="M22" s="240"/>
    </row>
    <row r="23" spans="1:13" ht="33.75" customHeight="1">
      <c r="A23" s="2">
        <v>1</v>
      </c>
      <c r="B23" s="244" t="s">
        <v>261</v>
      </c>
      <c r="C23" s="243">
        <v>3162</v>
      </c>
      <c r="D23" s="290">
        <v>3564.6</v>
      </c>
      <c r="E23" s="242">
        <v>34</v>
      </c>
      <c r="F23" s="242">
        <v>34</v>
      </c>
      <c r="G23" s="242">
        <v>34</v>
      </c>
      <c r="H23" s="242">
        <v>34</v>
      </c>
      <c r="I23" s="242"/>
      <c r="J23" s="242">
        <v>8.1929999999999996</v>
      </c>
      <c r="K23" s="242">
        <f>H23-J23</f>
        <v>25.807000000000002</v>
      </c>
      <c r="L23" s="792" t="str">
        <f>L15</f>
        <v>Thừa vốn do hết nhiệm vụ chi</v>
      </c>
      <c r="M23" s="792" t="s">
        <v>342</v>
      </c>
    </row>
    <row r="24" spans="1:13" ht="36" customHeight="1">
      <c r="A24" s="2">
        <v>2</v>
      </c>
      <c r="B24" s="244" t="s">
        <v>319</v>
      </c>
      <c r="C24" s="243">
        <v>5700</v>
      </c>
      <c r="D24" s="289">
        <v>5536</v>
      </c>
      <c r="E24" s="242">
        <v>19</v>
      </c>
      <c r="F24" s="242">
        <v>19</v>
      </c>
      <c r="G24" s="242">
        <v>19</v>
      </c>
      <c r="H24" s="242">
        <v>19</v>
      </c>
      <c r="I24" s="242"/>
      <c r="J24" s="242">
        <v>3.6999999999999998E-2</v>
      </c>
      <c r="K24" s="242">
        <f>H24-J24</f>
        <v>18.963000000000001</v>
      </c>
      <c r="L24" s="794"/>
      <c r="M24" s="793"/>
    </row>
    <row r="25" spans="1:13" ht="99" customHeight="1">
      <c r="A25" s="2">
        <v>3</v>
      </c>
      <c r="B25" s="244" t="s">
        <v>248</v>
      </c>
      <c r="C25" s="243">
        <v>12000</v>
      </c>
      <c r="D25" s="289">
        <v>2000</v>
      </c>
      <c r="E25" s="243">
        <v>2000</v>
      </c>
      <c r="F25" s="243">
        <v>2000</v>
      </c>
      <c r="G25" s="243">
        <v>2000</v>
      </c>
      <c r="H25" s="243">
        <v>2000</v>
      </c>
      <c r="I25" s="242"/>
      <c r="J25" s="242">
        <v>625.88699999999994</v>
      </c>
      <c r="K25" s="260">
        <f>H25-J25</f>
        <v>1374.1130000000001</v>
      </c>
      <c r="L25" s="245" t="s">
        <v>322</v>
      </c>
      <c r="M25" s="794"/>
    </row>
    <row r="26" spans="1:13" ht="36" customHeight="1">
      <c r="A26" s="2">
        <v>4</v>
      </c>
      <c r="B26" s="256" t="s">
        <v>262</v>
      </c>
      <c r="C26" s="257">
        <v>14950</v>
      </c>
      <c r="D26" s="257">
        <v>10188</v>
      </c>
      <c r="E26" s="257">
        <v>1949</v>
      </c>
      <c r="F26" s="257">
        <v>1949</v>
      </c>
      <c r="G26" s="257">
        <v>1949</v>
      </c>
      <c r="H26" s="257">
        <v>1949</v>
      </c>
      <c r="I26" s="240"/>
      <c r="J26" s="240"/>
      <c r="K26" s="257">
        <v>1949</v>
      </c>
      <c r="L26" s="245"/>
      <c r="M26" s="792" t="s">
        <v>325</v>
      </c>
    </row>
    <row r="27" spans="1:13" ht="46.8">
      <c r="A27" s="2">
        <v>5</v>
      </c>
      <c r="B27" s="256" t="s">
        <v>263</v>
      </c>
      <c r="C27" s="257">
        <v>14000</v>
      </c>
      <c r="D27" s="257">
        <v>3900</v>
      </c>
      <c r="E27" s="257">
        <v>2000</v>
      </c>
      <c r="F27" s="257">
        <v>2000</v>
      </c>
      <c r="G27" s="257">
        <v>2000</v>
      </c>
      <c r="H27" s="257">
        <v>2000</v>
      </c>
      <c r="I27" s="240"/>
      <c r="J27" s="240"/>
      <c r="K27" s="257">
        <v>2000</v>
      </c>
      <c r="L27" s="245"/>
      <c r="M27" s="793"/>
    </row>
    <row r="28" spans="1:13" ht="36" customHeight="1">
      <c r="A28" s="2">
        <v>6</v>
      </c>
      <c r="B28" s="256" t="s">
        <v>264</v>
      </c>
      <c r="C28" s="257">
        <v>1400</v>
      </c>
      <c r="D28" s="257">
        <v>1053.43</v>
      </c>
      <c r="E28" s="257">
        <v>6</v>
      </c>
      <c r="F28" s="257">
        <v>6</v>
      </c>
      <c r="G28" s="257">
        <v>6</v>
      </c>
      <c r="H28" s="257">
        <v>6</v>
      </c>
      <c r="I28" s="240"/>
      <c r="J28" s="240"/>
      <c r="K28" s="242">
        <v>6</v>
      </c>
      <c r="L28" s="245"/>
      <c r="M28" s="793"/>
    </row>
    <row r="29" spans="1:13" ht="36" customHeight="1">
      <c r="A29" s="2">
        <v>7</v>
      </c>
      <c r="B29" s="256" t="s">
        <v>265</v>
      </c>
      <c r="C29" s="257">
        <v>3050</v>
      </c>
      <c r="D29" s="257">
        <v>3025</v>
      </c>
      <c r="E29" s="257">
        <v>16</v>
      </c>
      <c r="F29" s="257">
        <v>16</v>
      </c>
      <c r="G29" s="257">
        <v>16</v>
      </c>
      <c r="H29" s="257">
        <v>16</v>
      </c>
      <c r="I29" s="240"/>
      <c r="J29" s="240"/>
      <c r="K29" s="242">
        <v>16</v>
      </c>
      <c r="L29" s="245"/>
      <c r="M29" s="793"/>
    </row>
    <row r="30" spans="1:13" ht="36" customHeight="1">
      <c r="A30" s="2">
        <v>8</v>
      </c>
      <c r="B30" s="256" t="s">
        <v>266</v>
      </c>
      <c r="C30" s="257">
        <v>1900</v>
      </c>
      <c r="D30" s="257">
        <v>1850</v>
      </c>
      <c r="E30" s="257">
        <v>11</v>
      </c>
      <c r="F30" s="257">
        <v>11</v>
      </c>
      <c r="G30" s="257">
        <v>11</v>
      </c>
      <c r="H30" s="257">
        <v>11</v>
      </c>
      <c r="I30" s="240"/>
      <c r="J30" s="240"/>
      <c r="K30" s="242">
        <v>11</v>
      </c>
      <c r="L30" s="245"/>
      <c r="M30" s="793"/>
    </row>
    <row r="31" spans="1:13" ht="36" customHeight="1">
      <c r="A31" s="2">
        <v>9</v>
      </c>
      <c r="B31" s="256" t="s">
        <v>267</v>
      </c>
      <c r="C31" s="257">
        <v>2300</v>
      </c>
      <c r="D31" s="257">
        <v>2276.9</v>
      </c>
      <c r="E31" s="257">
        <v>93</v>
      </c>
      <c r="F31" s="257">
        <v>93</v>
      </c>
      <c r="G31" s="257">
        <v>93</v>
      </c>
      <c r="H31" s="257">
        <v>93</v>
      </c>
      <c r="I31" s="240"/>
      <c r="J31" s="240"/>
      <c r="K31" s="242">
        <v>93</v>
      </c>
      <c r="L31" s="245"/>
      <c r="M31" s="793"/>
    </row>
    <row r="32" spans="1:13" ht="36" customHeight="1">
      <c r="A32" s="2">
        <v>10</v>
      </c>
      <c r="B32" s="256" t="s">
        <v>268</v>
      </c>
      <c r="C32" s="258">
        <v>2000</v>
      </c>
      <c r="D32" s="291">
        <v>1861.47</v>
      </c>
      <c r="E32" s="257">
        <v>18</v>
      </c>
      <c r="F32" s="257">
        <v>18</v>
      </c>
      <c r="G32" s="257">
        <v>18</v>
      </c>
      <c r="H32" s="257">
        <v>18</v>
      </c>
      <c r="I32" s="240"/>
      <c r="J32" s="240"/>
      <c r="K32" s="242">
        <v>18</v>
      </c>
      <c r="L32" s="245"/>
      <c r="M32" s="794"/>
    </row>
    <row r="33" spans="1:13" ht="34.5" customHeight="1">
      <c r="A33" s="226" t="s">
        <v>28</v>
      </c>
      <c r="B33" s="251" t="s">
        <v>321</v>
      </c>
      <c r="C33" s="249">
        <f>SUM(C34:C36)</f>
        <v>23360</v>
      </c>
      <c r="D33" s="288">
        <f t="shared" ref="D33:K33" si="6">SUM(D34:D36)</f>
        <v>22190</v>
      </c>
      <c r="E33" s="249">
        <f t="shared" si="6"/>
        <v>23360</v>
      </c>
      <c r="F33" s="249">
        <f t="shared" si="6"/>
        <v>22190</v>
      </c>
      <c r="G33" s="249">
        <f t="shared" si="6"/>
        <v>23360</v>
      </c>
      <c r="H33" s="249">
        <f t="shared" si="6"/>
        <v>22190</v>
      </c>
      <c r="I33" s="249">
        <f t="shared" si="6"/>
        <v>0</v>
      </c>
      <c r="J33" s="250">
        <f t="shared" si="6"/>
        <v>2073.864</v>
      </c>
      <c r="K33" s="250">
        <f t="shared" si="6"/>
        <v>20116.135999999999</v>
      </c>
      <c r="L33" s="240"/>
      <c r="M33" s="240"/>
    </row>
    <row r="34" spans="1:13" s="241" customFormat="1" ht="39" customHeight="1">
      <c r="A34" s="2">
        <v>4</v>
      </c>
      <c r="B34" s="244" t="s">
        <v>269</v>
      </c>
      <c r="C34" s="253">
        <v>14900</v>
      </c>
      <c r="D34" s="292">
        <v>14155</v>
      </c>
      <c r="E34" s="243">
        <f>C34</f>
        <v>14900</v>
      </c>
      <c r="F34" s="243">
        <f>D34</f>
        <v>14155</v>
      </c>
      <c r="G34" s="253">
        <v>14900</v>
      </c>
      <c r="H34" s="243">
        <f>F34</f>
        <v>14155</v>
      </c>
      <c r="I34" s="242"/>
      <c r="J34" s="242">
        <v>1161.5450000000001</v>
      </c>
      <c r="K34" s="254">
        <f>H34-J34</f>
        <v>12993.455</v>
      </c>
      <c r="L34" s="792" t="s">
        <v>333</v>
      </c>
      <c r="M34" s="792" t="s">
        <v>342</v>
      </c>
    </row>
    <row r="35" spans="1:13" ht="33" customHeight="1">
      <c r="A35" s="2">
        <v>5</v>
      </c>
      <c r="B35" s="244" t="s">
        <v>270</v>
      </c>
      <c r="C35" s="253">
        <v>1950</v>
      </c>
      <c r="D35" s="292">
        <v>1850</v>
      </c>
      <c r="E35" s="253">
        <v>1950</v>
      </c>
      <c r="F35" s="253">
        <v>1850</v>
      </c>
      <c r="G35" s="253">
        <v>1950</v>
      </c>
      <c r="H35" s="253">
        <v>1850</v>
      </c>
      <c r="I35" s="240"/>
      <c r="J35" s="242">
        <v>39.448999999999998</v>
      </c>
      <c r="K35" s="254">
        <f>H35-J35</f>
        <v>1810.5509999999999</v>
      </c>
      <c r="L35" s="793"/>
      <c r="M35" s="793"/>
    </row>
    <row r="36" spans="1:13" ht="46.5" customHeight="1">
      <c r="A36" s="2">
        <v>6</v>
      </c>
      <c r="B36" s="244" t="s">
        <v>320</v>
      </c>
      <c r="C36" s="253">
        <v>6510</v>
      </c>
      <c r="D36" s="292">
        <v>6185</v>
      </c>
      <c r="E36" s="253">
        <v>6510</v>
      </c>
      <c r="F36" s="253">
        <v>6185</v>
      </c>
      <c r="G36" s="253">
        <v>6510</v>
      </c>
      <c r="H36" s="253">
        <v>6185</v>
      </c>
      <c r="I36" s="240"/>
      <c r="J36" s="242">
        <v>872.87</v>
      </c>
      <c r="K36" s="260">
        <f>H36-J36</f>
        <v>5312.13</v>
      </c>
      <c r="L36" s="794"/>
      <c r="M36" s="794"/>
    </row>
    <row r="37" spans="1:13" ht="37.5" customHeight="1">
      <c r="A37" s="226" t="s">
        <v>94</v>
      </c>
      <c r="B37" s="255" t="s">
        <v>279</v>
      </c>
      <c r="C37" s="249">
        <f>SUM(C38:C40)</f>
        <v>121000</v>
      </c>
      <c r="D37" s="288">
        <f t="shared" ref="D37:H37" si="7">SUM(D38:D40)</f>
        <v>121000</v>
      </c>
      <c r="E37" s="249">
        <f t="shared" si="7"/>
        <v>121000</v>
      </c>
      <c r="F37" s="249">
        <f t="shared" si="7"/>
        <v>121000</v>
      </c>
      <c r="G37" s="249">
        <f t="shared" si="7"/>
        <v>57689</v>
      </c>
      <c r="H37" s="249">
        <f t="shared" si="7"/>
        <v>57689</v>
      </c>
      <c r="I37" s="249">
        <f>SUM(I38:I40)</f>
        <v>0</v>
      </c>
      <c r="J37" s="249">
        <f>SUM(J38:J40)</f>
        <v>20000</v>
      </c>
      <c r="K37" s="250">
        <f>SUM(K38:K40)</f>
        <v>37689</v>
      </c>
      <c r="L37" s="240"/>
      <c r="M37" s="240"/>
    </row>
    <row r="38" spans="1:13" ht="69.75" customHeight="1">
      <c r="A38" s="2">
        <v>1</v>
      </c>
      <c r="B38" s="242" t="s">
        <v>280</v>
      </c>
      <c r="C38" s="243">
        <v>65000</v>
      </c>
      <c r="D38" s="289">
        <v>65000</v>
      </c>
      <c r="E38" s="243">
        <v>65000</v>
      </c>
      <c r="F38" s="243">
        <v>65000</v>
      </c>
      <c r="G38" s="243">
        <v>38689</v>
      </c>
      <c r="H38" s="243">
        <v>38689</v>
      </c>
      <c r="I38" s="243"/>
      <c r="J38" s="243">
        <v>20000</v>
      </c>
      <c r="K38" s="243">
        <f>H38-J38</f>
        <v>18689</v>
      </c>
      <c r="L38" s="245" t="str">
        <f>L34</f>
        <v>Không chi hết KHV đã giao</v>
      </c>
      <c r="M38" s="282" t="s">
        <v>342</v>
      </c>
    </row>
    <row r="39" spans="1:13" ht="42.75" customHeight="1">
      <c r="A39" s="2">
        <v>2</v>
      </c>
      <c r="B39" s="259" t="s">
        <v>281</v>
      </c>
      <c r="C39" s="253">
        <v>26000</v>
      </c>
      <c r="D39" s="292">
        <v>26000</v>
      </c>
      <c r="E39" s="253">
        <v>26000</v>
      </c>
      <c r="F39" s="253">
        <v>26000</v>
      </c>
      <c r="G39" s="253">
        <v>9000</v>
      </c>
      <c r="H39" s="253">
        <v>9000</v>
      </c>
      <c r="I39" s="240"/>
      <c r="J39" s="240"/>
      <c r="K39" s="253">
        <v>9000</v>
      </c>
      <c r="L39" s="240"/>
      <c r="M39" s="792" t="s">
        <v>325</v>
      </c>
    </row>
    <row r="40" spans="1:13" ht="48" customHeight="1">
      <c r="A40" s="2">
        <v>3</v>
      </c>
      <c r="B40" s="259" t="s">
        <v>282</v>
      </c>
      <c r="C40" s="253">
        <v>30000</v>
      </c>
      <c r="D40" s="292">
        <v>30000</v>
      </c>
      <c r="E40" s="253">
        <v>30000</v>
      </c>
      <c r="F40" s="253">
        <v>30000</v>
      </c>
      <c r="G40" s="253">
        <v>10000</v>
      </c>
      <c r="H40" s="253">
        <v>10000</v>
      </c>
      <c r="I40" s="240"/>
      <c r="J40" s="240"/>
      <c r="K40" s="253">
        <v>10000</v>
      </c>
      <c r="L40" s="240"/>
      <c r="M40" s="794"/>
    </row>
  </sheetData>
  <mergeCells count="30">
    <mergeCell ref="A3:M3"/>
    <mergeCell ref="L34:L36"/>
    <mergeCell ref="L4:M4"/>
    <mergeCell ref="D6:D10"/>
    <mergeCell ref="F6:F10"/>
    <mergeCell ref="E5:F5"/>
    <mergeCell ref="G5:H5"/>
    <mergeCell ref="M23:M25"/>
    <mergeCell ref="M13:M15"/>
    <mergeCell ref="C5:D5"/>
    <mergeCell ref="M16:M20"/>
    <mergeCell ref="L23:L24"/>
    <mergeCell ref="M26:M32"/>
    <mergeCell ref="B5:B10"/>
    <mergeCell ref="M39:M40"/>
    <mergeCell ref="M34:M36"/>
    <mergeCell ref="A2:M2"/>
    <mergeCell ref="L13:L14"/>
    <mergeCell ref="A1:M1"/>
    <mergeCell ref="K5:K10"/>
    <mergeCell ref="C6:C10"/>
    <mergeCell ref="M5:M10"/>
    <mergeCell ref="E6:E10"/>
    <mergeCell ref="G6:G10"/>
    <mergeCell ref="H6:H10"/>
    <mergeCell ref="I5:J5"/>
    <mergeCell ref="L5:L10"/>
    <mergeCell ref="I6:I10"/>
    <mergeCell ref="J6:J10"/>
    <mergeCell ref="A5:A10"/>
  </mergeCells>
  <pageMargins left="0.7" right="0.7" top="0.75" bottom="0.75" header="0.3" footer="0.3"/>
  <pageSetup paperSize="9" scale="7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L22"/>
  <sheetViews>
    <sheetView view="pageBreakPreview" zoomScale="60" zoomScaleNormal="80" workbookViewId="0">
      <selection activeCell="O15" sqref="O15"/>
    </sheetView>
  </sheetViews>
  <sheetFormatPr defaultRowHeight="15.6"/>
  <cols>
    <col min="1" max="1" width="6.19921875" customWidth="1"/>
    <col min="2" max="2" width="33.19921875" customWidth="1"/>
    <col min="3" max="3" width="10.69921875" customWidth="1"/>
    <col min="4" max="4" width="10.09765625" style="287" customWidth="1"/>
    <col min="8" max="8" width="9.69921875" customWidth="1"/>
    <col min="9" max="9" width="10.59765625" customWidth="1"/>
    <col min="10" max="10" width="10.69921875" bestFit="1" customWidth="1"/>
    <col min="11" max="11" width="12.09765625" customWidth="1"/>
    <col min="12" max="12" width="19.59765625" customWidth="1"/>
  </cols>
  <sheetData>
    <row r="1" spans="1:12">
      <c r="A1" s="649" t="s">
        <v>345</v>
      </c>
      <c r="B1" s="649"/>
      <c r="C1" s="649"/>
      <c r="D1" s="649"/>
      <c r="E1" s="649"/>
      <c r="F1" s="649"/>
      <c r="G1" s="649"/>
      <c r="H1" s="649"/>
      <c r="I1" s="649"/>
      <c r="J1" s="649"/>
      <c r="K1" s="649"/>
      <c r="L1" s="649"/>
    </row>
    <row r="2" spans="1:12" ht="17.399999999999999">
      <c r="A2" s="781" t="s">
        <v>346</v>
      </c>
      <c r="B2" s="781"/>
      <c r="C2" s="781"/>
      <c r="D2" s="781"/>
      <c r="E2" s="781"/>
      <c r="F2" s="781"/>
      <c r="G2" s="781"/>
      <c r="H2" s="781"/>
      <c r="I2" s="781"/>
      <c r="J2" s="781"/>
      <c r="K2" s="781"/>
      <c r="L2" s="781"/>
    </row>
    <row r="3" spans="1:12" ht="18">
      <c r="A3" s="787" t="e">
        <f>'Biểu 04 DC trung han  2021-2025'!A3:L3</f>
        <v>#REF!</v>
      </c>
      <c r="B3" s="788"/>
      <c r="C3" s="788"/>
      <c r="D3" s="788"/>
      <c r="E3" s="788"/>
      <c r="F3" s="788"/>
      <c r="G3" s="788"/>
      <c r="H3" s="788"/>
      <c r="I3" s="788"/>
      <c r="J3" s="788"/>
      <c r="K3" s="788"/>
      <c r="L3" s="788"/>
    </row>
    <row r="4" spans="1:12" ht="25.5" customHeight="1">
      <c r="L4" s="285" t="s">
        <v>10</v>
      </c>
    </row>
    <row r="5" spans="1:12" ht="60.75" customHeight="1">
      <c r="A5" s="735" t="s">
        <v>310</v>
      </c>
      <c r="B5" s="701" t="s">
        <v>1</v>
      </c>
      <c r="C5" s="696" t="s">
        <v>87</v>
      </c>
      <c r="D5" s="790"/>
      <c r="E5" s="696" t="s">
        <v>311</v>
      </c>
      <c r="F5" s="790"/>
      <c r="G5" s="696" t="s">
        <v>324</v>
      </c>
      <c r="H5" s="790"/>
      <c r="I5" s="696" t="s">
        <v>312</v>
      </c>
      <c r="J5" s="790"/>
      <c r="K5" s="674" t="s">
        <v>315</v>
      </c>
      <c r="L5" s="698" t="s">
        <v>313</v>
      </c>
    </row>
    <row r="6" spans="1:12" ht="15.75" customHeight="1">
      <c r="A6" s="735"/>
      <c r="B6" s="701"/>
      <c r="C6" s="701" t="s">
        <v>314</v>
      </c>
      <c r="D6" s="698" t="s">
        <v>298</v>
      </c>
      <c r="E6" s="698" t="s">
        <v>314</v>
      </c>
      <c r="F6" s="698" t="str">
        <f>D6</f>
        <v>Trong đó: Vốn NSTW</v>
      </c>
      <c r="G6" s="698" t="s">
        <v>314</v>
      </c>
      <c r="H6" s="698" t="s">
        <v>298</v>
      </c>
      <c r="I6" s="665" t="s">
        <v>300</v>
      </c>
      <c r="J6" s="668" t="s">
        <v>301</v>
      </c>
      <c r="K6" s="676"/>
      <c r="L6" s="699"/>
    </row>
    <row r="7" spans="1:12" ht="15.75" customHeight="1">
      <c r="A7" s="735"/>
      <c r="B7" s="701"/>
      <c r="C7" s="701"/>
      <c r="D7" s="699"/>
      <c r="E7" s="699"/>
      <c r="F7" s="699"/>
      <c r="G7" s="699"/>
      <c r="H7" s="699"/>
      <c r="I7" s="665"/>
      <c r="J7" s="795"/>
      <c r="K7" s="676"/>
      <c r="L7" s="699"/>
    </row>
    <row r="8" spans="1:12">
      <c r="A8" s="735"/>
      <c r="B8" s="701"/>
      <c r="C8" s="701"/>
      <c r="D8" s="699"/>
      <c r="E8" s="699"/>
      <c r="F8" s="699"/>
      <c r="G8" s="699"/>
      <c r="H8" s="699"/>
      <c r="I8" s="665"/>
      <c r="J8" s="795"/>
      <c r="K8" s="676"/>
      <c r="L8" s="699"/>
    </row>
    <row r="9" spans="1:12">
      <c r="A9" s="735"/>
      <c r="B9" s="701"/>
      <c r="C9" s="701"/>
      <c r="D9" s="699"/>
      <c r="E9" s="699"/>
      <c r="F9" s="699"/>
      <c r="G9" s="699"/>
      <c r="H9" s="699"/>
      <c r="I9" s="665"/>
      <c r="J9" s="795"/>
      <c r="K9" s="676"/>
      <c r="L9" s="699"/>
    </row>
    <row r="10" spans="1:12">
      <c r="A10" s="735"/>
      <c r="B10" s="701"/>
      <c r="C10" s="701"/>
      <c r="D10" s="699"/>
      <c r="E10" s="699"/>
      <c r="F10" s="699"/>
      <c r="G10" s="699"/>
      <c r="H10" s="699"/>
      <c r="I10" s="665"/>
      <c r="J10" s="795"/>
      <c r="K10" s="676"/>
      <c r="L10" s="699"/>
    </row>
    <row r="11" spans="1:12" ht="24" customHeight="1">
      <c r="A11" s="284"/>
      <c r="B11" s="284" t="s">
        <v>250</v>
      </c>
      <c r="C11" s="311">
        <f t="shared" ref="C11:K11" si="0">C12+C14+C18</f>
        <v>33637.508000000002</v>
      </c>
      <c r="D11" s="311">
        <f t="shared" si="0"/>
        <v>27565.11</v>
      </c>
      <c r="E11" s="249">
        <f t="shared" si="0"/>
        <v>0</v>
      </c>
      <c r="F11" s="249">
        <f t="shared" si="0"/>
        <v>0</v>
      </c>
      <c r="G11" s="249">
        <f t="shared" si="0"/>
        <v>0</v>
      </c>
      <c r="H11" s="249">
        <f t="shared" si="0"/>
        <v>0</v>
      </c>
      <c r="I11" s="250">
        <f t="shared" si="0"/>
        <v>2177.433</v>
      </c>
      <c r="J11" s="249">
        <f t="shared" si="0"/>
        <v>0</v>
      </c>
      <c r="K11" s="250">
        <f t="shared" si="0"/>
        <v>2177.433</v>
      </c>
      <c r="L11" s="284"/>
    </row>
    <row r="12" spans="1:12" ht="46.8">
      <c r="A12" s="284" t="s">
        <v>23</v>
      </c>
      <c r="B12" s="7" t="s">
        <v>316</v>
      </c>
      <c r="C12" s="249">
        <f t="shared" ref="C12:K12" si="1">SUM(C13:C13)</f>
        <v>9600</v>
      </c>
      <c r="D12" s="311">
        <f t="shared" si="1"/>
        <v>8640.1059999999998</v>
      </c>
      <c r="E12" s="249">
        <f t="shared" si="1"/>
        <v>0</v>
      </c>
      <c r="F12" s="249">
        <f t="shared" si="1"/>
        <v>0</v>
      </c>
      <c r="G12" s="249">
        <f t="shared" si="1"/>
        <v>0</v>
      </c>
      <c r="H12" s="249">
        <f t="shared" si="1"/>
        <v>0</v>
      </c>
      <c r="I12" s="250">
        <f t="shared" si="1"/>
        <v>6.8150000000000004</v>
      </c>
      <c r="J12" s="249">
        <f t="shared" si="1"/>
        <v>0</v>
      </c>
      <c r="K12" s="250">
        <f t="shared" si="1"/>
        <v>6.8150000000000004</v>
      </c>
      <c r="L12" s="240"/>
    </row>
    <row r="13" spans="1:12" ht="53.25" customHeight="1">
      <c r="A13" s="2">
        <v>1</v>
      </c>
      <c r="B13" s="244" t="s">
        <v>337</v>
      </c>
      <c r="C13" s="243">
        <v>9600</v>
      </c>
      <c r="D13" s="310">
        <v>8640.1059999999998</v>
      </c>
      <c r="E13" s="247"/>
      <c r="F13" s="247"/>
      <c r="G13" s="247"/>
      <c r="H13" s="247"/>
      <c r="I13" s="247">
        <v>6.8150000000000004</v>
      </c>
      <c r="J13" s="247"/>
      <c r="K13" s="247">
        <f>I13</f>
        <v>6.8150000000000004</v>
      </c>
      <c r="L13" s="286" t="s">
        <v>347</v>
      </c>
    </row>
    <row r="14" spans="1:12" ht="44.25" customHeight="1">
      <c r="A14" s="284" t="s">
        <v>46</v>
      </c>
      <c r="B14" s="252" t="s">
        <v>287</v>
      </c>
      <c r="C14" s="249">
        <f>C15</f>
        <v>6609</v>
      </c>
      <c r="D14" s="311">
        <f t="shared" ref="D14:K14" si="2">D15</f>
        <v>5446.527</v>
      </c>
      <c r="E14" s="249">
        <f t="shared" si="2"/>
        <v>0</v>
      </c>
      <c r="F14" s="249">
        <f t="shared" si="2"/>
        <v>0</v>
      </c>
      <c r="G14" s="249">
        <f t="shared" si="2"/>
        <v>0</v>
      </c>
      <c r="H14" s="249">
        <f t="shared" si="2"/>
        <v>0</v>
      </c>
      <c r="I14" s="250">
        <f t="shared" si="2"/>
        <v>136.44</v>
      </c>
      <c r="J14" s="249">
        <f t="shared" si="2"/>
        <v>0</v>
      </c>
      <c r="K14" s="250">
        <f t="shared" si="2"/>
        <v>136.44</v>
      </c>
      <c r="L14" s="240"/>
    </row>
    <row r="15" spans="1:12" ht="21" customHeight="1">
      <c r="A15" s="284" t="s">
        <v>28</v>
      </c>
      <c r="B15" s="251" t="s">
        <v>283</v>
      </c>
      <c r="C15" s="249">
        <f t="shared" ref="C15:K15" si="3">SUM(C16:C17)</f>
        <v>6609</v>
      </c>
      <c r="D15" s="311">
        <f t="shared" si="3"/>
        <v>5446.527</v>
      </c>
      <c r="E15" s="249">
        <f t="shared" si="3"/>
        <v>0</v>
      </c>
      <c r="F15" s="249">
        <f t="shared" si="3"/>
        <v>0</v>
      </c>
      <c r="G15" s="249">
        <f t="shared" si="3"/>
        <v>0</v>
      </c>
      <c r="H15" s="249">
        <f t="shared" si="3"/>
        <v>0</v>
      </c>
      <c r="I15" s="250">
        <f t="shared" si="3"/>
        <v>136.44</v>
      </c>
      <c r="J15" s="249">
        <f t="shared" si="3"/>
        <v>0</v>
      </c>
      <c r="K15" s="250">
        <f t="shared" si="3"/>
        <v>136.44</v>
      </c>
      <c r="L15" s="240"/>
    </row>
    <row r="16" spans="1:12" s="297" customFormat="1" ht="33.75" customHeight="1">
      <c r="A16" s="293">
        <v>1</v>
      </c>
      <c r="B16" s="294" t="s">
        <v>343</v>
      </c>
      <c r="C16" s="295">
        <v>3760</v>
      </c>
      <c r="D16" s="309">
        <v>2880.1039999999998</v>
      </c>
      <c r="E16" s="296"/>
      <c r="F16" s="296"/>
      <c r="G16" s="296"/>
      <c r="H16" s="296"/>
      <c r="I16" s="296">
        <v>67.239000000000004</v>
      </c>
      <c r="J16" s="296"/>
      <c r="K16" s="296">
        <f>I16</f>
        <v>67.239000000000004</v>
      </c>
      <c r="L16" s="797" t="s">
        <v>347</v>
      </c>
    </row>
    <row r="17" spans="1:12" s="297" customFormat="1" ht="36" customHeight="1">
      <c r="A17" s="293">
        <v>2</v>
      </c>
      <c r="B17" s="294" t="s">
        <v>344</v>
      </c>
      <c r="C17" s="295">
        <v>2849</v>
      </c>
      <c r="D17" s="309">
        <v>2566.4229999999998</v>
      </c>
      <c r="E17" s="296"/>
      <c r="F17" s="296"/>
      <c r="G17" s="296"/>
      <c r="H17" s="296"/>
      <c r="I17" s="296">
        <v>69.200999999999993</v>
      </c>
      <c r="J17" s="296"/>
      <c r="K17" s="296">
        <f>I17</f>
        <v>69.200999999999993</v>
      </c>
      <c r="L17" s="798"/>
    </row>
    <row r="18" spans="1:12" s="297" customFormat="1" ht="37.5" customHeight="1">
      <c r="A18" s="298" t="s">
        <v>94</v>
      </c>
      <c r="B18" s="299" t="s">
        <v>279</v>
      </c>
      <c r="C18" s="312">
        <f>SUM(C19:C22)</f>
        <v>17428.508000000002</v>
      </c>
      <c r="D18" s="312">
        <f>SUM(D19:D22)</f>
        <v>13478.476999999999</v>
      </c>
      <c r="E18" s="300">
        <f t="shared" ref="E18:H18" si="4">SUM(E19:E21)</f>
        <v>0</v>
      </c>
      <c r="F18" s="300">
        <f t="shared" si="4"/>
        <v>0</v>
      </c>
      <c r="G18" s="300">
        <f t="shared" si="4"/>
        <v>0</v>
      </c>
      <c r="H18" s="300">
        <f t="shared" si="4"/>
        <v>0</v>
      </c>
      <c r="I18" s="301">
        <f>SUM(I19:I22)</f>
        <v>2034.1780000000001</v>
      </c>
      <c r="J18" s="300">
        <f>SUM(J19:J21)</f>
        <v>0</v>
      </c>
      <c r="K18" s="301">
        <f>SUM(K19:K22)</f>
        <v>2034.1780000000001</v>
      </c>
      <c r="L18" s="302"/>
    </row>
    <row r="19" spans="1:12" s="297" customFormat="1" ht="56.25" customHeight="1">
      <c r="A19" s="293">
        <v>1</v>
      </c>
      <c r="B19" s="294" t="s">
        <v>338</v>
      </c>
      <c r="C19" s="303">
        <v>5128.5079999999998</v>
      </c>
      <c r="D19" s="309">
        <v>5103.4769999999999</v>
      </c>
      <c r="E19" s="295"/>
      <c r="F19" s="295"/>
      <c r="G19" s="295"/>
      <c r="H19" s="295"/>
      <c r="I19" s="304">
        <v>8.0370000000000008</v>
      </c>
      <c r="J19" s="295"/>
      <c r="K19" s="304">
        <f>I19</f>
        <v>8.0370000000000008</v>
      </c>
      <c r="L19" s="305" t="s">
        <v>347</v>
      </c>
    </row>
    <row r="20" spans="1:12" s="297" customFormat="1" ht="42.75" customHeight="1">
      <c r="A20" s="293">
        <v>2</v>
      </c>
      <c r="B20" s="294" t="s">
        <v>339</v>
      </c>
      <c r="C20" s="306">
        <v>2800</v>
      </c>
      <c r="D20" s="307">
        <v>2628</v>
      </c>
      <c r="E20" s="306"/>
      <c r="F20" s="306"/>
      <c r="G20" s="306"/>
      <c r="H20" s="306"/>
      <c r="I20" s="296">
        <v>119.131</v>
      </c>
      <c r="J20" s="296"/>
      <c r="K20" s="304">
        <f t="shared" ref="K20:K22" si="5">I20</f>
        <v>119.131</v>
      </c>
      <c r="L20" s="797" t="s">
        <v>341</v>
      </c>
    </row>
    <row r="21" spans="1:12" s="297" customFormat="1" ht="48" customHeight="1">
      <c r="A21" s="293">
        <v>3</v>
      </c>
      <c r="B21" s="294" t="s">
        <v>249</v>
      </c>
      <c r="C21" s="306">
        <v>7500</v>
      </c>
      <c r="D21" s="307">
        <v>3837</v>
      </c>
      <c r="E21" s="306"/>
      <c r="F21" s="306"/>
      <c r="G21" s="306"/>
      <c r="H21" s="306"/>
      <c r="I21" s="295">
        <v>1907</v>
      </c>
      <c r="J21" s="296"/>
      <c r="K21" s="295">
        <f t="shared" si="5"/>
        <v>1907</v>
      </c>
      <c r="L21" s="798"/>
    </row>
    <row r="22" spans="1:12" s="297" customFormat="1" ht="26.25" customHeight="1">
      <c r="A22" s="293">
        <v>4</v>
      </c>
      <c r="B22" s="308" t="s">
        <v>340</v>
      </c>
      <c r="C22" s="306">
        <v>2000</v>
      </c>
      <c r="D22" s="307">
        <v>1910</v>
      </c>
      <c r="E22" s="302"/>
      <c r="F22" s="302"/>
      <c r="G22" s="302"/>
      <c r="H22" s="302"/>
      <c r="I22" s="296">
        <v>0.01</v>
      </c>
      <c r="J22" s="296"/>
      <c r="K22" s="296">
        <f t="shared" si="5"/>
        <v>0.01</v>
      </c>
      <c r="L22" s="305" t="s">
        <v>347</v>
      </c>
    </row>
  </sheetData>
  <mergeCells count="21">
    <mergeCell ref="H6:H10"/>
    <mergeCell ref="I6:I10"/>
    <mergeCell ref="A1:L1"/>
    <mergeCell ref="A2:L2"/>
    <mergeCell ref="A3:L3"/>
    <mergeCell ref="A5:A10"/>
    <mergeCell ref="B5:B10"/>
    <mergeCell ref="C5:D5"/>
    <mergeCell ref="E5:F5"/>
    <mergeCell ref="G5:H5"/>
    <mergeCell ref="I5:J5"/>
    <mergeCell ref="C6:C10"/>
    <mergeCell ref="D6:D10"/>
    <mergeCell ref="E6:E10"/>
    <mergeCell ref="F6:F10"/>
    <mergeCell ref="G6:G10"/>
    <mergeCell ref="L20:L21"/>
    <mergeCell ref="J6:J10"/>
    <mergeCell ref="L16:L17"/>
    <mergeCell ref="K5:K10"/>
    <mergeCell ref="L5:L10"/>
  </mergeCells>
  <pageMargins left="0.7" right="0.7" top="0.3" bottom="0.3" header="0.3" footer="0.3"/>
  <pageSetup paperSize="9" scale="8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V35"/>
  <sheetViews>
    <sheetView view="pageBreakPreview" topLeftCell="A16" zoomScale="70" zoomScaleNormal="70" zoomScaleSheetLayoutView="70" workbookViewId="0">
      <selection activeCell="X29" sqref="X29"/>
    </sheetView>
  </sheetViews>
  <sheetFormatPr defaultColWidth="9" defaultRowHeight="15.6"/>
  <cols>
    <col min="1" max="1" width="4.3984375" style="349" customWidth="1"/>
    <col min="2" max="2" width="47.59765625" style="349" customWidth="1"/>
    <col min="3" max="3" width="14.8984375" style="411" customWidth="1"/>
    <col min="4" max="4" width="12.19921875" style="349" customWidth="1"/>
    <col min="5" max="5" width="11" style="349" customWidth="1"/>
    <col min="6" max="7" width="13.5" style="349" hidden="1" customWidth="1"/>
    <col min="8" max="9" width="13.19921875" style="349" customWidth="1"/>
    <col min="10" max="10" width="11.69921875" style="349" hidden="1" customWidth="1"/>
    <col min="11" max="11" width="5.09765625" style="349" hidden="1" customWidth="1"/>
    <col min="12" max="12" width="11.3984375" style="349" hidden="1" customWidth="1"/>
    <col min="13" max="13" width="11.3984375" style="349" customWidth="1"/>
    <col min="14" max="14" width="13.3984375" style="349" customWidth="1"/>
    <col min="15" max="15" width="13.3984375" style="349" hidden="1" customWidth="1"/>
    <col min="16" max="16" width="15.8984375" style="349" customWidth="1"/>
    <col min="17" max="18" width="13.3984375" style="393" hidden="1" customWidth="1"/>
    <col min="19" max="19" width="12.3984375" style="393" hidden="1" customWidth="1"/>
    <col min="20" max="20" width="11.69921875" style="393" hidden="1" customWidth="1"/>
    <col min="21" max="21" width="0" style="349" hidden="1" customWidth="1"/>
    <col min="22" max="22" width="12.09765625" style="349" bestFit="1" customWidth="1"/>
    <col min="23" max="16384" width="9" style="349"/>
  </cols>
  <sheetData>
    <row r="1" spans="1:22" ht="15.75" customHeight="1">
      <c r="A1" s="800" t="s">
        <v>484</v>
      </c>
      <c r="B1" s="800"/>
      <c r="C1" s="391"/>
      <c r="D1" s="391"/>
      <c r="E1" s="392"/>
      <c r="F1" s="392"/>
      <c r="G1" s="392"/>
      <c r="H1" s="392"/>
      <c r="I1" s="392"/>
      <c r="J1" s="392"/>
      <c r="K1" s="392"/>
      <c r="L1" s="392"/>
      <c r="M1" s="392"/>
      <c r="N1" s="392"/>
      <c r="O1" s="392"/>
      <c r="P1" s="391"/>
    </row>
    <row r="2" spans="1:22" ht="22.5" customHeight="1">
      <c r="A2" s="801" t="s">
        <v>473</v>
      </c>
      <c r="B2" s="801"/>
      <c r="C2" s="801"/>
      <c r="D2" s="801"/>
      <c r="E2" s="801"/>
      <c r="F2" s="801"/>
      <c r="G2" s="801"/>
      <c r="H2" s="801"/>
      <c r="I2" s="801"/>
      <c r="J2" s="801"/>
      <c r="K2" s="801"/>
      <c r="L2" s="801"/>
      <c r="M2" s="801"/>
      <c r="N2" s="801"/>
      <c r="O2" s="801"/>
      <c r="P2" s="801"/>
    </row>
    <row r="3" spans="1:22" ht="16.5" customHeight="1">
      <c r="A3" s="802" t="str">
        <f>'06-S.NGHIỆP KINH TẾ'!A3:S3</f>
        <v>(Kèm theo Báo cáo số 899/BC-UBND, ngày 28 háng 11 năm 2022 của UBND huyện Tuần Giáo)</v>
      </c>
      <c r="B3" s="803"/>
      <c r="C3" s="803"/>
      <c r="D3" s="803"/>
      <c r="E3" s="803"/>
      <c r="F3" s="803"/>
      <c r="G3" s="803"/>
      <c r="H3" s="803"/>
      <c r="I3" s="803"/>
      <c r="J3" s="803"/>
      <c r="K3" s="803"/>
      <c r="L3" s="803"/>
      <c r="M3" s="803"/>
      <c r="N3" s="803"/>
      <c r="O3" s="803"/>
      <c r="P3" s="803"/>
    </row>
    <row r="4" spans="1:22" ht="18" customHeight="1">
      <c r="A4" s="394"/>
      <c r="B4" s="394"/>
      <c r="C4" s="394"/>
      <c r="D4" s="394"/>
      <c r="E4" s="804"/>
      <c r="F4" s="804"/>
      <c r="G4" s="804"/>
      <c r="H4" s="804"/>
      <c r="I4" s="804"/>
      <c r="J4" s="804"/>
      <c r="K4" s="804"/>
      <c r="L4" s="804"/>
      <c r="M4" s="804"/>
      <c r="N4" s="804"/>
      <c r="O4" s="804"/>
      <c r="P4" s="804"/>
    </row>
    <row r="5" spans="1:22" ht="30.75" customHeight="1">
      <c r="A5" s="799" t="s">
        <v>0</v>
      </c>
      <c r="B5" s="799" t="s">
        <v>43</v>
      </c>
      <c r="C5" s="799" t="s">
        <v>418</v>
      </c>
      <c r="D5" s="799" t="s">
        <v>5</v>
      </c>
      <c r="E5" s="702" t="s">
        <v>45</v>
      </c>
      <c r="F5" s="703"/>
      <c r="G5" s="704"/>
      <c r="H5" s="665" t="s">
        <v>81</v>
      </c>
      <c r="I5" s="665"/>
      <c r="J5" s="665" t="s">
        <v>82</v>
      </c>
      <c r="K5" s="665"/>
      <c r="L5" s="665"/>
      <c r="M5" s="665"/>
      <c r="N5" s="665"/>
      <c r="O5" s="665" t="s">
        <v>245</v>
      </c>
      <c r="P5" s="799" t="s">
        <v>8</v>
      </c>
    </row>
    <row r="6" spans="1:22" ht="41.25" customHeight="1">
      <c r="A6" s="799"/>
      <c r="B6" s="799"/>
      <c r="C6" s="799"/>
      <c r="D6" s="799"/>
      <c r="E6" s="708"/>
      <c r="F6" s="709"/>
      <c r="G6" s="710"/>
      <c r="H6" s="462" t="s">
        <v>19</v>
      </c>
      <c r="I6" s="462" t="s">
        <v>408</v>
      </c>
      <c r="J6" s="462" t="s">
        <v>417</v>
      </c>
      <c r="K6" s="462" t="s">
        <v>416</v>
      </c>
      <c r="L6" s="462" t="s">
        <v>415</v>
      </c>
      <c r="M6" s="462" t="s">
        <v>19</v>
      </c>
      <c r="N6" s="462" t="s">
        <v>408</v>
      </c>
      <c r="O6" s="665"/>
      <c r="P6" s="799"/>
      <c r="R6" s="356"/>
      <c r="T6" s="356"/>
      <c r="V6" s="395"/>
    </row>
    <row r="7" spans="1:22" ht="21.75" customHeight="1">
      <c r="A7" s="396">
        <v>1</v>
      </c>
      <c r="B7" s="396">
        <v>2</v>
      </c>
      <c r="C7" s="396">
        <v>3</v>
      </c>
      <c r="D7" s="396">
        <v>4</v>
      </c>
      <c r="E7" s="599" t="s">
        <v>88</v>
      </c>
      <c r="F7" s="587"/>
      <c r="G7" s="587"/>
      <c r="H7" s="397">
        <v>6</v>
      </c>
      <c r="I7" s="397">
        <v>7</v>
      </c>
      <c r="J7" s="397"/>
      <c r="K7" s="397"/>
      <c r="L7" s="397">
        <v>11</v>
      </c>
      <c r="M7" s="397">
        <v>8</v>
      </c>
      <c r="N7" s="397">
        <v>9</v>
      </c>
      <c r="O7" s="397">
        <v>10</v>
      </c>
      <c r="P7" s="396">
        <v>11</v>
      </c>
    </row>
    <row r="8" spans="1:22" ht="24.75" customHeight="1">
      <c r="A8" s="469"/>
      <c r="B8" s="469" t="s">
        <v>54</v>
      </c>
      <c r="C8" s="469"/>
      <c r="D8" s="350">
        <f t="shared" ref="D8:O8" si="0">D9+D22</f>
        <v>49350</v>
      </c>
      <c r="E8" s="350">
        <f t="shared" si="0"/>
        <v>25318.799999999999</v>
      </c>
      <c r="F8" s="588">
        <f t="shared" ref="F8:G8" si="1">F9+F22</f>
        <v>25318.799999999999</v>
      </c>
      <c r="G8" s="588">
        <f t="shared" si="1"/>
        <v>0</v>
      </c>
      <c r="H8" s="350">
        <f t="shared" si="0"/>
        <v>34723.610999999997</v>
      </c>
      <c r="I8" s="350">
        <f t="shared" si="0"/>
        <v>46694.539000000004</v>
      </c>
      <c r="J8" s="350">
        <f t="shared" si="0"/>
        <v>0</v>
      </c>
      <c r="K8" s="350">
        <f t="shared" si="0"/>
        <v>0</v>
      </c>
      <c r="L8" s="350">
        <f t="shared" si="0"/>
        <v>0</v>
      </c>
      <c r="M8" s="350">
        <f t="shared" si="0"/>
        <v>25318.799999999999</v>
      </c>
      <c r="N8" s="350">
        <f t="shared" si="0"/>
        <v>37289.728000000003</v>
      </c>
      <c r="O8" s="350">
        <f t="shared" si="0"/>
        <v>11215.125</v>
      </c>
      <c r="P8" s="350"/>
      <c r="Q8" s="356">
        <f>+D8-N8</f>
        <v>12060.271999999997</v>
      </c>
      <c r="R8" s="356">
        <f>+E8-M8</f>
        <v>0</v>
      </c>
      <c r="S8" s="356">
        <f>+I8-N8</f>
        <v>9404.8110000000015</v>
      </c>
      <c r="T8" s="356"/>
    </row>
    <row r="9" spans="1:22" s="347" customFormat="1" ht="24.75" customHeight="1">
      <c r="A9" s="469" t="s">
        <v>23</v>
      </c>
      <c r="B9" s="398" t="s">
        <v>56</v>
      </c>
      <c r="C9" s="469"/>
      <c r="D9" s="350">
        <f t="shared" ref="D9:N9" si="2">D10</f>
        <v>26050</v>
      </c>
      <c r="E9" s="350">
        <f t="shared" si="2"/>
        <v>13580.610999999999</v>
      </c>
      <c r="F9" s="588">
        <f>F10</f>
        <v>13718.8</v>
      </c>
      <c r="G9" s="589">
        <f>G10</f>
        <v>-138.18899999999996</v>
      </c>
      <c r="H9" s="350">
        <f t="shared" si="2"/>
        <v>13580.610999999999</v>
      </c>
      <c r="I9" s="350">
        <f t="shared" si="2"/>
        <v>25551.539000000001</v>
      </c>
      <c r="J9" s="350">
        <f t="shared" si="2"/>
        <v>0</v>
      </c>
      <c r="K9" s="350">
        <f t="shared" si="2"/>
        <v>0</v>
      </c>
      <c r="L9" s="350">
        <f t="shared" si="2"/>
        <v>0</v>
      </c>
      <c r="M9" s="350">
        <f t="shared" si="2"/>
        <v>13580.610999999999</v>
      </c>
      <c r="N9" s="350">
        <f t="shared" si="2"/>
        <v>25551.539000000001</v>
      </c>
      <c r="O9" s="350">
        <f>O10</f>
        <v>0</v>
      </c>
      <c r="P9" s="350"/>
      <c r="Q9" s="356">
        <f t="shared" ref="Q9:Q34" si="3">+D9-N9</f>
        <v>498.46099999999933</v>
      </c>
      <c r="R9" s="356">
        <f t="shared" ref="R9:R34" si="4">+E9-M9</f>
        <v>0</v>
      </c>
      <c r="S9" s="356">
        <f t="shared" ref="S9:S34" si="5">+I9-N9</f>
        <v>0</v>
      </c>
      <c r="T9" s="356"/>
    </row>
    <row r="10" spans="1:22" s="347" customFormat="1" ht="24.75" customHeight="1">
      <c r="A10" s="469" t="s">
        <v>28</v>
      </c>
      <c r="B10" s="398" t="s">
        <v>158</v>
      </c>
      <c r="C10" s="469"/>
      <c r="D10" s="350">
        <f t="shared" ref="D10:N10" si="6">SUM(D11:D21)</f>
        <v>26050</v>
      </c>
      <c r="E10" s="350">
        <f t="shared" si="6"/>
        <v>13580.610999999999</v>
      </c>
      <c r="F10" s="588">
        <f>SUM(F11:F21)</f>
        <v>13718.8</v>
      </c>
      <c r="G10" s="589">
        <f>SUM(G11:G21)</f>
        <v>-138.18899999999996</v>
      </c>
      <c r="H10" s="350">
        <f t="shared" si="6"/>
        <v>13580.610999999999</v>
      </c>
      <c r="I10" s="350">
        <f t="shared" si="6"/>
        <v>25551.539000000001</v>
      </c>
      <c r="J10" s="350">
        <f t="shared" si="6"/>
        <v>0</v>
      </c>
      <c r="K10" s="350">
        <f t="shared" si="6"/>
        <v>0</v>
      </c>
      <c r="L10" s="350">
        <f t="shared" si="6"/>
        <v>0</v>
      </c>
      <c r="M10" s="350">
        <f t="shared" si="6"/>
        <v>13580.610999999999</v>
      </c>
      <c r="N10" s="350">
        <f t="shared" si="6"/>
        <v>25551.539000000001</v>
      </c>
      <c r="O10" s="350">
        <f>SUM(O11:O21)</f>
        <v>0</v>
      </c>
      <c r="P10" s="350"/>
      <c r="Q10" s="356">
        <f t="shared" si="3"/>
        <v>498.46099999999933</v>
      </c>
      <c r="R10" s="356">
        <f t="shared" si="4"/>
        <v>0</v>
      </c>
      <c r="S10" s="356">
        <f t="shared" si="5"/>
        <v>0</v>
      </c>
      <c r="T10" s="356"/>
    </row>
    <row r="11" spans="1:22" ht="33.6">
      <c r="A11" s="399" t="s">
        <v>375</v>
      </c>
      <c r="B11" s="400" t="s">
        <v>159</v>
      </c>
      <c r="C11" s="140" t="s">
        <v>160</v>
      </c>
      <c r="D11" s="401">
        <v>3000</v>
      </c>
      <c r="E11" s="402">
        <f>SUM(F11:G11)</f>
        <v>380.79999999999973</v>
      </c>
      <c r="F11" s="478">
        <v>380.79999999999973</v>
      </c>
      <c r="G11" s="473"/>
      <c r="H11" s="402">
        <v>380.79999999999973</v>
      </c>
      <c r="I11" s="402">
        <v>2978.1</v>
      </c>
      <c r="J11" s="402"/>
      <c r="K11" s="402"/>
      <c r="L11" s="402"/>
      <c r="M11" s="402">
        <v>380.79999999999973</v>
      </c>
      <c r="N11" s="402">
        <v>2978.1</v>
      </c>
      <c r="O11" s="403"/>
      <c r="P11" s="140"/>
      <c r="Q11" s="356">
        <f t="shared" si="3"/>
        <v>21.900000000000091</v>
      </c>
      <c r="R11" s="356">
        <f t="shared" si="4"/>
        <v>0</v>
      </c>
      <c r="S11" s="356">
        <f t="shared" si="5"/>
        <v>0</v>
      </c>
      <c r="T11" s="356"/>
    </row>
    <row r="12" spans="1:22" ht="22.95" customHeight="1">
      <c r="A12" s="399" t="s">
        <v>375</v>
      </c>
      <c r="B12" s="404" t="s">
        <v>162</v>
      </c>
      <c r="C12" s="405" t="s">
        <v>40</v>
      </c>
      <c r="D12" s="401">
        <v>2400</v>
      </c>
      <c r="E12" s="402">
        <f t="shared" ref="E12:E21" si="7">SUM(F12:G12)</f>
        <v>1334.0550000000001</v>
      </c>
      <c r="F12" s="478">
        <v>1399</v>
      </c>
      <c r="G12" s="473">
        <v>-64.944999999999993</v>
      </c>
      <c r="H12" s="402">
        <v>1334.0550000000001</v>
      </c>
      <c r="I12" s="402">
        <v>2334.3939999999998</v>
      </c>
      <c r="J12" s="402"/>
      <c r="K12" s="402"/>
      <c r="L12" s="402"/>
      <c r="M12" s="402">
        <v>1334.0550000000001</v>
      </c>
      <c r="N12" s="402">
        <v>2334.3939999999998</v>
      </c>
      <c r="O12" s="403"/>
      <c r="P12" s="140"/>
      <c r="Q12" s="356">
        <f t="shared" si="3"/>
        <v>65.606000000000222</v>
      </c>
      <c r="R12" s="356">
        <f t="shared" si="4"/>
        <v>0</v>
      </c>
      <c r="S12" s="356">
        <f t="shared" si="5"/>
        <v>0</v>
      </c>
      <c r="T12" s="356"/>
    </row>
    <row r="13" spans="1:22" ht="24.6" customHeight="1">
      <c r="A13" s="399" t="s">
        <v>375</v>
      </c>
      <c r="B13" s="404" t="s">
        <v>163</v>
      </c>
      <c r="C13" s="405" t="s">
        <v>42</v>
      </c>
      <c r="D13" s="401">
        <v>2300</v>
      </c>
      <c r="E13" s="402">
        <f t="shared" si="7"/>
        <v>1298.7629999999999</v>
      </c>
      <c r="F13" s="478">
        <v>1327</v>
      </c>
      <c r="G13" s="473">
        <v>-28.236999999999998</v>
      </c>
      <c r="H13" s="402">
        <v>1298.7629999999999</v>
      </c>
      <c r="I13" s="402">
        <v>2270.3890000000001</v>
      </c>
      <c r="J13" s="402"/>
      <c r="K13" s="402"/>
      <c r="L13" s="402"/>
      <c r="M13" s="402">
        <v>1298.7629999999999</v>
      </c>
      <c r="N13" s="402">
        <v>2270.3890000000001</v>
      </c>
      <c r="O13" s="403"/>
      <c r="P13" s="140"/>
      <c r="Q13" s="356">
        <f t="shared" si="3"/>
        <v>29.610999999999876</v>
      </c>
      <c r="R13" s="356">
        <f t="shared" si="4"/>
        <v>0</v>
      </c>
      <c r="S13" s="356">
        <f t="shared" si="5"/>
        <v>0</v>
      </c>
      <c r="T13" s="356"/>
    </row>
    <row r="14" spans="1:22" ht="33.6">
      <c r="A14" s="399" t="s">
        <v>375</v>
      </c>
      <c r="B14" s="404" t="s">
        <v>164</v>
      </c>
      <c r="C14" s="405" t="s">
        <v>165</v>
      </c>
      <c r="D14" s="401">
        <v>2650</v>
      </c>
      <c r="E14" s="402">
        <f t="shared" si="7"/>
        <v>1530.931</v>
      </c>
      <c r="F14" s="478">
        <v>1543</v>
      </c>
      <c r="G14" s="473">
        <v>-12.069000000000001</v>
      </c>
      <c r="H14" s="402">
        <v>1530.931</v>
      </c>
      <c r="I14" s="402">
        <v>2631.2890000000002</v>
      </c>
      <c r="J14" s="402"/>
      <c r="K14" s="402"/>
      <c r="L14" s="402"/>
      <c r="M14" s="402">
        <v>1530.931</v>
      </c>
      <c r="N14" s="402">
        <v>2631.2890000000002</v>
      </c>
      <c r="O14" s="403"/>
      <c r="P14" s="140"/>
      <c r="Q14" s="356">
        <f t="shared" si="3"/>
        <v>18.710999999999785</v>
      </c>
      <c r="R14" s="356">
        <f t="shared" si="4"/>
        <v>0</v>
      </c>
      <c r="S14" s="356">
        <f t="shared" si="5"/>
        <v>0</v>
      </c>
      <c r="T14" s="356"/>
    </row>
    <row r="15" spans="1:22" ht="33.6">
      <c r="A15" s="399" t="s">
        <v>375</v>
      </c>
      <c r="B15" s="404" t="s">
        <v>166</v>
      </c>
      <c r="C15" s="405" t="s">
        <v>41</v>
      </c>
      <c r="D15" s="401">
        <v>2700</v>
      </c>
      <c r="E15" s="402">
        <f t="shared" si="7"/>
        <v>1576.7239999999999</v>
      </c>
      <c r="F15" s="478">
        <v>1561</v>
      </c>
      <c r="G15" s="473">
        <v>15.724</v>
      </c>
      <c r="H15" s="402">
        <v>1576.7239999999999</v>
      </c>
      <c r="I15" s="402">
        <v>2676.8310000000001</v>
      </c>
      <c r="J15" s="402"/>
      <c r="K15" s="402"/>
      <c r="L15" s="402"/>
      <c r="M15" s="402">
        <v>1576.7239999999999</v>
      </c>
      <c r="N15" s="402">
        <v>2676.8310000000001</v>
      </c>
      <c r="O15" s="403"/>
      <c r="P15" s="140"/>
      <c r="Q15" s="356">
        <f t="shared" si="3"/>
        <v>23.168999999999869</v>
      </c>
      <c r="R15" s="356">
        <f t="shared" si="4"/>
        <v>0</v>
      </c>
      <c r="S15" s="356">
        <f t="shared" si="5"/>
        <v>0</v>
      </c>
      <c r="T15" s="356"/>
    </row>
    <row r="16" spans="1:22" ht="16.8">
      <c r="A16" s="399" t="s">
        <v>375</v>
      </c>
      <c r="B16" s="404" t="s">
        <v>167</v>
      </c>
      <c r="C16" s="405" t="s">
        <v>37</v>
      </c>
      <c r="D16" s="401">
        <v>2200</v>
      </c>
      <c r="E16" s="402">
        <f t="shared" si="7"/>
        <v>1368.51</v>
      </c>
      <c r="F16" s="478">
        <v>1382</v>
      </c>
      <c r="G16" s="473">
        <v>-13.49</v>
      </c>
      <c r="H16" s="402">
        <v>1368.51</v>
      </c>
      <c r="I16" s="402">
        <v>2168.5100000000002</v>
      </c>
      <c r="J16" s="402"/>
      <c r="K16" s="402"/>
      <c r="L16" s="402"/>
      <c r="M16" s="402">
        <v>1368.51</v>
      </c>
      <c r="N16" s="402">
        <v>2168.5100000000002</v>
      </c>
      <c r="O16" s="403"/>
      <c r="P16" s="140"/>
      <c r="Q16" s="356">
        <f t="shared" si="3"/>
        <v>31.489999999999782</v>
      </c>
      <c r="R16" s="356">
        <f t="shared" si="4"/>
        <v>0</v>
      </c>
      <c r="S16" s="356">
        <f t="shared" si="5"/>
        <v>0</v>
      </c>
      <c r="T16" s="356"/>
    </row>
    <row r="17" spans="1:20" ht="16.8">
      <c r="A17" s="399" t="s">
        <v>375</v>
      </c>
      <c r="B17" s="404" t="s">
        <v>168</v>
      </c>
      <c r="C17" s="405" t="s">
        <v>161</v>
      </c>
      <c r="D17" s="401">
        <v>2100</v>
      </c>
      <c r="E17" s="402">
        <f t="shared" si="7"/>
        <v>1208.7570000000001</v>
      </c>
      <c r="F17" s="478">
        <v>1210</v>
      </c>
      <c r="G17" s="473">
        <v>-1.2430000000000001</v>
      </c>
      <c r="H17" s="402">
        <v>1208.7570000000001</v>
      </c>
      <c r="I17" s="402">
        <v>2009.3420000000001</v>
      </c>
      <c r="J17" s="402"/>
      <c r="K17" s="402"/>
      <c r="L17" s="402"/>
      <c r="M17" s="402">
        <v>1208.7570000000001</v>
      </c>
      <c r="N17" s="402">
        <v>2009.3420000000001</v>
      </c>
      <c r="O17" s="403"/>
      <c r="P17" s="140"/>
      <c r="Q17" s="356">
        <f t="shared" si="3"/>
        <v>90.657999999999902</v>
      </c>
      <c r="R17" s="356">
        <f t="shared" si="4"/>
        <v>0</v>
      </c>
      <c r="S17" s="356">
        <f t="shared" si="5"/>
        <v>0</v>
      </c>
      <c r="T17" s="356"/>
    </row>
    <row r="18" spans="1:20" ht="16.8">
      <c r="A18" s="399" t="s">
        <v>375</v>
      </c>
      <c r="B18" s="404" t="s">
        <v>169</v>
      </c>
      <c r="C18" s="405" t="s">
        <v>39</v>
      </c>
      <c r="D18" s="401">
        <v>2000</v>
      </c>
      <c r="E18" s="402">
        <f t="shared" si="7"/>
        <v>1184.165</v>
      </c>
      <c r="F18" s="478">
        <v>1193</v>
      </c>
      <c r="G18" s="473">
        <v>-8.8350000000000009</v>
      </c>
      <c r="H18" s="402">
        <v>1184.165</v>
      </c>
      <c r="I18" s="402">
        <v>1984.4110000000001</v>
      </c>
      <c r="J18" s="402"/>
      <c r="K18" s="402"/>
      <c r="L18" s="402"/>
      <c r="M18" s="402">
        <v>1184.165</v>
      </c>
      <c r="N18" s="402">
        <v>1984.4110000000001</v>
      </c>
      <c r="O18" s="403"/>
      <c r="P18" s="140"/>
      <c r="Q18" s="356">
        <f t="shared" si="3"/>
        <v>15.588999999999942</v>
      </c>
      <c r="R18" s="356">
        <f t="shared" si="4"/>
        <v>0</v>
      </c>
      <c r="S18" s="356">
        <f t="shared" si="5"/>
        <v>0</v>
      </c>
      <c r="T18" s="356"/>
    </row>
    <row r="19" spans="1:20" ht="16.8">
      <c r="A19" s="399" t="s">
        <v>375</v>
      </c>
      <c r="B19" s="404" t="s">
        <v>171</v>
      </c>
      <c r="C19" s="405" t="s">
        <v>128</v>
      </c>
      <c r="D19" s="401">
        <v>1800</v>
      </c>
      <c r="E19" s="402">
        <f t="shared" si="7"/>
        <v>927.51800000000003</v>
      </c>
      <c r="F19" s="478">
        <v>935</v>
      </c>
      <c r="G19" s="473">
        <v>-7.4820000000000002</v>
      </c>
      <c r="H19" s="402">
        <v>927.51800000000003</v>
      </c>
      <c r="I19" s="402">
        <v>1727.817</v>
      </c>
      <c r="J19" s="402"/>
      <c r="K19" s="402"/>
      <c r="L19" s="402"/>
      <c r="M19" s="402">
        <v>927.51800000000003</v>
      </c>
      <c r="N19" s="402">
        <v>1727.817</v>
      </c>
      <c r="O19" s="403"/>
      <c r="P19" s="140"/>
      <c r="Q19" s="356">
        <f t="shared" si="3"/>
        <v>72.182999999999993</v>
      </c>
      <c r="R19" s="356">
        <f t="shared" si="4"/>
        <v>0</v>
      </c>
      <c r="S19" s="356">
        <f t="shared" si="5"/>
        <v>0</v>
      </c>
      <c r="T19" s="356"/>
    </row>
    <row r="20" spans="1:20" ht="16.8">
      <c r="A20" s="399" t="s">
        <v>375</v>
      </c>
      <c r="B20" s="404" t="s">
        <v>172</v>
      </c>
      <c r="C20" s="405" t="s">
        <v>108</v>
      </c>
      <c r="D20" s="401">
        <v>2300</v>
      </c>
      <c r="E20" s="402">
        <f t="shared" si="7"/>
        <v>1273.046</v>
      </c>
      <c r="F20" s="478">
        <v>1290</v>
      </c>
      <c r="G20" s="473">
        <v>-16.954000000000001</v>
      </c>
      <c r="H20" s="402">
        <v>1273.046</v>
      </c>
      <c r="I20" s="402">
        <v>2173.114</v>
      </c>
      <c r="J20" s="402"/>
      <c r="K20" s="402"/>
      <c r="L20" s="402"/>
      <c r="M20" s="402">
        <v>1273.046</v>
      </c>
      <c r="N20" s="402">
        <v>2173.114</v>
      </c>
      <c r="O20" s="403"/>
      <c r="P20" s="140"/>
      <c r="Q20" s="356">
        <f t="shared" si="3"/>
        <v>126.88599999999997</v>
      </c>
      <c r="R20" s="356">
        <f t="shared" si="4"/>
        <v>0</v>
      </c>
      <c r="S20" s="356">
        <f t="shared" si="5"/>
        <v>0</v>
      </c>
      <c r="T20" s="356"/>
    </row>
    <row r="21" spans="1:20" ht="16.8">
      <c r="A21" s="399" t="s">
        <v>375</v>
      </c>
      <c r="B21" s="404" t="s">
        <v>173</v>
      </c>
      <c r="C21" s="405" t="s">
        <v>174</v>
      </c>
      <c r="D21" s="401">
        <v>2600</v>
      </c>
      <c r="E21" s="402">
        <f t="shared" si="7"/>
        <v>1497.3420000000001</v>
      </c>
      <c r="F21" s="478">
        <v>1498</v>
      </c>
      <c r="G21" s="473">
        <v>-0.65800000000000003</v>
      </c>
      <c r="H21" s="402">
        <v>1497.3420000000001</v>
      </c>
      <c r="I21" s="402">
        <v>2597.3420000000001</v>
      </c>
      <c r="J21" s="402"/>
      <c r="K21" s="402"/>
      <c r="L21" s="402"/>
      <c r="M21" s="402">
        <v>1497.3420000000001</v>
      </c>
      <c r="N21" s="402">
        <v>2597.3420000000001</v>
      </c>
      <c r="O21" s="403"/>
      <c r="P21" s="140"/>
      <c r="Q21" s="356">
        <f t="shared" si="3"/>
        <v>2.6579999999999018</v>
      </c>
      <c r="R21" s="356">
        <f t="shared" si="4"/>
        <v>0</v>
      </c>
      <c r="S21" s="356">
        <f t="shared" si="5"/>
        <v>0</v>
      </c>
      <c r="T21" s="356"/>
    </row>
    <row r="22" spans="1:20" s="347" customFormat="1">
      <c r="A22" s="406" t="s">
        <v>46</v>
      </c>
      <c r="B22" s="407" t="s">
        <v>419</v>
      </c>
      <c r="C22" s="408"/>
      <c r="D22" s="350">
        <f t="shared" ref="D22:O22" si="8">D23</f>
        <v>23300</v>
      </c>
      <c r="E22" s="350">
        <f t="shared" si="8"/>
        <v>11738.189</v>
      </c>
      <c r="F22" s="588">
        <f t="shared" si="8"/>
        <v>11600</v>
      </c>
      <c r="G22" s="589">
        <f t="shared" si="8"/>
        <v>138.18899999999999</v>
      </c>
      <c r="H22" s="350">
        <f t="shared" si="8"/>
        <v>21143</v>
      </c>
      <c r="I22" s="350">
        <f t="shared" si="8"/>
        <v>21143</v>
      </c>
      <c r="J22" s="350">
        <f t="shared" si="8"/>
        <v>0</v>
      </c>
      <c r="K22" s="350">
        <f t="shared" si="8"/>
        <v>0</v>
      </c>
      <c r="L22" s="350">
        <f t="shared" si="8"/>
        <v>0</v>
      </c>
      <c r="M22" s="350">
        <f t="shared" si="8"/>
        <v>11738.189</v>
      </c>
      <c r="N22" s="350">
        <f t="shared" si="8"/>
        <v>11738.189</v>
      </c>
      <c r="O22" s="350">
        <f t="shared" si="8"/>
        <v>11215.125</v>
      </c>
      <c r="P22" s="350"/>
      <c r="Q22" s="356">
        <f t="shared" si="3"/>
        <v>11561.811</v>
      </c>
      <c r="R22" s="356">
        <f t="shared" si="4"/>
        <v>0</v>
      </c>
      <c r="S22" s="356">
        <f t="shared" si="5"/>
        <v>9404.8109999999997</v>
      </c>
      <c r="T22" s="356"/>
    </row>
    <row r="23" spans="1:20" s="347" customFormat="1">
      <c r="A23" s="469" t="s">
        <v>28</v>
      </c>
      <c r="B23" s="398" t="s">
        <v>158</v>
      </c>
      <c r="C23" s="469"/>
      <c r="D23" s="350">
        <f t="shared" ref="D23:O23" si="9">SUM(D24:D34)</f>
        <v>23300</v>
      </c>
      <c r="E23" s="350">
        <f t="shared" si="9"/>
        <v>11738.189</v>
      </c>
      <c r="F23" s="588">
        <f t="shared" ref="F23:G23" si="10">SUM(F24:F34)</f>
        <v>11600</v>
      </c>
      <c r="G23" s="589">
        <f t="shared" si="10"/>
        <v>138.18899999999999</v>
      </c>
      <c r="H23" s="350">
        <f t="shared" si="9"/>
        <v>21143</v>
      </c>
      <c r="I23" s="350">
        <f>SUM(I24:I34)</f>
        <v>21143</v>
      </c>
      <c r="J23" s="350">
        <f t="shared" si="9"/>
        <v>0</v>
      </c>
      <c r="K23" s="350">
        <f t="shared" si="9"/>
        <v>0</v>
      </c>
      <c r="L23" s="350">
        <f t="shared" si="9"/>
        <v>0</v>
      </c>
      <c r="M23" s="350">
        <f t="shared" si="9"/>
        <v>11738.189</v>
      </c>
      <c r="N23" s="350">
        <f>SUM(N24:N34)</f>
        <v>11738.189</v>
      </c>
      <c r="O23" s="350">
        <f t="shared" si="9"/>
        <v>11215.125</v>
      </c>
      <c r="P23" s="409"/>
      <c r="Q23" s="356">
        <f t="shared" si="3"/>
        <v>11561.811</v>
      </c>
      <c r="R23" s="356">
        <f t="shared" si="4"/>
        <v>0</v>
      </c>
      <c r="S23" s="356">
        <f t="shared" si="5"/>
        <v>9404.8109999999997</v>
      </c>
      <c r="T23" s="356"/>
    </row>
    <row r="24" spans="1:20" ht="16.8">
      <c r="A24" s="590" t="s">
        <v>375</v>
      </c>
      <c r="B24" s="404" t="s">
        <v>176</v>
      </c>
      <c r="C24" s="140" t="s">
        <v>75</v>
      </c>
      <c r="D24" s="367">
        <v>2500</v>
      </c>
      <c r="E24" s="402">
        <f t="shared" ref="E24:E33" si="11">SUM(F24:G24)</f>
        <v>1200</v>
      </c>
      <c r="F24" s="478">
        <v>1200</v>
      </c>
      <c r="G24" s="473"/>
      <c r="H24" s="346">
        <v>2493</v>
      </c>
      <c r="I24" s="346">
        <v>2493</v>
      </c>
      <c r="J24" s="346"/>
      <c r="K24" s="346"/>
      <c r="L24" s="346"/>
      <c r="M24" s="346">
        <f>E24</f>
        <v>1200</v>
      </c>
      <c r="N24" s="346">
        <f>M24</f>
        <v>1200</v>
      </c>
      <c r="O24" s="346">
        <v>1293</v>
      </c>
      <c r="P24" s="140"/>
      <c r="Q24" s="356">
        <f t="shared" si="3"/>
        <v>1300</v>
      </c>
      <c r="R24" s="356">
        <f t="shared" si="4"/>
        <v>0</v>
      </c>
      <c r="S24" s="356">
        <f t="shared" si="5"/>
        <v>1293</v>
      </c>
      <c r="T24" s="356"/>
    </row>
    <row r="25" spans="1:20" ht="16.8">
      <c r="A25" s="590" t="s">
        <v>375</v>
      </c>
      <c r="B25" s="404" t="s">
        <v>177</v>
      </c>
      <c r="C25" s="140" t="s">
        <v>118</v>
      </c>
      <c r="D25" s="367">
        <v>2000</v>
      </c>
      <c r="E25" s="402">
        <f t="shared" si="11"/>
        <v>1000</v>
      </c>
      <c r="F25" s="478">
        <v>1000</v>
      </c>
      <c r="G25" s="473"/>
      <c r="H25" s="346">
        <v>1500</v>
      </c>
      <c r="I25" s="346">
        <v>1500</v>
      </c>
      <c r="J25" s="346"/>
      <c r="K25" s="346"/>
      <c r="L25" s="346"/>
      <c r="M25" s="346">
        <f t="shared" ref="M25:M33" si="12">E25</f>
        <v>1000</v>
      </c>
      <c r="N25" s="346">
        <f t="shared" ref="N25:N33" si="13">M25</f>
        <v>1000</v>
      </c>
      <c r="O25" s="346">
        <v>905</v>
      </c>
      <c r="P25" s="140"/>
      <c r="Q25" s="356">
        <f t="shared" si="3"/>
        <v>1000</v>
      </c>
      <c r="R25" s="356">
        <f t="shared" si="4"/>
        <v>0</v>
      </c>
      <c r="S25" s="356">
        <f t="shared" si="5"/>
        <v>500</v>
      </c>
      <c r="T25" s="356"/>
    </row>
    <row r="26" spans="1:20" ht="16.8">
      <c r="A26" s="590" t="s">
        <v>375</v>
      </c>
      <c r="B26" s="404" t="s">
        <v>178</v>
      </c>
      <c r="C26" s="13" t="s">
        <v>36</v>
      </c>
      <c r="D26" s="368">
        <v>2000</v>
      </c>
      <c r="E26" s="402">
        <f t="shared" si="11"/>
        <v>1000</v>
      </c>
      <c r="F26" s="478">
        <v>1000</v>
      </c>
      <c r="G26" s="473"/>
      <c r="H26" s="346">
        <v>1873</v>
      </c>
      <c r="I26" s="346">
        <v>1873</v>
      </c>
      <c r="J26" s="346"/>
      <c r="K26" s="346"/>
      <c r="L26" s="346"/>
      <c r="M26" s="346">
        <f t="shared" si="12"/>
        <v>1000</v>
      </c>
      <c r="N26" s="346">
        <f t="shared" si="13"/>
        <v>1000</v>
      </c>
      <c r="O26" s="346">
        <v>873</v>
      </c>
      <c r="P26" s="140"/>
      <c r="Q26" s="356">
        <f t="shared" si="3"/>
        <v>1000</v>
      </c>
      <c r="R26" s="356">
        <f t="shared" si="4"/>
        <v>0</v>
      </c>
      <c r="S26" s="356">
        <f t="shared" si="5"/>
        <v>873</v>
      </c>
      <c r="T26" s="356"/>
    </row>
    <row r="27" spans="1:20" ht="16.8">
      <c r="A27" s="590" t="s">
        <v>375</v>
      </c>
      <c r="B27" s="404" t="s">
        <v>179</v>
      </c>
      <c r="C27" s="13" t="s">
        <v>30</v>
      </c>
      <c r="D27" s="368">
        <v>2500</v>
      </c>
      <c r="E27" s="402">
        <f t="shared" si="11"/>
        <v>1300</v>
      </c>
      <c r="F27" s="478">
        <v>1300</v>
      </c>
      <c r="G27" s="473"/>
      <c r="H27" s="346">
        <v>2493</v>
      </c>
      <c r="I27" s="346">
        <v>2493</v>
      </c>
      <c r="J27" s="346"/>
      <c r="K27" s="346"/>
      <c r="L27" s="346"/>
      <c r="M27" s="346">
        <f t="shared" si="12"/>
        <v>1300</v>
      </c>
      <c r="N27" s="346">
        <f t="shared" si="13"/>
        <v>1300</v>
      </c>
      <c r="O27" s="346">
        <v>1193</v>
      </c>
      <c r="P27" s="140"/>
      <c r="Q27" s="356">
        <f t="shared" si="3"/>
        <v>1200</v>
      </c>
      <c r="R27" s="356">
        <f t="shared" si="4"/>
        <v>0</v>
      </c>
      <c r="S27" s="356">
        <f t="shared" si="5"/>
        <v>1193</v>
      </c>
      <c r="T27" s="356"/>
    </row>
    <row r="28" spans="1:20" ht="33.6">
      <c r="A28" s="590" t="s">
        <v>375</v>
      </c>
      <c r="B28" s="404" t="s">
        <v>436</v>
      </c>
      <c r="C28" s="13" t="s">
        <v>182</v>
      </c>
      <c r="D28" s="368">
        <v>2300</v>
      </c>
      <c r="E28" s="402">
        <f t="shared" si="11"/>
        <v>1100</v>
      </c>
      <c r="F28" s="478">
        <v>1100</v>
      </c>
      <c r="G28" s="473"/>
      <c r="H28" s="346">
        <v>2000</v>
      </c>
      <c r="I28" s="346">
        <v>2000</v>
      </c>
      <c r="J28" s="346"/>
      <c r="K28" s="346"/>
      <c r="L28" s="346"/>
      <c r="M28" s="346">
        <f t="shared" si="12"/>
        <v>1100</v>
      </c>
      <c r="N28" s="346">
        <f t="shared" si="13"/>
        <v>1100</v>
      </c>
      <c r="O28" s="346">
        <v>1192</v>
      </c>
      <c r="P28" s="140"/>
      <c r="Q28" s="356">
        <f t="shared" si="3"/>
        <v>1200</v>
      </c>
      <c r="R28" s="356">
        <f t="shared" si="4"/>
        <v>0</v>
      </c>
      <c r="S28" s="356">
        <f t="shared" si="5"/>
        <v>900</v>
      </c>
      <c r="T28" s="356"/>
    </row>
    <row r="29" spans="1:20" ht="16.8">
      <c r="A29" s="590" t="s">
        <v>375</v>
      </c>
      <c r="B29" s="404" t="s">
        <v>183</v>
      </c>
      <c r="C29" s="13" t="s">
        <v>184</v>
      </c>
      <c r="D29" s="410">
        <v>3500</v>
      </c>
      <c r="E29" s="402">
        <f t="shared" si="11"/>
        <v>1800</v>
      </c>
      <c r="F29" s="478">
        <v>1800</v>
      </c>
      <c r="G29" s="473"/>
      <c r="H29" s="402">
        <v>3200</v>
      </c>
      <c r="I29" s="402">
        <v>3200</v>
      </c>
      <c r="J29" s="402"/>
      <c r="K29" s="402"/>
      <c r="L29" s="402"/>
      <c r="M29" s="346">
        <f t="shared" si="12"/>
        <v>1800</v>
      </c>
      <c r="N29" s="346">
        <f t="shared" si="13"/>
        <v>1800</v>
      </c>
      <c r="O29" s="346">
        <v>1680.3140000000003</v>
      </c>
      <c r="P29" s="140"/>
      <c r="Q29" s="356">
        <f t="shared" si="3"/>
        <v>1700</v>
      </c>
      <c r="R29" s="356">
        <f t="shared" si="4"/>
        <v>0</v>
      </c>
      <c r="S29" s="356">
        <f t="shared" si="5"/>
        <v>1400</v>
      </c>
      <c r="T29" s="356"/>
    </row>
    <row r="30" spans="1:20" ht="16.8">
      <c r="A30" s="590" t="s">
        <v>375</v>
      </c>
      <c r="B30" s="404" t="s">
        <v>185</v>
      </c>
      <c r="C30" s="13" t="s">
        <v>186</v>
      </c>
      <c r="D30" s="368">
        <v>1900</v>
      </c>
      <c r="E30" s="402">
        <f t="shared" si="11"/>
        <v>1000</v>
      </c>
      <c r="F30" s="478">
        <v>1000</v>
      </c>
      <c r="G30" s="473"/>
      <c r="H30" s="346">
        <v>1895</v>
      </c>
      <c r="I30" s="346">
        <v>1895</v>
      </c>
      <c r="J30" s="346"/>
      <c r="K30" s="346"/>
      <c r="L30" s="346"/>
      <c r="M30" s="346">
        <f t="shared" si="12"/>
        <v>1000</v>
      </c>
      <c r="N30" s="346">
        <f t="shared" si="13"/>
        <v>1000</v>
      </c>
      <c r="O30" s="346">
        <v>895</v>
      </c>
      <c r="P30" s="140"/>
      <c r="Q30" s="356">
        <f t="shared" si="3"/>
        <v>900</v>
      </c>
      <c r="R30" s="356">
        <f t="shared" si="4"/>
        <v>0</v>
      </c>
      <c r="S30" s="356">
        <f t="shared" si="5"/>
        <v>895</v>
      </c>
      <c r="T30" s="356"/>
    </row>
    <row r="31" spans="1:20" ht="16.8">
      <c r="A31" s="590" t="s">
        <v>375</v>
      </c>
      <c r="B31" s="404" t="s">
        <v>187</v>
      </c>
      <c r="C31" s="13" t="s">
        <v>184</v>
      </c>
      <c r="D31" s="368">
        <v>2500</v>
      </c>
      <c r="E31" s="402">
        <f t="shared" si="11"/>
        <v>1200</v>
      </c>
      <c r="F31" s="478">
        <v>1200</v>
      </c>
      <c r="G31" s="473"/>
      <c r="H31" s="346">
        <v>2200</v>
      </c>
      <c r="I31" s="346">
        <v>2200</v>
      </c>
      <c r="J31" s="346"/>
      <c r="K31" s="346"/>
      <c r="L31" s="346"/>
      <c r="M31" s="346">
        <f t="shared" si="12"/>
        <v>1200</v>
      </c>
      <c r="N31" s="346">
        <f t="shared" si="13"/>
        <v>1200</v>
      </c>
      <c r="O31" s="346">
        <v>1278</v>
      </c>
      <c r="P31" s="140"/>
      <c r="Q31" s="356">
        <f t="shared" si="3"/>
        <v>1300</v>
      </c>
      <c r="R31" s="356">
        <f t="shared" si="4"/>
        <v>0</v>
      </c>
      <c r="S31" s="356">
        <f t="shared" si="5"/>
        <v>1000</v>
      </c>
      <c r="T31" s="356"/>
    </row>
    <row r="32" spans="1:20" ht="16.8">
      <c r="A32" s="590" t="s">
        <v>375</v>
      </c>
      <c r="B32" s="404" t="s">
        <v>188</v>
      </c>
      <c r="C32" s="13" t="s">
        <v>189</v>
      </c>
      <c r="D32" s="368">
        <v>1500</v>
      </c>
      <c r="E32" s="402">
        <f t="shared" si="11"/>
        <v>1000</v>
      </c>
      <c r="F32" s="478">
        <v>1000</v>
      </c>
      <c r="G32" s="473"/>
      <c r="H32" s="346">
        <v>1489</v>
      </c>
      <c r="I32" s="346">
        <v>1489</v>
      </c>
      <c r="J32" s="346"/>
      <c r="K32" s="346"/>
      <c r="L32" s="346"/>
      <c r="M32" s="346">
        <f t="shared" si="12"/>
        <v>1000</v>
      </c>
      <c r="N32" s="346">
        <f t="shared" si="13"/>
        <v>1000</v>
      </c>
      <c r="O32" s="346">
        <v>489</v>
      </c>
      <c r="P32" s="140"/>
      <c r="Q32" s="356">
        <f t="shared" si="3"/>
        <v>500</v>
      </c>
      <c r="R32" s="356">
        <f t="shared" si="4"/>
        <v>0</v>
      </c>
      <c r="S32" s="356">
        <f t="shared" si="5"/>
        <v>489</v>
      </c>
      <c r="T32" s="356"/>
    </row>
    <row r="33" spans="1:20" ht="16.8">
      <c r="A33" s="590" t="s">
        <v>375</v>
      </c>
      <c r="B33" s="404" t="s">
        <v>435</v>
      </c>
      <c r="C33" s="13" t="s">
        <v>30</v>
      </c>
      <c r="D33" s="368">
        <v>2600</v>
      </c>
      <c r="E33" s="402">
        <f t="shared" si="11"/>
        <v>1138.1890000000001</v>
      </c>
      <c r="F33" s="478">
        <v>1000</v>
      </c>
      <c r="G33" s="473">
        <v>138.18899999999999</v>
      </c>
      <c r="H33" s="346">
        <v>2000</v>
      </c>
      <c r="I33" s="346">
        <v>2000</v>
      </c>
      <c r="J33" s="346"/>
      <c r="K33" s="346"/>
      <c r="L33" s="346"/>
      <c r="M33" s="346">
        <f t="shared" si="12"/>
        <v>1138.1890000000001</v>
      </c>
      <c r="N33" s="346">
        <f t="shared" si="13"/>
        <v>1138.1890000000001</v>
      </c>
      <c r="O33" s="346">
        <v>1416.8109999999999</v>
      </c>
      <c r="P33" s="140"/>
      <c r="Q33" s="356">
        <f t="shared" si="3"/>
        <v>1461.8109999999999</v>
      </c>
      <c r="R33" s="356">
        <f t="shared" si="4"/>
        <v>0</v>
      </c>
      <c r="S33" s="356">
        <f t="shared" si="5"/>
        <v>861.81099999999992</v>
      </c>
      <c r="T33" s="356"/>
    </row>
    <row r="34" spans="1:20" ht="8.25" customHeight="1" thickBot="1">
      <c r="A34" s="625"/>
      <c r="B34" s="626"/>
      <c r="C34" s="625"/>
      <c r="D34" s="624"/>
      <c r="E34" s="624"/>
      <c r="F34" s="624"/>
      <c r="G34" s="624"/>
      <c r="H34" s="624"/>
      <c r="I34" s="624"/>
      <c r="J34" s="624"/>
      <c r="K34" s="624"/>
      <c r="L34" s="624"/>
      <c r="M34" s="624"/>
      <c r="N34" s="624"/>
      <c r="O34" s="624"/>
      <c r="P34" s="623"/>
      <c r="Q34" s="356">
        <f t="shared" si="3"/>
        <v>0</v>
      </c>
      <c r="R34" s="356">
        <f t="shared" si="4"/>
        <v>0</v>
      </c>
      <c r="S34" s="356">
        <f t="shared" si="5"/>
        <v>0</v>
      </c>
      <c r="T34" s="356"/>
    </row>
    <row r="35" spans="1:20" ht="16.2" thickTop="1"/>
  </sheetData>
  <mergeCells count="13">
    <mergeCell ref="H5:I5"/>
    <mergeCell ref="J5:N5"/>
    <mergeCell ref="O5:O6"/>
    <mergeCell ref="P5:P6"/>
    <mergeCell ref="A1:B1"/>
    <mergeCell ref="A2:P2"/>
    <mergeCell ref="A3:P3"/>
    <mergeCell ref="E4:P4"/>
    <mergeCell ref="A5:A6"/>
    <mergeCell ref="B5:B6"/>
    <mergeCell ref="C5:C6"/>
    <mergeCell ref="D5:D6"/>
    <mergeCell ref="E5:G6"/>
  </mergeCells>
  <pageMargins left="0.82" right="0.23" top="0.45" bottom="0.44" header="0.3" footer="0.3"/>
  <pageSetup paperSize="8" scale="11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pageSetUpPr fitToPage="1"/>
  </sheetPr>
  <dimension ref="A1:X374"/>
  <sheetViews>
    <sheetView showZeros="0" view="pageBreakPreview" topLeftCell="A2" zoomScale="70" zoomScaleNormal="70" zoomScaleSheetLayoutView="70" workbookViewId="0">
      <pane ySplit="7" topLeftCell="A9" activePane="bottomLeft" state="frozen"/>
      <selection activeCell="A2" sqref="A2"/>
      <selection pane="bottomLeft" activeCell="O18" sqref="O18"/>
    </sheetView>
  </sheetViews>
  <sheetFormatPr defaultRowHeight="15.6"/>
  <cols>
    <col min="1" max="1" width="7.19921875" style="44" customWidth="1"/>
    <col min="2" max="2" width="77.5" style="36" customWidth="1"/>
    <col min="3" max="3" width="10.69921875" style="336" customWidth="1"/>
    <col min="4" max="5" width="10" style="336" customWidth="1"/>
    <col min="6" max="9" width="10" style="38" hidden="1" customWidth="1"/>
    <col min="10" max="12" width="10.69921875" style="38" customWidth="1"/>
    <col min="13" max="13" width="12.3984375" style="38" customWidth="1"/>
    <col min="14" max="14" width="11.09765625" style="38" hidden="1" customWidth="1"/>
    <col min="15" max="15" width="26.5" style="39" customWidth="1"/>
    <col min="16" max="16" width="48.69921875" style="37" hidden="1" customWidth="1"/>
    <col min="17" max="17" width="12.19921875" style="25" hidden="1" customWidth="1"/>
    <col min="18" max="22" width="0" style="25" hidden="1" customWidth="1"/>
    <col min="23" max="246" width="9" style="25"/>
    <col min="247" max="247" width="6.19921875" style="25" customWidth="1"/>
    <col min="248" max="248" width="40.3984375" style="25" customWidth="1"/>
    <col min="249" max="249" width="12.5" style="25" customWidth="1"/>
    <col min="250" max="262" width="0" style="25" hidden="1" customWidth="1"/>
    <col min="263" max="264" width="16" style="25" customWidth="1"/>
    <col min="265" max="266" width="13.8984375" style="25" customWidth="1"/>
    <col min="267" max="267" width="11.09765625" style="25" customWidth="1"/>
    <col min="268" max="268" width="11.19921875" style="25" customWidth="1"/>
    <col min="269" max="269" width="11.69921875" style="25" bestFit="1" customWidth="1"/>
    <col min="270" max="502" width="9" style="25"/>
    <col min="503" max="503" width="6.19921875" style="25" customWidth="1"/>
    <col min="504" max="504" width="40.3984375" style="25" customWidth="1"/>
    <col min="505" max="505" width="12.5" style="25" customWidth="1"/>
    <col min="506" max="518" width="0" style="25" hidden="1" customWidth="1"/>
    <col min="519" max="520" width="16" style="25" customWidth="1"/>
    <col min="521" max="522" width="13.8984375" style="25" customWidth="1"/>
    <col min="523" max="523" width="11.09765625" style="25" customWidth="1"/>
    <col min="524" max="524" width="11.19921875" style="25" customWidth="1"/>
    <col min="525" max="525" width="11.69921875" style="25" bestFit="1" customWidth="1"/>
    <col min="526" max="758" width="9" style="25"/>
    <col min="759" max="759" width="6.19921875" style="25" customWidth="1"/>
    <col min="760" max="760" width="40.3984375" style="25" customWidth="1"/>
    <col min="761" max="761" width="12.5" style="25" customWidth="1"/>
    <col min="762" max="774" width="0" style="25" hidden="1" customWidth="1"/>
    <col min="775" max="776" width="16" style="25" customWidth="1"/>
    <col min="777" max="778" width="13.8984375" style="25" customWidth="1"/>
    <col min="779" max="779" width="11.09765625" style="25" customWidth="1"/>
    <col min="780" max="780" width="11.19921875" style="25" customWidth="1"/>
    <col min="781" max="781" width="11.69921875" style="25" bestFit="1" customWidth="1"/>
    <col min="782" max="1014" width="9" style="25"/>
    <col min="1015" max="1015" width="6.19921875" style="25" customWidth="1"/>
    <col min="1016" max="1016" width="40.3984375" style="25" customWidth="1"/>
    <col min="1017" max="1017" width="12.5" style="25" customWidth="1"/>
    <col min="1018" max="1030" width="0" style="25" hidden="1" customWidth="1"/>
    <col min="1031" max="1032" width="16" style="25" customWidth="1"/>
    <col min="1033" max="1034" width="13.8984375" style="25" customWidth="1"/>
    <col min="1035" max="1035" width="11.09765625" style="25" customWidth="1"/>
    <col min="1036" max="1036" width="11.19921875" style="25" customWidth="1"/>
    <col min="1037" max="1037" width="11.69921875" style="25" bestFit="1" customWidth="1"/>
    <col min="1038" max="1270" width="9" style="25"/>
    <col min="1271" max="1271" width="6.19921875" style="25" customWidth="1"/>
    <col min="1272" max="1272" width="40.3984375" style="25" customWidth="1"/>
    <col min="1273" max="1273" width="12.5" style="25" customWidth="1"/>
    <col min="1274" max="1286" width="0" style="25" hidden="1" customWidth="1"/>
    <col min="1287" max="1288" width="16" style="25" customWidth="1"/>
    <col min="1289" max="1290" width="13.8984375" style="25" customWidth="1"/>
    <col min="1291" max="1291" width="11.09765625" style="25" customWidth="1"/>
    <col min="1292" max="1292" width="11.19921875" style="25" customWidth="1"/>
    <col min="1293" max="1293" width="11.69921875" style="25" bestFit="1" customWidth="1"/>
    <col min="1294" max="1526" width="9" style="25"/>
    <col min="1527" max="1527" width="6.19921875" style="25" customWidth="1"/>
    <col min="1528" max="1528" width="40.3984375" style="25" customWidth="1"/>
    <col min="1529" max="1529" width="12.5" style="25" customWidth="1"/>
    <col min="1530" max="1542" width="0" style="25" hidden="1" customWidth="1"/>
    <col min="1543" max="1544" width="16" style="25" customWidth="1"/>
    <col min="1545" max="1546" width="13.8984375" style="25" customWidth="1"/>
    <col min="1547" max="1547" width="11.09765625" style="25" customWidth="1"/>
    <col min="1548" max="1548" width="11.19921875" style="25" customWidth="1"/>
    <col min="1549" max="1549" width="11.69921875" style="25" bestFit="1" customWidth="1"/>
    <col min="1550" max="1782" width="9" style="25"/>
    <col min="1783" max="1783" width="6.19921875" style="25" customWidth="1"/>
    <col min="1784" max="1784" width="40.3984375" style="25" customWidth="1"/>
    <col min="1785" max="1785" width="12.5" style="25" customWidth="1"/>
    <col min="1786" max="1798" width="0" style="25" hidden="1" customWidth="1"/>
    <col min="1799" max="1800" width="16" style="25" customWidth="1"/>
    <col min="1801" max="1802" width="13.8984375" style="25" customWidth="1"/>
    <col min="1803" max="1803" width="11.09765625" style="25" customWidth="1"/>
    <col min="1804" max="1804" width="11.19921875" style="25" customWidth="1"/>
    <col min="1805" max="1805" width="11.69921875" style="25" bestFit="1" customWidth="1"/>
    <col min="1806" max="2038" width="9" style="25"/>
    <col min="2039" max="2039" width="6.19921875" style="25" customWidth="1"/>
    <col min="2040" max="2040" width="40.3984375" style="25" customWidth="1"/>
    <col min="2041" max="2041" width="12.5" style="25" customWidth="1"/>
    <col min="2042" max="2054" width="0" style="25" hidden="1" customWidth="1"/>
    <col min="2055" max="2056" width="16" style="25" customWidth="1"/>
    <col min="2057" max="2058" width="13.8984375" style="25" customWidth="1"/>
    <col min="2059" max="2059" width="11.09765625" style="25" customWidth="1"/>
    <col min="2060" max="2060" width="11.19921875" style="25" customWidth="1"/>
    <col min="2061" max="2061" width="11.69921875" style="25" bestFit="1" customWidth="1"/>
    <col min="2062" max="2294" width="9" style="25"/>
    <col min="2295" max="2295" width="6.19921875" style="25" customWidth="1"/>
    <col min="2296" max="2296" width="40.3984375" style="25" customWidth="1"/>
    <col min="2297" max="2297" width="12.5" style="25" customWidth="1"/>
    <col min="2298" max="2310" width="0" style="25" hidden="1" customWidth="1"/>
    <col min="2311" max="2312" width="16" style="25" customWidth="1"/>
    <col min="2313" max="2314" width="13.8984375" style="25" customWidth="1"/>
    <col min="2315" max="2315" width="11.09765625" style="25" customWidth="1"/>
    <col min="2316" max="2316" width="11.19921875" style="25" customWidth="1"/>
    <col min="2317" max="2317" width="11.69921875" style="25" bestFit="1" customWidth="1"/>
    <col min="2318" max="2550" width="9" style="25"/>
    <col min="2551" max="2551" width="6.19921875" style="25" customWidth="1"/>
    <col min="2552" max="2552" width="40.3984375" style="25" customWidth="1"/>
    <col min="2553" max="2553" width="12.5" style="25" customWidth="1"/>
    <col min="2554" max="2566" width="0" style="25" hidden="1" customWidth="1"/>
    <col min="2567" max="2568" width="16" style="25" customWidth="1"/>
    <col min="2569" max="2570" width="13.8984375" style="25" customWidth="1"/>
    <col min="2571" max="2571" width="11.09765625" style="25" customWidth="1"/>
    <col min="2572" max="2572" width="11.19921875" style="25" customWidth="1"/>
    <col min="2573" max="2573" width="11.69921875" style="25" bestFit="1" customWidth="1"/>
    <col min="2574" max="2806" width="9" style="25"/>
    <col min="2807" max="2807" width="6.19921875" style="25" customWidth="1"/>
    <col min="2808" max="2808" width="40.3984375" style="25" customWidth="1"/>
    <col min="2809" max="2809" width="12.5" style="25" customWidth="1"/>
    <col min="2810" max="2822" width="0" style="25" hidden="1" customWidth="1"/>
    <col min="2823" max="2824" width="16" style="25" customWidth="1"/>
    <col min="2825" max="2826" width="13.8984375" style="25" customWidth="1"/>
    <col min="2827" max="2827" width="11.09765625" style="25" customWidth="1"/>
    <col min="2828" max="2828" width="11.19921875" style="25" customWidth="1"/>
    <col min="2829" max="2829" width="11.69921875" style="25" bestFit="1" customWidth="1"/>
    <col min="2830" max="3062" width="9" style="25"/>
    <col min="3063" max="3063" width="6.19921875" style="25" customWidth="1"/>
    <col min="3064" max="3064" width="40.3984375" style="25" customWidth="1"/>
    <col min="3065" max="3065" width="12.5" style="25" customWidth="1"/>
    <col min="3066" max="3078" width="0" style="25" hidden="1" customWidth="1"/>
    <col min="3079" max="3080" width="16" style="25" customWidth="1"/>
    <col min="3081" max="3082" width="13.8984375" style="25" customWidth="1"/>
    <col min="3083" max="3083" width="11.09765625" style="25" customWidth="1"/>
    <col min="3084" max="3084" width="11.19921875" style="25" customWidth="1"/>
    <col min="3085" max="3085" width="11.69921875" style="25" bestFit="1" customWidth="1"/>
    <col min="3086" max="3318" width="9" style="25"/>
    <col min="3319" max="3319" width="6.19921875" style="25" customWidth="1"/>
    <col min="3320" max="3320" width="40.3984375" style="25" customWidth="1"/>
    <col min="3321" max="3321" width="12.5" style="25" customWidth="1"/>
    <col min="3322" max="3334" width="0" style="25" hidden="1" customWidth="1"/>
    <col min="3335" max="3336" width="16" style="25" customWidth="1"/>
    <col min="3337" max="3338" width="13.8984375" style="25" customWidth="1"/>
    <col min="3339" max="3339" width="11.09765625" style="25" customWidth="1"/>
    <col min="3340" max="3340" width="11.19921875" style="25" customWidth="1"/>
    <col min="3341" max="3341" width="11.69921875" style="25" bestFit="1" customWidth="1"/>
    <col min="3342" max="3574" width="9" style="25"/>
    <col min="3575" max="3575" width="6.19921875" style="25" customWidth="1"/>
    <col min="3576" max="3576" width="40.3984375" style="25" customWidth="1"/>
    <col min="3577" max="3577" width="12.5" style="25" customWidth="1"/>
    <col min="3578" max="3590" width="0" style="25" hidden="1" customWidth="1"/>
    <col min="3591" max="3592" width="16" style="25" customWidth="1"/>
    <col min="3593" max="3594" width="13.8984375" style="25" customWidth="1"/>
    <col min="3595" max="3595" width="11.09765625" style="25" customWidth="1"/>
    <col min="3596" max="3596" width="11.19921875" style="25" customWidth="1"/>
    <col min="3597" max="3597" width="11.69921875" style="25" bestFit="1" customWidth="1"/>
    <col min="3598" max="3830" width="9" style="25"/>
    <col min="3831" max="3831" width="6.19921875" style="25" customWidth="1"/>
    <col min="3832" max="3832" width="40.3984375" style="25" customWidth="1"/>
    <col min="3833" max="3833" width="12.5" style="25" customWidth="1"/>
    <col min="3834" max="3846" width="0" style="25" hidden="1" customWidth="1"/>
    <col min="3847" max="3848" width="16" style="25" customWidth="1"/>
    <col min="3849" max="3850" width="13.8984375" style="25" customWidth="1"/>
    <col min="3851" max="3851" width="11.09765625" style="25" customWidth="1"/>
    <col min="3852" max="3852" width="11.19921875" style="25" customWidth="1"/>
    <col min="3853" max="3853" width="11.69921875" style="25" bestFit="1" customWidth="1"/>
    <col min="3854" max="4086" width="9" style="25"/>
    <col min="4087" max="4087" width="6.19921875" style="25" customWidth="1"/>
    <col min="4088" max="4088" width="40.3984375" style="25" customWidth="1"/>
    <col min="4089" max="4089" width="12.5" style="25" customWidth="1"/>
    <col min="4090" max="4102" width="0" style="25" hidden="1" customWidth="1"/>
    <col min="4103" max="4104" width="16" style="25" customWidth="1"/>
    <col min="4105" max="4106" width="13.8984375" style="25" customWidth="1"/>
    <col min="4107" max="4107" width="11.09765625" style="25" customWidth="1"/>
    <col min="4108" max="4108" width="11.19921875" style="25" customWidth="1"/>
    <col min="4109" max="4109" width="11.69921875" style="25" bestFit="1" customWidth="1"/>
    <col min="4110" max="4342" width="9" style="25"/>
    <col min="4343" max="4343" width="6.19921875" style="25" customWidth="1"/>
    <col min="4344" max="4344" width="40.3984375" style="25" customWidth="1"/>
    <col min="4345" max="4345" width="12.5" style="25" customWidth="1"/>
    <col min="4346" max="4358" width="0" style="25" hidden="1" customWidth="1"/>
    <col min="4359" max="4360" width="16" style="25" customWidth="1"/>
    <col min="4361" max="4362" width="13.8984375" style="25" customWidth="1"/>
    <col min="4363" max="4363" width="11.09765625" style="25" customWidth="1"/>
    <col min="4364" max="4364" width="11.19921875" style="25" customWidth="1"/>
    <col min="4365" max="4365" width="11.69921875" style="25" bestFit="1" customWidth="1"/>
    <col min="4366" max="4598" width="9" style="25"/>
    <col min="4599" max="4599" width="6.19921875" style="25" customWidth="1"/>
    <col min="4600" max="4600" width="40.3984375" style="25" customWidth="1"/>
    <col min="4601" max="4601" width="12.5" style="25" customWidth="1"/>
    <col min="4602" max="4614" width="0" style="25" hidden="1" customWidth="1"/>
    <col min="4615" max="4616" width="16" style="25" customWidth="1"/>
    <col min="4617" max="4618" width="13.8984375" style="25" customWidth="1"/>
    <col min="4619" max="4619" width="11.09765625" style="25" customWidth="1"/>
    <col min="4620" max="4620" width="11.19921875" style="25" customWidth="1"/>
    <col min="4621" max="4621" width="11.69921875" style="25" bestFit="1" customWidth="1"/>
    <col min="4622" max="4854" width="9" style="25"/>
    <col min="4855" max="4855" width="6.19921875" style="25" customWidth="1"/>
    <col min="4856" max="4856" width="40.3984375" style="25" customWidth="1"/>
    <col min="4857" max="4857" width="12.5" style="25" customWidth="1"/>
    <col min="4858" max="4870" width="0" style="25" hidden="1" customWidth="1"/>
    <col min="4871" max="4872" width="16" style="25" customWidth="1"/>
    <col min="4873" max="4874" width="13.8984375" style="25" customWidth="1"/>
    <col min="4875" max="4875" width="11.09765625" style="25" customWidth="1"/>
    <col min="4876" max="4876" width="11.19921875" style="25" customWidth="1"/>
    <col min="4877" max="4877" width="11.69921875" style="25" bestFit="1" customWidth="1"/>
    <col min="4878" max="5110" width="9" style="25"/>
    <col min="5111" max="5111" width="6.19921875" style="25" customWidth="1"/>
    <col min="5112" max="5112" width="40.3984375" style="25" customWidth="1"/>
    <col min="5113" max="5113" width="12.5" style="25" customWidth="1"/>
    <col min="5114" max="5126" width="0" style="25" hidden="1" customWidth="1"/>
    <col min="5127" max="5128" width="16" style="25" customWidth="1"/>
    <col min="5129" max="5130" width="13.8984375" style="25" customWidth="1"/>
    <col min="5131" max="5131" width="11.09765625" style="25" customWidth="1"/>
    <col min="5132" max="5132" width="11.19921875" style="25" customWidth="1"/>
    <col min="5133" max="5133" width="11.69921875" style="25" bestFit="1" customWidth="1"/>
    <col min="5134" max="5366" width="9" style="25"/>
    <col min="5367" max="5367" width="6.19921875" style="25" customWidth="1"/>
    <col min="5368" max="5368" width="40.3984375" style="25" customWidth="1"/>
    <col min="5369" max="5369" width="12.5" style="25" customWidth="1"/>
    <col min="5370" max="5382" width="0" style="25" hidden="1" customWidth="1"/>
    <col min="5383" max="5384" width="16" style="25" customWidth="1"/>
    <col min="5385" max="5386" width="13.8984375" style="25" customWidth="1"/>
    <col min="5387" max="5387" width="11.09765625" style="25" customWidth="1"/>
    <col min="5388" max="5388" width="11.19921875" style="25" customWidth="1"/>
    <col min="5389" max="5389" width="11.69921875" style="25" bestFit="1" customWidth="1"/>
    <col min="5390" max="5622" width="9" style="25"/>
    <col min="5623" max="5623" width="6.19921875" style="25" customWidth="1"/>
    <col min="5624" max="5624" width="40.3984375" style="25" customWidth="1"/>
    <col min="5625" max="5625" width="12.5" style="25" customWidth="1"/>
    <col min="5626" max="5638" width="0" style="25" hidden="1" customWidth="1"/>
    <col min="5639" max="5640" width="16" style="25" customWidth="1"/>
    <col min="5641" max="5642" width="13.8984375" style="25" customWidth="1"/>
    <col min="5643" max="5643" width="11.09765625" style="25" customWidth="1"/>
    <col min="5644" max="5644" width="11.19921875" style="25" customWidth="1"/>
    <col min="5645" max="5645" width="11.69921875" style="25" bestFit="1" customWidth="1"/>
    <col min="5646" max="5878" width="9" style="25"/>
    <col min="5879" max="5879" width="6.19921875" style="25" customWidth="1"/>
    <col min="5880" max="5880" width="40.3984375" style="25" customWidth="1"/>
    <col min="5881" max="5881" width="12.5" style="25" customWidth="1"/>
    <col min="5882" max="5894" width="0" style="25" hidden="1" customWidth="1"/>
    <col min="5895" max="5896" width="16" style="25" customWidth="1"/>
    <col min="5897" max="5898" width="13.8984375" style="25" customWidth="1"/>
    <col min="5899" max="5899" width="11.09765625" style="25" customWidth="1"/>
    <col min="5900" max="5900" width="11.19921875" style="25" customWidth="1"/>
    <col min="5901" max="5901" width="11.69921875" style="25" bestFit="1" customWidth="1"/>
    <col min="5902" max="6134" width="9" style="25"/>
    <col min="6135" max="6135" width="6.19921875" style="25" customWidth="1"/>
    <col min="6136" max="6136" width="40.3984375" style="25" customWidth="1"/>
    <col min="6137" max="6137" width="12.5" style="25" customWidth="1"/>
    <col min="6138" max="6150" width="0" style="25" hidden="1" customWidth="1"/>
    <col min="6151" max="6152" width="16" style="25" customWidth="1"/>
    <col min="6153" max="6154" width="13.8984375" style="25" customWidth="1"/>
    <col min="6155" max="6155" width="11.09765625" style="25" customWidth="1"/>
    <col min="6156" max="6156" width="11.19921875" style="25" customWidth="1"/>
    <col min="6157" max="6157" width="11.69921875" style="25" bestFit="1" customWidth="1"/>
    <col min="6158" max="6390" width="9" style="25"/>
    <col min="6391" max="6391" width="6.19921875" style="25" customWidth="1"/>
    <col min="6392" max="6392" width="40.3984375" style="25" customWidth="1"/>
    <col min="6393" max="6393" width="12.5" style="25" customWidth="1"/>
    <col min="6394" max="6406" width="0" style="25" hidden="1" customWidth="1"/>
    <col min="6407" max="6408" width="16" style="25" customWidth="1"/>
    <col min="6409" max="6410" width="13.8984375" style="25" customWidth="1"/>
    <col min="6411" max="6411" width="11.09765625" style="25" customWidth="1"/>
    <col min="6412" max="6412" width="11.19921875" style="25" customWidth="1"/>
    <col min="6413" max="6413" width="11.69921875" style="25" bestFit="1" customWidth="1"/>
    <col min="6414" max="6646" width="9" style="25"/>
    <col min="6647" max="6647" width="6.19921875" style="25" customWidth="1"/>
    <col min="6648" max="6648" width="40.3984375" style="25" customWidth="1"/>
    <col min="6649" max="6649" width="12.5" style="25" customWidth="1"/>
    <col min="6650" max="6662" width="0" style="25" hidden="1" customWidth="1"/>
    <col min="6663" max="6664" width="16" style="25" customWidth="1"/>
    <col min="6665" max="6666" width="13.8984375" style="25" customWidth="1"/>
    <col min="6667" max="6667" width="11.09765625" style="25" customWidth="1"/>
    <col min="6668" max="6668" width="11.19921875" style="25" customWidth="1"/>
    <col min="6669" max="6669" width="11.69921875" style="25" bestFit="1" customWidth="1"/>
    <col min="6670" max="6902" width="9" style="25"/>
    <col min="6903" max="6903" width="6.19921875" style="25" customWidth="1"/>
    <col min="6904" max="6904" width="40.3984375" style="25" customWidth="1"/>
    <col min="6905" max="6905" width="12.5" style="25" customWidth="1"/>
    <col min="6906" max="6918" width="0" style="25" hidden="1" customWidth="1"/>
    <col min="6919" max="6920" width="16" style="25" customWidth="1"/>
    <col min="6921" max="6922" width="13.8984375" style="25" customWidth="1"/>
    <col min="6923" max="6923" width="11.09765625" style="25" customWidth="1"/>
    <col min="6924" max="6924" width="11.19921875" style="25" customWidth="1"/>
    <col min="6925" max="6925" width="11.69921875" style="25" bestFit="1" customWidth="1"/>
    <col min="6926" max="7158" width="9" style="25"/>
    <col min="7159" max="7159" width="6.19921875" style="25" customWidth="1"/>
    <col min="7160" max="7160" width="40.3984375" style="25" customWidth="1"/>
    <col min="7161" max="7161" width="12.5" style="25" customWidth="1"/>
    <col min="7162" max="7174" width="0" style="25" hidden="1" customWidth="1"/>
    <col min="7175" max="7176" width="16" style="25" customWidth="1"/>
    <col min="7177" max="7178" width="13.8984375" style="25" customWidth="1"/>
    <col min="7179" max="7179" width="11.09765625" style="25" customWidth="1"/>
    <col min="7180" max="7180" width="11.19921875" style="25" customWidth="1"/>
    <col min="7181" max="7181" width="11.69921875" style="25" bestFit="1" customWidth="1"/>
    <col min="7182" max="7414" width="9" style="25"/>
    <col min="7415" max="7415" width="6.19921875" style="25" customWidth="1"/>
    <col min="7416" max="7416" width="40.3984375" style="25" customWidth="1"/>
    <col min="7417" max="7417" width="12.5" style="25" customWidth="1"/>
    <col min="7418" max="7430" width="0" style="25" hidden="1" customWidth="1"/>
    <col min="7431" max="7432" width="16" style="25" customWidth="1"/>
    <col min="7433" max="7434" width="13.8984375" style="25" customWidth="1"/>
    <col min="7435" max="7435" width="11.09765625" style="25" customWidth="1"/>
    <col min="7436" max="7436" width="11.19921875" style="25" customWidth="1"/>
    <col min="7437" max="7437" width="11.69921875" style="25" bestFit="1" customWidth="1"/>
    <col min="7438" max="7670" width="9" style="25"/>
    <col min="7671" max="7671" width="6.19921875" style="25" customWidth="1"/>
    <col min="7672" max="7672" width="40.3984375" style="25" customWidth="1"/>
    <col min="7673" max="7673" width="12.5" style="25" customWidth="1"/>
    <col min="7674" max="7686" width="0" style="25" hidden="1" customWidth="1"/>
    <col min="7687" max="7688" width="16" style="25" customWidth="1"/>
    <col min="7689" max="7690" width="13.8984375" style="25" customWidth="1"/>
    <col min="7691" max="7691" width="11.09765625" style="25" customWidth="1"/>
    <col min="7692" max="7692" width="11.19921875" style="25" customWidth="1"/>
    <col min="7693" max="7693" width="11.69921875" style="25" bestFit="1" customWidth="1"/>
    <col min="7694" max="7926" width="9" style="25"/>
    <col min="7927" max="7927" width="6.19921875" style="25" customWidth="1"/>
    <col min="7928" max="7928" width="40.3984375" style="25" customWidth="1"/>
    <col min="7929" max="7929" width="12.5" style="25" customWidth="1"/>
    <col min="7930" max="7942" width="0" style="25" hidden="1" customWidth="1"/>
    <col min="7943" max="7944" width="16" style="25" customWidth="1"/>
    <col min="7945" max="7946" width="13.8984375" style="25" customWidth="1"/>
    <col min="7947" max="7947" width="11.09765625" style="25" customWidth="1"/>
    <col min="7948" max="7948" width="11.19921875" style="25" customWidth="1"/>
    <col min="7949" max="7949" width="11.69921875" style="25" bestFit="1" customWidth="1"/>
    <col min="7950" max="8182" width="9" style="25"/>
    <col min="8183" max="8183" width="6.19921875" style="25" customWidth="1"/>
    <col min="8184" max="8184" width="40.3984375" style="25" customWidth="1"/>
    <col min="8185" max="8185" width="12.5" style="25" customWidth="1"/>
    <col min="8186" max="8198" width="0" style="25" hidden="1" customWidth="1"/>
    <col min="8199" max="8200" width="16" style="25" customWidth="1"/>
    <col min="8201" max="8202" width="13.8984375" style="25" customWidth="1"/>
    <col min="8203" max="8203" width="11.09765625" style="25" customWidth="1"/>
    <col min="8204" max="8204" width="11.19921875" style="25" customWidth="1"/>
    <col min="8205" max="8205" width="11.69921875" style="25" bestFit="1" customWidth="1"/>
    <col min="8206" max="8438" width="9" style="25"/>
    <col min="8439" max="8439" width="6.19921875" style="25" customWidth="1"/>
    <col min="8440" max="8440" width="40.3984375" style="25" customWidth="1"/>
    <col min="8441" max="8441" width="12.5" style="25" customWidth="1"/>
    <col min="8442" max="8454" width="0" style="25" hidden="1" customWidth="1"/>
    <col min="8455" max="8456" width="16" style="25" customWidth="1"/>
    <col min="8457" max="8458" width="13.8984375" style="25" customWidth="1"/>
    <col min="8459" max="8459" width="11.09765625" style="25" customWidth="1"/>
    <col min="8460" max="8460" width="11.19921875" style="25" customWidth="1"/>
    <col min="8461" max="8461" width="11.69921875" style="25" bestFit="1" customWidth="1"/>
    <col min="8462" max="8694" width="9" style="25"/>
    <col min="8695" max="8695" width="6.19921875" style="25" customWidth="1"/>
    <col min="8696" max="8696" width="40.3984375" style="25" customWidth="1"/>
    <col min="8697" max="8697" width="12.5" style="25" customWidth="1"/>
    <col min="8698" max="8710" width="0" style="25" hidden="1" customWidth="1"/>
    <col min="8711" max="8712" width="16" style="25" customWidth="1"/>
    <col min="8713" max="8714" width="13.8984375" style="25" customWidth="1"/>
    <col min="8715" max="8715" width="11.09765625" style="25" customWidth="1"/>
    <col min="8716" max="8716" width="11.19921875" style="25" customWidth="1"/>
    <col min="8717" max="8717" width="11.69921875" style="25" bestFit="1" customWidth="1"/>
    <col min="8718" max="8950" width="9" style="25"/>
    <col min="8951" max="8951" width="6.19921875" style="25" customWidth="1"/>
    <col min="8952" max="8952" width="40.3984375" style="25" customWidth="1"/>
    <col min="8953" max="8953" width="12.5" style="25" customWidth="1"/>
    <col min="8954" max="8966" width="0" style="25" hidden="1" customWidth="1"/>
    <col min="8967" max="8968" width="16" style="25" customWidth="1"/>
    <col min="8969" max="8970" width="13.8984375" style="25" customWidth="1"/>
    <col min="8971" max="8971" width="11.09765625" style="25" customWidth="1"/>
    <col min="8972" max="8972" width="11.19921875" style="25" customWidth="1"/>
    <col min="8973" max="8973" width="11.69921875" style="25" bestFit="1" customWidth="1"/>
    <col min="8974" max="9206" width="9" style="25"/>
    <col min="9207" max="9207" width="6.19921875" style="25" customWidth="1"/>
    <col min="9208" max="9208" width="40.3984375" style="25" customWidth="1"/>
    <col min="9209" max="9209" width="12.5" style="25" customWidth="1"/>
    <col min="9210" max="9222" width="0" style="25" hidden="1" customWidth="1"/>
    <col min="9223" max="9224" width="16" style="25" customWidth="1"/>
    <col min="9225" max="9226" width="13.8984375" style="25" customWidth="1"/>
    <col min="9227" max="9227" width="11.09765625" style="25" customWidth="1"/>
    <col min="9228" max="9228" width="11.19921875" style="25" customWidth="1"/>
    <col min="9229" max="9229" width="11.69921875" style="25" bestFit="1" customWidth="1"/>
    <col min="9230" max="9462" width="9" style="25"/>
    <col min="9463" max="9463" width="6.19921875" style="25" customWidth="1"/>
    <col min="9464" max="9464" width="40.3984375" style="25" customWidth="1"/>
    <col min="9465" max="9465" width="12.5" style="25" customWidth="1"/>
    <col min="9466" max="9478" width="0" style="25" hidden="1" customWidth="1"/>
    <col min="9479" max="9480" width="16" style="25" customWidth="1"/>
    <col min="9481" max="9482" width="13.8984375" style="25" customWidth="1"/>
    <col min="9483" max="9483" width="11.09765625" style="25" customWidth="1"/>
    <col min="9484" max="9484" width="11.19921875" style="25" customWidth="1"/>
    <col min="9485" max="9485" width="11.69921875" style="25" bestFit="1" customWidth="1"/>
    <col min="9486" max="9718" width="9" style="25"/>
    <col min="9719" max="9719" width="6.19921875" style="25" customWidth="1"/>
    <col min="9720" max="9720" width="40.3984375" style="25" customWidth="1"/>
    <col min="9721" max="9721" width="12.5" style="25" customWidth="1"/>
    <col min="9722" max="9734" width="0" style="25" hidden="1" customWidth="1"/>
    <col min="9735" max="9736" width="16" style="25" customWidth="1"/>
    <col min="9737" max="9738" width="13.8984375" style="25" customWidth="1"/>
    <col min="9739" max="9739" width="11.09765625" style="25" customWidth="1"/>
    <col min="9740" max="9740" width="11.19921875" style="25" customWidth="1"/>
    <col min="9741" max="9741" width="11.69921875" style="25" bestFit="1" customWidth="1"/>
    <col min="9742" max="9974" width="9" style="25"/>
    <col min="9975" max="9975" width="6.19921875" style="25" customWidth="1"/>
    <col min="9976" max="9976" width="40.3984375" style="25" customWidth="1"/>
    <col min="9977" max="9977" width="12.5" style="25" customWidth="1"/>
    <col min="9978" max="9990" width="0" style="25" hidden="1" customWidth="1"/>
    <col min="9991" max="9992" width="16" style="25" customWidth="1"/>
    <col min="9993" max="9994" width="13.8984375" style="25" customWidth="1"/>
    <col min="9995" max="9995" width="11.09765625" style="25" customWidth="1"/>
    <col min="9996" max="9996" width="11.19921875" style="25" customWidth="1"/>
    <col min="9997" max="9997" width="11.69921875" style="25" bestFit="1" customWidth="1"/>
    <col min="9998" max="10230" width="9" style="25"/>
    <col min="10231" max="10231" width="6.19921875" style="25" customWidth="1"/>
    <col min="10232" max="10232" width="40.3984375" style="25" customWidth="1"/>
    <col min="10233" max="10233" width="12.5" style="25" customWidth="1"/>
    <col min="10234" max="10246" width="0" style="25" hidden="1" customWidth="1"/>
    <col min="10247" max="10248" width="16" style="25" customWidth="1"/>
    <col min="10249" max="10250" width="13.8984375" style="25" customWidth="1"/>
    <col min="10251" max="10251" width="11.09765625" style="25" customWidth="1"/>
    <col min="10252" max="10252" width="11.19921875" style="25" customWidth="1"/>
    <col min="10253" max="10253" width="11.69921875" style="25" bestFit="1" customWidth="1"/>
    <col min="10254" max="10486" width="9" style="25"/>
    <col min="10487" max="10487" width="6.19921875" style="25" customWidth="1"/>
    <col min="10488" max="10488" width="40.3984375" style="25" customWidth="1"/>
    <col min="10489" max="10489" width="12.5" style="25" customWidth="1"/>
    <col min="10490" max="10502" width="0" style="25" hidden="1" customWidth="1"/>
    <col min="10503" max="10504" width="16" style="25" customWidth="1"/>
    <col min="10505" max="10506" width="13.8984375" style="25" customWidth="1"/>
    <col min="10507" max="10507" width="11.09765625" style="25" customWidth="1"/>
    <col min="10508" max="10508" width="11.19921875" style="25" customWidth="1"/>
    <col min="10509" max="10509" width="11.69921875" style="25" bestFit="1" customWidth="1"/>
    <col min="10510" max="10742" width="9" style="25"/>
    <col min="10743" max="10743" width="6.19921875" style="25" customWidth="1"/>
    <col min="10744" max="10744" width="40.3984375" style="25" customWidth="1"/>
    <col min="10745" max="10745" width="12.5" style="25" customWidth="1"/>
    <col min="10746" max="10758" width="0" style="25" hidden="1" customWidth="1"/>
    <col min="10759" max="10760" width="16" style="25" customWidth="1"/>
    <col min="10761" max="10762" width="13.8984375" style="25" customWidth="1"/>
    <col min="10763" max="10763" width="11.09765625" style="25" customWidth="1"/>
    <col min="10764" max="10764" width="11.19921875" style="25" customWidth="1"/>
    <col min="10765" max="10765" width="11.69921875" style="25" bestFit="1" customWidth="1"/>
    <col min="10766" max="10998" width="9" style="25"/>
    <col min="10999" max="10999" width="6.19921875" style="25" customWidth="1"/>
    <col min="11000" max="11000" width="40.3984375" style="25" customWidth="1"/>
    <col min="11001" max="11001" width="12.5" style="25" customWidth="1"/>
    <col min="11002" max="11014" width="0" style="25" hidden="1" customWidth="1"/>
    <col min="11015" max="11016" width="16" style="25" customWidth="1"/>
    <col min="11017" max="11018" width="13.8984375" style="25" customWidth="1"/>
    <col min="11019" max="11019" width="11.09765625" style="25" customWidth="1"/>
    <col min="11020" max="11020" width="11.19921875" style="25" customWidth="1"/>
    <col min="11021" max="11021" width="11.69921875" style="25" bestFit="1" customWidth="1"/>
    <col min="11022" max="11254" width="9" style="25"/>
    <col min="11255" max="11255" width="6.19921875" style="25" customWidth="1"/>
    <col min="11256" max="11256" width="40.3984375" style="25" customWidth="1"/>
    <col min="11257" max="11257" width="12.5" style="25" customWidth="1"/>
    <col min="11258" max="11270" width="0" style="25" hidden="1" customWidth="1"/>
    <col min="11271" max="11272" width="16" style="25" customWidth="1"/>
    <col min="11273" max="11274" width="13.8984375" style="25" customWidth="1"/>
    <col min="11275" max="11275" width="11.09765625" style="25" customWidth="1"/>
    <col min="11276" max="11276" width="11.19921875" style="25" customWidth="1"/>
    <col min="11277" max="11277" width="11.69921875" style="25" bestFit="1" customWidth="1"/>
    <col min="11278" max="11510" width="9" style="25"/>
    <col min="11511" max="11511" width="6.19921875" style="25" customWidth="1"/>
    <col min="11512" max="11512" width="40.3984375" style="25" customWidth="1"/>
    <col min="11513" max="11513" width="12.5" style="25" customWidth="1"/>
    <col min="11514" max="11526" width="0" style="25" hidden="1" customWidth="1"/>
    <col min="11527" max="11528" width="16" style="25" customWidth="1"/>
    <col min="11529" max="11530" width="13.8984375" style="25" customWidth="1"/>
    <col min="11531" max="11531" width="11.09765625" style="25" customWidth="1"/>
    <col min="11532" max="11532" width="11.19921875" style="25" customWidth="1"/>
    <col min="11533" max="11533" width="11.69921875" style="25" bestFit="1" customWidth="1"/>
    <col min="11534" max="11766" width="9" style="25"/>
    <col min="11767" max="11767" width="6.19921875" style="25" customWidth="1"/>
    <col min="11768" max="11768" width="40.3984375" style="25" customWidth="1"/>
    <col min="11769" max="11769" width="12.5" style="25" customWidth="1"/>
    <col min="11770" max="11782" width="0" style="25" hidden="1" customWidth="1"/>
    <col min="11783" max="11784" width="16" style="25" customWidth="1"/>
    <col min="11785" max="11786" width="13.8984375" style="25" customWidth="1"/>
    <col min="11787" max="11787" width="11.09765625" style="25" customWidth="1"/>
    <col min="11788" max="11788" width="11.19921875" style="25" customWidth="1"/>
    <col min="11789" max="11789" width="11.69921875" style="25" bestFit="1" customWidth="1"/>
    <col min="11790" max="12022" width="9" style="25"/>
    <col min="12023" max="12023" width="6.19921875" style="25" customWidth="1"/>
    <col min="12024" max="12024" width="40.3984375" style="25" customWidth="1"/>
    <col min="12025" max="12025" width="12.5" style="25" customWidth="1"/>
    <col min="12026" max="12038" width="0" style="25" hidden="1" customWidth="1"/>
    <col min="12039" max="12040" width="16" style="25" customWidth="1"/>
    <col min="12041" max="12042" width="13.8984375" style="25" customWidth="1"/>
    <col min="12043" max="12043" width="11.09765625" style="25" customWidth="1"/>
    <col min="12044" max="12044" width="11.19921875" style="25" customWidth="1"/>
    <col min="12045" max="12045" width="11.69921875" style="25" bestFit="1" customWidth="1"/>
    <col min="12046" max="12278" width="9" style="25"/>
    <col min="12279" max="12279" width="6.19921875" style="25" customWidth="1"/>
    <col min="12280" max="12280" width="40.3984375" style="25" customWidth="1"/>
    <col min="12281" max="12281" width="12.5" style="25" customWidth="1"/>
    <col min="12282" max="12294" width="0" style="25" hidden="1" customWidth="1"/>
    <col min="12295" max="12296" width="16" style="25" customWidth="1"/>
    <col min="12297" max="12298" width="13.8984375" style="25" customWidth="1"/>
    <col min="12299" max="12299" width="11.09765625" style="25" customWidth="1"/>
    <col min="12300" max="12300" width="11.19921875" style="25" customWidth="1"/>
    <col min="12301" max="12301" width="11.69921875" style="25" bestFit="1" customWidth="1"/>
    <col min="12302" max="12534" width="9" style="25"/>
    <col min="12535" max="12535" width="6.19921875" style="25" customWidth="1"/>
    <col min="12536" max="12536" width="40.3984375" style="25" customWidth="1"/>
    <col min="12537" max="12537" width="12.5" style="25" customWidth="1"/>
    <col min="12538" max="12550" width="0" style="25" hidden="1" customWidth="1"/>
    <col min="12551" max="12552" width="16" style="25" customWidth="1"/>
    <col min="12553" max="12554" width="13.8984375" style="25" customWidth="1"/>
    <col min="12555" max="12555" width="11.09765625" style="25" customWidth="1"/>
    <col min="12556" max="12556" width="11.19921875" style="25" customWidth="1"/>
    <col min="12557" max="12557" width="11.69921875" style="25" bestFit="1" customWidth="1"/>
    <col min="12558" max="12790" width="9" style="25"/>
    <col min="12791" max="12791" width="6.19921875" style="25" customWidth="1"/>
    <col min="12792" max="12792" width="40.3984375" style="25" customWidth="1"/>
    <col min="12793" max="12793" width="12.5" style="25" customWidth="1"/>
    <col min="12794" max="12806" width="0" style="25" hidden="1" customWidth="1"/>
    <col min="12807" max="12808" width="16" style="25" customWidth="1"/>
    <col min="12809" max="12810" width="13.8984375" style="25" customWidth="1"/>
    <col min="12811" max="12811" width="11.09765625" style="25" customWidth="1"/>
    <col min="12812" max="12812" width="11.19921875" style="25" customWidth="1"/>
    <col min="12813" max="12813" width="11.69921875" style="25" bestFit="1" customWidth="1"/>
    <col min="12814" max="13046" width="9" style="25"/>
    <col min="13047" max="13047" width="6.19921875" style="25" customWidth="1"/>
    <col min="13048" max="13048" width="40.3984375" style="25" customWidth="1"/>
    <col min="13049" max="13049" width="12.5" style="25" customWidth="1"/>
    <col min="13050" max="13062" width="0" style="25" hidden="1" customWidth="1"/>
    <col min="13063" max="13064" width="16" style="25" customWidth="1"/>
    <col min="13065" max="13066" width="13.8984375" style="25" customWidth="1"/>
    <col min="13067" max="13067" width="11.09765625" style="25" customWidth="1"/>
    <col min="13068" max="13068" width="11.19921875" style="25" customWidth="1"/>
    <col min="13069" max="13069" width="11.69921875" style="25" bestFit="1" customWidth="1"/>
    <col min="13070" max="13302" width="9" style="25"/>
    <col min="13303" max="13303" width="6.19921875" style="25" customWidth="1"/>
    <col min="13304" max="13304" width="40.3984375" style="25" customWidth="1"/>
    <col min="13305" max="13305" width="12.5" style="25" customWidth="1"/>
    <col min="13306" max="13318" width="0" style="25" hidden="1" customWidth="1"/>
    <col min="13319" max="13320" width="16" style="25" customWidth="1"/>
    <col min="13321" max="13322" width="13.8984375" style="25" customWidth="1"/>
    <col min="13323" max="13323" width="11.09765625" style="25" customWidth="1"/>
    <col min="13324" max="13324" width="11.19921875" style="25" customWidth="1"/>
    <col min="13325" max="13325" width="11.69921875" style="25" bestFit="1" customWidth="1"/>
    <col min="13326" max="13558" width="9" style="25"/>
    <col min="13559" max="13559" width="6.19921875" style="25" customWidth="1"/>
    <col min="13560" max="13560" width="40.3984375" style="25" customWidth="1"/>
    <col min="13561" max="13561" width="12.5" style="25" customWidth="1"/>
    <col min="13562" max="13574" width="0" style="25" hidden="1" customWidth="1"/>
    <col min="13575" max="13576" width="16" style="25" customWidth="1"/>
    <col min="13577" max="13578" width="13.8984375" style="25" customWidth="1"/>
    <col min="13579" max="13579" width="11.09765625" style="25" customWidth="1"/>
    <col min="13580" max="13580" width="11.19921875" style="25" customWidth="1"/>
    <col min="13581" max="13581" width="11.69921875" style="25" bestFit="1" customWidth="1"/>
    <col min="13582" max="13814" width="9" style="25"/>
    <col min="13815" max="13815" width="6.19921875" style="25" customWidth="1"/>
    <col min="13816" max="13816" width="40.3984375" style="25" customWidth="1"/>
    <col min="13817" max="13817" width="12.5" style="25" customWidth="1"/>
    <col min="13818" max="13830" width="0" style="25" hidden="1" customWidth="1"/>
    <col min="13831" max="13832" width="16" style="25" customWidth="1"/>
    <col min="13833" max="13834" width="13.8984375" style="25" customWidth="1"/>
    <col min="13835" max="13835" width="11.09765625" style="25" customWidth="1"/>
    <col min="13836" max="13836" width="11.19921875" style="25" customWidth="1"/>
    <col min="13837" max="13837" width="11.69921875" style="25" bestFit="1" customWidth="1"/>
    <col min="13838" max="14070" width="9" style="25"/>
    <col min="14071" max="14071" width="6.19921875" style="25" customWidth="1"/>
    <col min="14072" max="14072" width="40.3984375" style="25" customWidth="1"/>
    <col min="14073" max="14073" width="12.5" style="25" customWidth="1"/>
    <col min="14074" max="14086" width="0" style="25" hidden="1" customWidth="1"/>
    <col min="14087" max="14088" width="16" style="25" customWidth="1"/>
    <col min="14089" max="14090" width="13.8984375" style="25" customWidth="1"/>
    <col min="14091" max="14091" width="11.09765625" style="25" customWidth="1"/>
    <col min="14092" max="14092" width="11.19921875" style="25" customWidth="1"/>
    <col min="14093" max="14093" width="11.69921875" style="25" bestFit="1" customWidth="1"/>
    <col min="14094" max="14326" width="9" style="25"/>
    <col min="14327" max="14327" width="6.19921875" style="25" customWidth="1"/>
    <col min="14328" max="14328" width="40.3984375" style="25" customWidth="1"/>
    <col min="14329" max="14329" width="12.5" style="25" customWidth="1"/>
    <col min="14330" max="14342" width="0" style="25" hidden="1" customWidth="1"/>
    <col min="14343" max="14344" width="16" style="25" customWidth="1"/>
    <col min="14345" max="14346" width="13.8984375" style="25" customWidth="1"/>
    <col min="14347" max="14347" width="11.09765625" style="25" customWidth="1"/>
    <col min="14348" max="14348" width="11.19921875" style="25" customWidth="1"/>
    <col min="14349" max="14349" width="11.69921875" style="25" bestFit="1" customWidth="1"/>
    <col min="14350" max="14582" width="9" style="25"/>
    <col min="14583" max="14583" width="6.19921875" style="25" customWidth="1"/>
    <col min="14584" max="14584" width="40.3984375" style="25" customWidth="1"/>
    <col min="14585" max="14585" width="12.5" style="25" customWidth="1"/>
    <col min="14586" max="14598" width="0" style="25" hidden="1" customWidth="1"/>
    <col min="14599" max="14600" width="16" style="25" customWidth="1"/>
    <col min="14601" max="14602" width="13.8984375" style="25" customWidth="1"/>
    <col min="14603" max="14603" width="11.09765625" style="25" customWidth="1"/>
    <col min="14604" max="14604" width="11.19921875" style="25" customWidth="1"/>
    <col min="14605" max="14605" width="11.69921875" style="25" bestFit="1" customWidth="1"/>
    <col min="14606" max="14838" width="9" style="25"/>
    <col min="14839" max="14839" width="6.19921875" style="25" customWidth="1"/>
    <col min="14840" max="14840" width="40.3984375" style="25" customWidth="1"/>
    <col min="14841" max="14841" width="12.5" style="25" customWidth="1"/>
    <col min="14842" max="14854" width="0" style="25" hidden="1" customWidth="1"/>
    <col min="14855" max="14856" width="16" style="25" customWidth="1"/>
    <col min="14857" max="14858" width="13.8984375" style="25" customWidth="1"/>
    <col min="14859" max="14859" width="11.09765625" style="25" customWidth="1"/>
    <col min="14860" max="14860" width="11.19921875" style="25" customWidth="1"/>
    <col min="14861" max="14861" width="11.69921875" style="25" bestFit="1" customWidth="1"/>
    <col min="14862" max="15094" width="9" style="25"/>
    <col min="15095" max="15095" width="6.19921875" style="25" customWidth="1"/>
    <col min="15096" max="15096" width="40.3984375" style="25" customWidth="1"/>
    <col min="15097" max="15097" width="12.5" style="25" customWidth="1"/>
    <col min="15098" max="15110" width="0" style="25" hidden="1" customWidth="1"/>
    <col min="15111" max="15112" width="16" style="25" customWidth="1"/>
    <col min="15113" max="15114" width="13.8984375" style="25" customWidth="1"/>
    <col min="15115" max="15115" width="11.09765625" style="25" customWidth="1"/>
    <col min="15116" max="15116" width="11.19921875" style="25" customWidth="1"/>
    <col min="15117" max="15117" width="11.69921875" style="25" bestFit="1" customWidth="1"/>
    <col min="15118" max="15350" width="9" style="25"/>
    <col min="15351" max="15351" width="6.19921875" style="25" customWidth="1"/>
    <col min="15352" max="15352" width="40.3984375" style="25" customWidth="1"/>
    <col min="15353" max="15353" width="12.5" style="25" customWidth="1"/>
    <col min="15354" max="15366" width="0" style="25" hidden="1" customWidth="1"/>
    <col min="15367" max="15368" width="16" style="25" customWidth="1"/>
    <col min="15369" max="15370" width="13.8984375" style="25" customWidth="1"/>
    <col min="15371" max="15371" width="11.09765625" style="25" customWidth="1"/>
    <col min="15372" max="15372" width="11.19921875" style="25" customWidth="1"/>
    <col min="15373" max="15373" width="11.69921875" style="25" bestFit="1" customWidth="1"/>
    <col min="15374" max="15606" width="9" style="25"/>
    <col min="15607" max="15607" width="6.19921875" style="25" customWidth="1"/>
    <col min="15608" max="15608" width="40.3984375" style="25" customWidth="1"/>
    <col min="15609" max="15609" width="12.5" style="25" customWidth="1"/>
    <col min="15610" max="15622" width="0" style="25" hidden="1" customWidth="1"/>
    <col min="15623" max="15624" width="16" style="25" customWidth="1"/>
    <col min="15625" max="15626" width="13.8984375" style="25" customWidth="1"/>
    <col min="15627" max="15627" width="11.09765625" style="25" customWidth="1"/>
    <col min="15628" max="15628" width="11.19921875" style="25" customWidth="1"/>
    <col min="15629" max="15629" width="11.69921875" style="25" bestFit="1" customWidth="1"/>
    <col min="15630" max="15862" width="9" style="25"/>
    <col min="15863" max="15863" width="6.19921875" style="25" customWidth="1"/>
    <col min="15864" max="15864" width="40.3984375" style="25" customWidth="1"/>
    <col min="15865" max="15865" width="12.5" style="25" customWidth="1"/>
    <col min="15866" max="15878" width="0" style="25" hidden="1" customWidth="1"/>
    <col min="15879" max="15880" width="16" style="25" customWidth="1"/>
    <col min="15881" max="15882" width="13.8984375" style="25" customWidth="1"/>
    <col min="15883" max="15883" width="11.09765625" style="25" customWidth="1"/>
    <col min="15884" max="15884" width="11.19921875" style="25" customWidth="1"/>
    <col min="15885" max="15885" width="11.69921875" style="25" bestFit="1" customWidth="1"/>
    <col min="15886" max="16118" width="9" style="25"/>
    <col min="16119" max="16119" width="6.19921875" style="25" customWidth="1"/>
    <col min="16120" max="16120" width="40.3984375" style="25" customWidth="1"/>
    <col min="16121" max="16121" width="12.5" style="25" customWidth="1"/>
    <col min="16122" max="16134" width="0" style="25" hidden="1" customWidth="1"/>
    <col min="16135" max="16136" width="16" style="25" customWidth="1"/>
    <col min="16137" max="16138" width="13.8984375" style="25" customWidth="1"/>
    <col min="16139" max="16139" width="11.09765625" style="25" customWidth="1"/>
    <col min="16140" max="16140" width="11.19921875" style="25" customWidth="1"/>
    <col min="16141" max="16141" width="11.69921875" style="25" bestFit="1" customWidth="1"/>
    <col min="16142" max="16384" width="9" style="25"/>
  </cols>
  <sheetData>
    <row r="1" spans="1:24">
      <c r="A1" s="711" t="s">
        <v>485</v>
      </c>
      <c r="B1" s="711"/>
      <c r="C1" s="330"/>
      <c r="D1" s="330"/>
      <c r="E1" s="330"/>
      <c r="F1" s="24"/>
      <c r="G1" s="24"/>
      <c r="H1" s="24"/>
      <c r="I1" s="24"/>
      <c r="J1" s="24"/>
      <c r="K1" s="24"/>
      <c r="L1" s="24"/>
      <c r="M1" s="24"/>
      <c r="N1" s="24"/>
      <c r="O1" s="24"/>
    </row>
    <row r="2" spans="1:24">
      <c r="A2" s="661" t="s">
        <v>470</v>
      </c>
      <c r="B2" s="661"/>
      <c r="C2" s="661"/>
      <c r="D2" s="661"/>
      <c r="E2" s="661"/>
      <c r="F2" s="661"/>
      <c r="G2" s="661"/>
      <c r="H2" s="661"/>
      <c r="I2" s="661"/>
      <c r="J2" s="661"/>
      <c r="K2" s="661"/>
      <c r="L2" s="661"/>
      <c r="M2" s="661"/>
      <c r="N2" s="661"/>
      <c r="O2" s="661"/>
    </row>
    <row r="3" spans="1:24">
      <c r="A3" s="662" t="str">
        <f>'05-VỐN ĐẤU GIÁ'!A3:N3</f>
        <v>(Kèm theo Báo cáo số 899/BC-UBND, ngày 28 háng 11 năm 2022 của UBND huyện Tuần Giáo)</v>
      </c>
      <c r="B3" s="662"/>
      <c r="C3" s="662"/>
      <c r="D3" s="662"/>
      <c r="E3" s="662"/>
      <c r="F3" s="662"/>
      <c r="G3" s="662"/>
      <c r="H3" s="662"/>
      <c r="I3" s="662"/>
      <c r="J3" s="662"/>
      <c r="K3" s="662"/>
      <c r="L3" s="662"/>
      <c r="M3" s="662"/>
      <c r="N3" s="662"/>
      <c r="O3" s="662"/>
    </row>
    <row r="4" spans="1:24">
      <c r="A4" s="663" t="s">
        <v>44</v>
      </c>
      <c r="B4" s="663"/>
      <c r="C4" s="663"/>
      <c r="D4" s="663"/>
      <c r="E4" s="663"/>
      <c r="F4" s="663"/>
      <c r="G4" s="663"/>
      <c r="H4" s="663"/>
      <c r="I4" s="663"/>
      <c r="J4" s="663"/>
      <c r="K4" s="663"/>
      <c r="L4" s="663"/>
      <c r="M4" s="663"/>
      <c r="N4" s="663"/>
      <c r="O4" s="663"/>
    </row>
    <row r="5" spans="1:24" s="26" customFormat="1" ht="15.75" customHeight="1">
      <c r="A5" s="664" t="s">
        <v>0</v>
      </c>
      <c r="B5" s="665" t="s">
        <v>80</v>
      </c>
      <c r="C5" s="667" t="s">
        <v>45</v>
      </c>
      <c r="D5" s="669"/>
      <c r="E5" s="669"/>
      <c r="F5" s="669"/>
      <c r="G5" s="669"/>
      <c r="H5" s="669"/>
      <c r="I5" s="668"/>
      <c r="J5" s="665" t="s">
        <v>359</v>
      </c>
      <c r="K5" s="665"/>
      <c r="L5" s="665"/>
      <c r="M5" s="658" t="s">
        <v>327</v>
      </c>
      <c r="N5" s="658" t="s">
        <v>245</v>
      </c>
      <c r="O5" s="665" t="s">
        <v>8</v>
      </c>
    </row>
    <row r="6" spans="1:24" s="26" customFormat="1">
      <c r="A6" s="664"/>
      <c r="B6" s="665"/>
      <c r="C6" s="670"/>
      <c r="D6" s="671"/>
      <c r="E6" s="671"/>
      <c r="F6" s="671"/>
      <c r="G6" s="671"/>
      <c r="H6" s="671"/>
      <c r="I6" s="672"/>
      <c r="J6" s="665"/>
      <c r="K6" s="665"/>
      <c r="L6" s="665"/>
      <c r="M6" s="659"/>
      <c r="N6" s="659"/>
      <c r="O6" s="665"/>
    </row>
    <row r="7" spans="1:24" s="26" customFormat="1" ht="40.5" customHeight="1">
      <c r="A7" s="664"/>
      <c r="B7" s="665"/>
      <c r="C7" s="712" t="s">
        <v>250</v>
      </c>
      <c r="D7" s="806" t="s">
        <v>501</v>
      </c>
      <c r="E7" s="807"/>
      <c r="F7" s="713" t="s">
        <v>494</v>
      </c>
      <c r="G7" s="713"/>
      <c r="H7" s="808" t="s">
        <v>508</v>
      </c>
      <c r="I7" s="809"/>
      <c r="J7" s="665" t="s">
        <v>250</v>
      </c>
      <c r="K7" s="713" t="s">
        <v>299</v>
      </c>
      <c r="L7" s="713"/>
      <c r="M7" s="659"/>
      <c r="N7" s="659"/>
      <c r="O7" s="665"/>
    </row>
    <row r="8" spans="1:24" s="26" customFormat="1" ht="48.6">
      <c r="A8" s="664"/>
      <c r="B8" s="665"/>
      <c r="C8" s="712"/>
      <c r="D8" s="466" t="s">
        <v>368</v>
      </c>
      <c r="E8" s="466" t="s">
        <v>369</v>
      </c>
      <c r="F8" s="466" t="s">
        <v>368</v>
      </c>
      <c r="G8" s="466" t="s">
        <v>369</v>
      </c>
      <c r="H8" s="466" t="s">
        <v>368</v>
      </c>
      <c r="I8" s="466" t="s">
        <v>369</v>
      </c>
      <c r="J8" s="665"/>
      <c r="K8" s="466" t="s">
        <v>368</v>
      </c>
      <c r="L8" s="466" t="s">
        <v>369</v>
      </c>
      <c r="M8" s="660"/>
      <c r="N8" s="660"/>
      <c r="O8" s="665"/>
    </row>
    <row r="9" spans="1:24" s="369" customFormat="1" ht="16.2">
      <c r="A9" s="371">
        <v>1</v>
      </c>
      <c r="B9" s="372">
        <v>2</v>
      </c>
      <c r="C9" s="372">
        <v>3</v>
      </c>
      <c r="D9" s="372" t="s">
        <v>502</v>
      </c>
      <c r="E9" s="372" t="s">
        <v>503</v>
      </c>
      <c r="F9" s="372" t="s">
        <v>504</v>
      </c>
      <c r="G9" s="372" t="s">
        <v>505</v>
      </c>
      <c r="H9" s="372" t="s">
        <v>506</v>
      </c>
      <c r="I9" s="372" t="s">
        <v>507</v>
      </c>
      <c r="J9" s="371">
        <v>4</v>
      </c>
      <c r="K9" s="371">
        <v>5</v>
      </c>
      <c r="L9" s="372">
        <v>6</v>
      </c>
      <c r="M9" s="371">
        <v>7</v>
      </c>
      <c r="N9" s="371">
        <v>10</v>
      </c>
      <c r="O9" s="372">
        <v>8</v>
      </c>
      <c r="P9" s="436"/>
      <c r="Q9" s="374"/>
    </row>
    <row r="10" spans="1:24" s="135" customFormat="1" ht="37.5" customHeight="1">
      <c r="A10" s="132"/>
      <c r="B10" s="133" t="s">
        <v>9</v>
      </c>
      <c r="C10" s="442">
        <f t="shared" ref="C10:N10" si="0">C11+C14+C32</f>
        <v>32381.5</v>
      </c>
      <c r="D10" s="442">
        <f>D11+D14+D32</f>
        <v>31078</v>
      </c>
      <c r="E10" s="442">
        <f t="shared" si="0"/>
        <v>1303.5</v>
      </c>
      <c r="F10" s="442">
        <f t="shared" si="0"/>
        <v>33210</v>
      </c>
      <c r="G10" s="442">
        <f t="shared" si="0"/>
        <v>1410.5</v>
      </c>
      <c r="H10" s="442">
        <f t="shared" si="0"/>
        <v>-2132</v>
      </c>
      <c r="I10" s="442">
        <f t="shared" si="0"/>
        <v>-107</v>
      </c>
      <c r="J10" s="443">
        <f t="shared" si="0"/>
        <v>22921.5</v>
      </c>
      <c r="K10" s="317">
        <f t="shared" si="0"/>
        <v>21855</v>
      </c>
      <c r="L10" s="317">
        <f t="shared" si="0"/>
        <v>1066.5</v>
      </c>
      <c r="M10" s="155">
        <f>+J10/C10</f>
        <v>0.70785788181523401</v>
      </c>
      <c r="N10" s="317">
        <f t="shared" si="0"/>
        <v>48516</v>
      </c>
      <c r="O10" s="156"/>
      <c r="P10" s="437"/>
      <c r="Q10" s="26">
        <f>+C10-J10</f>
        <v>9460</v>
      </c>
      <c r="R10" s="460"/>
      <c r="S10" s="135">
        <f>+F10+H10</f>
        <v>31078</v>
      </c>
    </row>
    <row r="11" spans="1:24" s="33" customFormat="1" ht="28.5" customHeight="1">
      <c r="A11" s="323" t="s">
        <v>23</v>
      </c>
      <c r="B11" s="324" t="s">
        <v>380</v>
      </c>
      <c r="C11" s="332">
        <f>C12+C13</f>
        <v>430.5</v>
      </c>
      <c r="D11" s="332">
        <f t="shared" ref="D11:E11" si="1">D12+D13</f>
        <v>410</v>
      </c>
      <c r="E11" s="332">
        <f t="shared" si="1"/>
        <v>20.5</v>
      </c>
      <c r="F11" s="317">
        <f>F12+F13</f>
        <v>410</v>
      </c>
      <c r="G11" s="317">
        <f>G12+G13</f>
        <v>20.5</v>
      </c>
      <c r="H11" s="317">
        <f t="shared" ref="H11:I11" si="2">H12+H13</f>
        <v>0</v>
      </c>
      <c r="I11" s="317">
        <f t="shared" si="2"/>
        <v>0</v>
      </c>
      <c r="J11" s="327">
        <f>K11+L11</f>
        <v>430.5</v>
      </c>
      <c r="K11" s="317">
        <f>K12+K13</f>
        <v>410</v>
      </c>
      <c r="L11" s="317">
        <f>L12+L13</f>
        <v>20.5</v>
      </c>
      <c r="M11" s="155">
        <f t="shared" ref="M11:M13" si="3">+J11/C11</f>
        <v>1</v>
      </c>
      <c r="N11" s="317">
        <f>N12+N13</f>
        <v>650</v>
      </c>
      <c r="O11" s="467"/>
      <c r="P11" s="461"/>
      <c r="Q11" s="26">
        <f t="shared" ref="Q11:Q48" si="4">+C11-J11</f>
        <v>0</v>
      </c>
      <c r="R11" s="460">
        <f t="shared" ref="R11:R47" si="5">+K11+L11</f>
        <v>430.5</v>
      </c>
    </row>
    <row r="12" spans="1:24" ht="33" customHeight="1">
      <c r="A12" s="329" t="s">
        <v>375</v>
      </c>
      <c r="B12" s="315" t="s">
        <v>406</v>
      </c>
      <c r="C12" s="333">
        <f>D12+E12</f>
        <v>210</v>
      </c>
      <c r="D12" s="333">
        <f>F12+H12</f>
        <v>200</v>
      </c>
      <c r="E12" s="333">
        <f>G12+I12</f>
        <v>10</v>
      </c>
      <c r="F12" s="34">
        <v>200</v>
      </c>
      <c r="G12" s="34">
        <v>10</v>
      </c>
      <c r="H12" s="34"/>
      <c r="I12" s="34"/>
      <c r="J12" s="328">
        <f>K12+L12</f>
        <v>210</v>
      </c>
      <c r="K12" s="34">
        <v>200</v>
      </c>
      <c r="L12" s="34">
        <v>10</v>
      </c>
      <c r="M12" s="390">
        <f t="shared" si="3"/>
        <v>1</v>
      </c>
      <c r="N12" s="317">
        <v>300</v>
      </c>
      <c r="O12" s="14"/>
      <c r="Q12" s="26">
        <f t="shared" si="4"/>
        <v>0</v>
      </c>
      <c r="R12" s="460">
        <f t="shared" si="5"/>
        <v>210</v>
      </c>
    </row>
    <row r="13" spans="1:24" ht="62.4">
      <c r="A13" s="329" t="s">
        <v>375</v>
      </c>
      <c r="B13" s="315" t="s">
        <v>407</v>
      </c>
      <c r="C13" s="333">
        <f>D13+E13</f>
        <v>220.5</v>
      </c>
      <c r="D13" s="333">
        <f>F13+H13</f>
        <v>210</v>
      </c>
      <c r="E13" s="333">
        <f>G13+I13</f>
        <v>10.5</v>
      </c>
      <c r="F13" s="34">
        <v>210</v>
      </c>
      <c r="G13" s="34">
        <v>10.5</v>
      </c>
      <c r="H13" s="34"/>
      <c r="I13" s="34"/>
      <c r="J13" s="328">
        <f>K13+L13</f>
        <v>220.5</v>
      </c>
      <c r="K13" s="34">
        <v>210</v>
      </c>
      <c r="L13" s="34">
        <v>10.5</v>
      </c>
      <c r="M13" s="390">
        <f t="shared" si="3"/>
        <v>1</v>
      </c>
      <c r="N13" s="317">
        <v>350</v>
      </c>
      <c r="O13" s="14"/>
      <c r="Q13" s="26">
        <f t="shared" si="4"/>
        <v>0</v>
      </c>
      <c r="R13" s="460">
        <f t="shared" si="5"/>
        <v>220.5</v>
      </c>
      <c r="X13" s="635"/>
    </row>
    <row r="14" spans="1:24" s="33" customFormat="1" ht="31.2">
      <c r="A14" s="468" t="s">
        <v>46</v>
      </c>
      <c r="B14" s="224" t="s">
        <v>381</v>
      </c>
      <c r="C14" s="334">
        <f>C15+C16+C18+C20+C23+C24+C25+C28</f>
        <v>18886</v>
      </c>
      <c r="D14" s="334">
        <f t="shared" ref="D14:G14" si="6">D15+D16+D18+D20+D23+D24+D25+D28</f>
        <v>17984</v>
      </c>
      <c r="E14" s="334">
        <f t="shared" si="6"/>
        <v>902</v>
      </c>
      <c r="F14" s="334">
        <f t="shared" si="6"/>
        <v>20116</v>
      </c>
      <c r="G14" s="334">
        <f t="shared" si="6"/>
        <v>1009</v>
      </c>
      <c r="H14" s="334">
        <f t="shared" ref="H14" si="7">H15+H16+H18+H20+H23+H24+H25+H28</f>
        <v>-2132</v>
      </c>
      <c r="I14" s="334">
        <f t="shared" ref="I14" si="8">I15+I16+I18+I20+I23+I24+I25+I28</f>
        <v>-107</v>
      </c>
      <c r="J14" s="327">
        <f>K14+L14</f>
        <v>10904</v>
      </c>
      <c r="K14" s="327">
        <f>K15+K16+K18+K20+K23+K24+K25+K28</f>
        <v>10218</v>
      </c>
      <c r="L14" s="327">
        <f>L15+L16+L18+L20+L23+L24+L25+L28</f>
        <v>686</v>
      </c>
      <c r="M14" s="155">
        <f t="shared" ref="M14:M19" si="9">+J14/C14</f>
        <v>0.57735889018320452</v>
      </c>
      <c r="N14" s="327">
        <f>N15+N16+N18+N20+N23+N24+N25+N28</f>
        <v>12100</v>
      </c>
      <c r="O14" s="467"/>
      <c r="P14" s="461"/>
      <c r="Q14" s="26">
        <f t="shared" si="4"/>
        <v>7982</v>
      </c>
      <c r="R14" s="460">
        <f t="shared" si="5"/>
        <v>10904</v>
      </c>
    </row>
    <row r="15" spans="1:24" s="33" customFormat="1" ht="27.75" customHeight="1">
      <c r="A15" s="468">
        <v>1</v>
      </c>
      <c r="B15" s="224" t="s">
        <v>370</v>
      </c>
      <c r="C15" s="334">
        <f>D15+E15</f>
        <v>1038</v>
      </c>
      <c r="D15" s="334">
        <f>F15+H15</f>
        <v>988</v>
      </c>
      <c r="E15" s="334">
        <f>G15+I15</f>
        <v>50</v>
      </c>
      <c r="F15" s="317">
        <v>988</v>
      </c>
      <c r="G15" s="317">
        <v>50</v>
      </c>
      <c r="H15" s="317"/>
      <c r="I15" s="317"/>
      <c r="J15" s="327">
        <f>K15+L15</f>
        <v>895</v>
      </c>
      <c r="K15" s="317">
        <v>855</v>
      </c>
      <c r="L15" s="317">
        <v>40</v>
      </c>
      <c r="M15" s="155">
        <f t="shared" si="9"/>
        <v>0.86223506743737954</v>
      </c>
      <c r="N15" s="317">
        <v>3000</v>
      </c>
      <c r="O15" s="467"/>
      <c r="P15" s="461"/>
      <c r="Q15" s="26">
        <f t="shared" si="4"/>
        <v>143</v>
      </c>
      <c r="R15" s="460">
        <f t="shared" si="5"/>
        <v>895</v>
      </c>
    </row>
    <row r="16" spans="1:24" s="33" customFormat="1" ht="46.8">
      <c r="A16" s="468">
        <v>2</v>
      </c>
      <c r="B16" s="224" t="s">
        <v>371</v>
      </c>
      <c r="C16" s="334">
        <f>C17</f>
        <v>8141</v>
      </c>
      <c r="D16" s="334">
        <f t="shared" ref="D16:E16" si="10">D17</f>
        <v>7753</v>
      </c>
      <c r="E16" s="334">
        <f t="shared" si="10"/>
        <v>388</v>
      </c>
      <c r="F16" s="64">
        <f t="shared" ref="F16:I16" si="11">F17</f>
        <v>5349</v>
      </c>
      <c r="G16" s="64">
        <f t="shared" si="11"/>
        <v>268</v>
      </c>
      <c r="H16" s="64">
        <f t="shared" si="11"/>
        <v>2404</v>
      </c>
      <c r="I16" s="64">
        <f t="shared" si="11"/>
        <v>120</v>
      </c>
      <c r="J16" s="64">
        <f>J17</f>
        <v>5189</v>
      </c>
      <c r="K16" s="64">
        <f t="shared" ref="K16:L16" si="12">K17</f>
        <v>4948</v>
      </c>
      <c r="L16" s="64">
        <f t="shared" si="12"/>
        <v>241</v>
      </c>
      <c r="M16" s="155">
        <f t="shared" si="9"/>
        <v>0.63739098390861071</v>
      </c>
      <c r="N16" s="225"/>
      <c r="O16" s="467"/>
      <c r="P16" s="37" t="s">
        <v>489</v>
      </c>
      <c r="Q16" s="26">
        <f t="shared" si="4"/>
        <v>2952</v>
      </c>
      <c r="R16" s="460">
        <f t="shared" si="5"/>
        <v>5189</v>
      </c>
    </row>
    <row r="17" spans="1:18" ht="46.8">
      <c r="A17" s="325" t="s">
        <v>375</v>
      </c>
      <c r="B17" s="30" t="s">
        <v>376</v>
      </c>
      <c r="C17" s="335">
        <f>D17+E17</f>
        <v>8141</v>
      </c>
      <c r="D17" s="335">
        <f>F17+H17</f>
        <v>7753</v>
      </c>
      <c r="E17" s="335">
        <f>G17+I17</f>
        <v>388</v>
      </c>
      <c r="F17" s="34">
        <v>5349</v>
      </c>
      <c r="G17" s="34">
        <v>268</v>
      </c>
      <c r="H17" s="34">
        <v>2404</v>
      </c>
      <c r="I17" s="34">
        <v>120</v>
      </c>
      <c r="J17" s="63">
        <f t="shared" ref="J17:J47" si="13">K17+L17</f>
        <v>5189</v>
      </c>
      <c r="K17" s="591">
        <v>4948</v>
      </c>
      <c r="L17" s="591">
        <v>241</v>
      </c>
      <c r="M17" s="390">
        <f t="shared" si="9"/>
        <v>0.63739098390861071</v>
      </c>
      <c r="N17" s="34">
        <v>2500</v>
      </c>
      <c r="O17" s="14"/>
      <c r="P17" s="237" t="s">
        <v>489</v>
      </c>
      <c r="Q17" s="26">
        <f t="shared" si="4"/>
        <v>2952</v>
      </c>
      <c r="R17" s="460">
        <f t="shared" si="5"/>
        <v>5189</v>
      </c>
    </row>
    <row r="18" spans="1:18" s="33" customFormat="1" ht="31.2">
      <c r="A18" s="468">
        <v>3</v>
      </c>
      <c r="B18" s="224" t="s">
        <v>372</v>
      </c>
      <c r="C18" s="334">
        <f>C19</f>
        <v>2077</v>
      </c>
      <c r="D18" s="334">
        <f t="shared" ref="D18:I18" si="14">D19</f>
        <v>1977</v>
      </c>
      <c r="E18" s="334">
        <f t="shared" si="14"/>
        <v>100</v>
      </c>
      <c r="F18" s="334">
        <f t="shared" si="14"/>
        <v>1977</v>
      </c>
      <c r="G18" s="334">
        <f t="shared" si="14"/>
        <v>100</v>
      </c>
      <c r="H18" s="334">
        <f t="shared" si="14"/>
        <v>0</v>
      </c>
      <c r="I18" s="334">
        <f t="shared" si="14"/>
        <v>0</v>
      </c>
      <c r="J18" s="327">
        <f t="shared" si="13"/>
        <v>2077</v>
      </c>
      <c r="K18" s="317">
        <f>K19</f>
        <v>1977</v>
      </c>
      <c r="L18" s="317">
        <f>L19</f>
        <v>100</v>
      </c>
      <c r="M18" s="155">
        <f t="shared" si="9"/>
        <v>1</v>
      </c>
      <c r="N18" s="317">
        <f>N19</f>
        <v>6000</v>
      </c>
      <c r="O18" s="467"/>
      <c r="P18" s="461"/>
      <c r="Q18" s="26">
        <f t="shared" si="4"/>
        <v>0</v>
      </c>
      <c r="R18" s="460">
        <f t="shared" si="5"/>
        <v>2077</v>
      </c>
    </row>
    <row r="19" spans="1:18" ht="31.2">
      <c r="A19" s="325" t="s">
        <v>375</v>
      </c>
      <c r="B19" s="30" t="s">
        <v>377</v>
      </c>
      <c r="C19" s="335">
        <f t="shared" ref="C19:C47" si="15">F19+G19</f>
        <v>2077</v>
      </c>
      <c r="D19" s="335">
        <f>F19+H19</f>
        <v>1977</v>
      </c>
      <c r="E19" s="335">
        <f>G19+I19</f>
        <v>100</v>
      </c>
      <c r="F19" s="34">
        <v>1977</v>
      </c>
      <c r="G19" s="34">
        <v>100</v>
      </c>
      <c r="H19" s="34"/>
      <c r="I19" s="34"/>
      <c r="J19" s="328">
        <f t="shared" si="13"/>
        <v>2077</v>
      </c>
      <c r="K19" s="34">
        <v>1977</v>
      </c>
      <c r="L19" s="34">
        <v>100</v>
      </c>
      <c r="M19" s="390">
        <f t="shared" si="9"/>
        <v>1</v>
      </c>
      <c r="N19" s="317">
        <v>6000</v>
      </c>
      <c r="O19" s="14"/>
      <c r="Q19" s="26">
        <f t="shared" si="4"/>
        <v>0</v>
      </c>
      <c r="R19" s="460">
        <f t="shared" si="5"/>
        <v>2077</v>
      </c>
    </row>
    <row r="20" spans="1:18" s="33" customFormat="1">
      <c r="A20" s="468">
        <v>4</v>
      </c>
      <c r="B20" s="224" t="s">
        <v>373</v>
      </c>
      <c r="C20" s="334">
        <f>SUM(C21:C22)</f>
        <v>5228</v>
      </c>
      <c r="D20" s="334">
        <f t="shared" ref="D20:E20" si="16">SUM(D21:D22)</f>
        <v>4979</v>
      </c>
      <c r="E20" s="334">
        <f t="shared" si="16"/>
        <v>249</v>
      </c>
      <c r="F20" s="317">
        <f>F21+F22</f>
        <v>4979</v>
      </c>
      <c r="G20" s="317">
        <f>G21+G22</f>
        <v>249</v>
      </c>
      <c r="H20" s="317">
        <f t="shared" ref="H20:I20" si="17">H21+H22</f>
        <v>0</v>
      </c>
      <c r="I20" s="317">
        <f t="shared" si="17"/>
        <v>0</v>
      </c>
      <c r="J20" s="327">
        <f t="shared" si="13"/>
        <v>515</v>
      </c>
      <c r="K20" s="317">
        <f>K21+K22</f>
        <v>315</v>
      </c>
      <c r="L20" s="317">
        <f>L21+L22</f>
        <v>200</v>
      </c>
      <c r="M20" s="225"/>
      <c r="N20" s="225"/>
      <c r="O20" s="467"/>
      <c r="P20" s="461"/>
      <c r="Q20" s="26">
        <f t="shared" si="4"/>
        <v>4713</v>
      </c>
      <c r="R20" s="460">
        <f t="shared" si="5"/>
        <v>515</v>
      </c>
    </row>
    <row r="21" spans="1:18" ht="31.2">
      <c r="A21" s="325" t="s">
        <v>375</v>
      </c>
      <c r="B21" s="30" t="s">
        <v>378</v>
      </c>
      <c r="C21" s="335">
        <f>D21+E21</f>
        <v>583</v>
      </c>
      <c r="D21" s="335">
        <f t="shared" ref="D21:E24" si="18">F21+H21</f>
        <v>555</v>
      </c>
      <c r="E21" s="335">
        <f t="shared" si="18"/>
        <v>28</v>
      </c>
      <c r="F21" s="34">
        <v>555</v>
      </c>
      <c r="G21" s="34">
        <v>28</v>
      </c>
      <c r="H21" s="34"/>
      <c r="I21" s="34"/>
      <c r="J21" s="328">
        <f t="shared" si="13"/>
        <v>415</v>
      </c>
      <c r="K21" s="34">
        <v>315</v>
      </c>
      <c r="L21" s="34">
        <v>100</v>
      </c>
      <c r="M21" s="390">
        <f>+J21/C21</f>
        <v>0.71183533447684388</v>
      </c>
      <c r="N21" s="34">
        <v>555</v>
      </c>
      <c r="O21" s="14"/>
      <c r="Q21" s="26">
        <f t="shared" si="4"/>
        <v>168</v>
      </c>
      <c r="R21" s="460">
        <f t="shared" si="5"/>
        <v>415</v>
      </c>
    </row>
    <row r="22" spans="1:18" ht="31.2">
      <c r="A22" s="325" t="s">
        <v>375</v>
      </c>
      <c r="B22" s="30" t="s">
        <v>379</v>
      </c>
      <c r="C22" s="335">
        <f>D22+E22</f>
        <v>4645</v>
      </c>
      <c r="D22" s="335">
        <f t="shared" si="18"/>
        <v>4424</v>
      </c>
      <c r="E22" s="335">
        <f t="shared" si="18"/>
        <v>221</v>
      </c>
      <c r="F22" s="34">
        <v>4424</v>
      </c>
      <c r="G22" s="34">
        <v>221</v>
      </c>
      <c r="H22" s="34"/>
      <c r="I22" s="34"/>
      <c r="J22" s="328"/>
      <c r="K22" s="34"/>
      <c r="L22" s="34">
        <v>100</v>
      </c>
      <c r="M22" s="390">
        <f>+J22/C22</f>
        <v>0</v>
      </c>
      <c r="N22" s="34">
        <f>1709+1909</f>
        <v>3618</v>
      </c>
      <c r="O22" s="14"/>
      <c r="Q22" s="26">
        <f t="shared" si="4"/>
        <v>4645</v>
      </c>
      <c r="R22" s="460">
        <f t="shared" si="5"/>
        <v>100</v>
      </c>
    </row>
    <row r="23" spans="1:18" s="33" customFormat="1" ht="31.2">
      <c r="A23" s="468">
        <v>5</v>
      </c>
      <c r="B23" s="224" t="s">
        <v>374</v>
      </c>
      <c r="C23" s="334">
        <f>D23+E23</f>
        <v>284</v>
      </c>
      <c r="D23" s="334">
        <f t="shared" si="18"/>
        <v>270</v>
      </c>
      <c r="E23" s="334">
        <f t="shared" si="18"/>
        <v>14</v>
      </c>
      <c r="F23" s="317">
        <v>270</v>
      </c>
      <c r="G23" s="317">
        <v>14</v>
      </c>
      <c r="H23" s="317"/>
      <c r="I23" s="317"/>
      <c r="J23" s="327">
        <f t="shared" si="13"/>
        <v>284</v>
      </c>
      <c r="K23" s="317">
        <v>270</v>
      </c>
      <c r="L23" s="317">
        <v>14</v>
      </c>
      <c r="M23" s="155">
        <f>+J23/C23</f>
        <v>1</v>
      </c>
      <c r="N23" s="317">
        <v>650</v>
      </c>
      <c r="O23" s="467"/>
      <c r="P23" s="461"/>
      <c r="Q23" s="26">
        <f t="shared" si="4"/>
        <v>0</v>
      </c>
      <c r="R23" s="460">
        <f t="shared" si="5"/>
        <v>284</v>
      </c>
    </row>
    <row r="24" spans="1:18" s="33" customFormat="1" ht="31.2">
      <c r="A24" s="468">
        <v>6</v>
      </c>
      <c r="B24" s="224" t="s">
        <v>382</v>
      </c>
      <c r="C24" s="334">
        <f>D24+E24</f>
        <v>1299</v>
      </c>
      <c r="D24" s="334">
        <f t="shared" si="18"/>
        <v>1238</v>
      </c>
      <c r="E24" s="334">
        <f t="shared" si="18"/>
        <v>61</v>
      </c>
      <c r="F24" s="317">
        <v>1238</v>
      </c>
      <c r="G24" s="317">
        <v>61</v>
      </c>
      <c r="H24" s="317"/>
      <c r="I24" s="317"/>
      <c r="J24" s="327">
        <f t="shared" si="13"/>
        <v>1299</v>
      </c>
      <c r="K24" s="317">
        <v>1238</v>
      </c>
      <c r="L24" s="317">
        <v>61</v>
      </c>
      <c r="M24" s="155">
        <f>+J24/C24</f>
        <v>1</v>
      </c>
      <c r="N24" s="317">
        <v>1500</v>
      </c>
      <c r="O24" s="467"/>
      <c r="P24" s="461"/>
      <c r="Q24" s="26">
        <f t="shared" si="4"/>
        <v>0</v>
      </c>
      <c r="R24" s="460">
        <f t="shared" si="5"/>
        <v>1299</v>
      </c>
    </row>
    <row r="25" spans="1:18" s="33" customFormat="1" ht="31.2">
      <c r="A25" s="468">
        <v>7</v>
      </c>
      <c r="B25" s="224" t="s">
        <v>383</v>
      </c>
      <c r="C25" s="334">
        <f>SUM(C26:C27)</f>
        <v>455</v>
      </c>
      <c r="D25" s="334">
        <f t="shared" ref="D25:I25" si="19">SUM(D26:D27)</f>
        <v>433</v>
      </c>
      <c r="E25" s="334">
        <f t="shared" si="19"/>
        <v>22</v>
      </c>
      <c r="F25" s="334">
        <f t="shared" si="19"/>
        <v>4969</v>
      </c>
      <c r="G25" s="334">
        <f t="shared" si="19"/>
        <v>249</v>
      </c>
      <c r="H25" s="334">
        <f t="shared" si="19"/>
        <v>-4536</v>
      </c>
      <c r="I25" s="334">
        <f t="shared" si="19"/>
        <v>-227</v>
      </c>
      <c r="J25" s="327">
        <f t="shared" si="13"/>
        <v>455</v>
      </c>
      <c r="K25" s="317">
        <f>K26+K27</f>
        <v>433</v>
      </c>
      <c r="L25" s="317">
        <f>L26+L27</f>
        <v>22</v>
      </c>
      <c r="M25" s="155">
        <f>+J25/C25</f>
        <v>1</v>
      </c>
      <c r="N25" s="317">
        <f>N26+N27</f>
        <v>400</v>
      </c>
      <c r="O25" s="467"/>
      <c r="P25" s="461"/>
      <c r="Q25" s="26">
        <f t="shared" si="4"/>
        <v>0</v>
      </c>
      <c r="R25" s="460">
        <f t="shared" si="5"/>
        <v>455</v>
      </c>
    </row>
    <row r="26" spans="1:18" ht="31.2">
      <c r="A26" s="325" t="s">
        <v>375</v>
      </c>
      <c r="B26" s="30" t="s">
        <v>384</v>
      </c>
      <c r="C26" s="335">
        <f>D26+E26</f>
        <v>201</v>
      </c>
      <c r="D26" s="335">
        <f t="shared" ref="D26:D27" si="20">F26+H26</f>
        <v>191</v>
      </c>
      <c r="E26" s="335">
        <f t="shared" ref="E26:E27" si="21">G26+I26</f>
        <v>10</v>
      </c>
      <c r="F26" s="34">
        <v>4727</v>
      </c>
      <c r="G26" s="34">
        <v>237</v>
      </c>
      <c r="H26" s="565">
        <v>-4536</v>
      </c>
      <c r="I26" s="565">
        <v>-227</v>
      </c>
      <c r="J26" s="328">
        <f t="shared" si="13"/>
        <v>201</v>
      </c>
      <c r="K26" s="34">
        <f>F26+H26</f>
        <v>191</v>
      </c>
      <c r="L26" s="34">
        <f>G26+I26</f>
        <v>10</v>
      </c>
      <c r="M26" s="152">
        <v>0</v>
      </c>
      <c r="N26" s="592">
        <v>0</v>
      </c>
      <c r="O26" s="14"/>
      <c r="P26" s="37">
        <f>+F26+H26</f>
        <v>191</v>
      </c>
      <c r="Q26" s="26">
        <f t="shared" si="4"/>
        <v>0</v>
      </c>
      <c r="R26" s="460">
        <f t="shared" si="5"/>
        <v>201</v>
      </c>
    </row>
    <row r="27" spans="1:18" ht="31.2">
      <c r="A27" s="325" t="s">
        <v>375</v>
      </c>
      <c r="B27" s="30" t="s">
        <v>385</v>
      </c>
      <c r="C27" s="335">
        <f>D27+E27</f>
        <v>254</v>
      </c>
      <c r="D27" s="335">
        <f t="shared" si="20"/>
        <v>242</v>
      </c>
      <c r="E27" s="335">
        <f t="shared" si="21"/>
        <v>12</v>
      </c>
      <c r="F27" s="34">
        <v>242</v>
      </c>
      <c r="G27" s="34">
        <v>12</v>
      </c>
      <c r="H27" s="34"/>
      <c r="I27" s="34"/>
      <c r="J27" s="328">
        <f t="shared" si="13"/>
        <v>254</v>
      </c>
      <c r="K27" s="34">
        <v>242</v>
      </c>
      <c r="L27" s="34">
        <v>12</v>
      </c>
      <c r="M27" s="152">
        <v>0</v>
      </c>
      <c r="N27" s="34">
        <v>400</v>
      </c>
      <c r="O27" s="14"/>
      <c r="Q27" s="26">
        <f t="shared" si="4"/>
        <v>0</v>
      </c>
      <c r="R27" s="460">
        <f t="shared" si="5"/>
        <v>254</v>
      </c>
    </row>
    <row r="28" spans="1:18" s="33" customFormat="1" ht="31.2">
      <c r="A28" s="326">
        <v>8</v>
      </c>
      <c r="B28" s="224" t="s">
        <v>386</v>
      </c>
      <c r="C28" s="334">
        <f>SUM(C29:C31)</f>
        <v>364</v>
      </c>
      <c r="D28" s="334">
        <f t="shared" ref="D28:I28" si="22">SUM(D29:D31)</f>
        <v>346</v>
      </c>
      <c r="E28" s="334">
        <f t="shared" si="22"/>
        <v>18</v>
      </c>
      <c r="F28" s="334">
        <f t="shared" si="22"/>
        <v>346</v>
      </c>
      <c r="G28" s="334">
        <f t="shared" si="22"/>
        <v>18</v>
      </c>
      <c r="H28" s="334">
        <f t="shared" si="22"/>
        <v>0</v>
      </c>
      <c r="I28" s="334">
        <f t="shared" si="22"/>
        <v>0</v>
      </c>
      <c r="J28" s="327">
        <f t="shared" si="13"/>
        <v>190</v>
      </c>
      <c r="K28" s="317">
        <f>K29+K30+K31</f>
        <v>182</v>
      </c>
      <c r="L28" s="317">
        <f>L29+L30+L31</f>
        <v>8</v>
      </c>
      <c r="M28" s="155">
        <f t="shared" ref="M28:M33" si="23">+J28/C28</f>
        <v>0.52197802197802201</v>
      </c>
      <c r="N28" s="317">
        <f>N29+N30+N31</f>
        <v>550</v>
      </c>
      <c r="O28" s="467"/>
      <c r="P28" s="461"/>
      <c r="Q28" s="26">
        <f t="shared" si="4"/>
        <v>174</v>
      </c>
      <c r="R28" s="460">
        <f t="shared" si="5"/>
        <v>190</v>
      </c>
    </row>
    <row r="29" spans="1:18" ht="78">
      <c r="A29" s="325" t="s">
        <v>375</v>
      </c>
      <c r="B29" s="30" t="s">
        <v>387</v>
      </c>
      <c r="C29" s="335">
        <f>D29+E29</f>
        <v>170</v>
      </c>
      <c r="D29" s="335">
        <f t="shared" ref="D29:E31" si="24">F29+H29</f>
        <v>162</v>
      </c>
      <c r="E29" s="335">
        <f t="shared" si="24"/>
        <v>8</v>
      </c>
      <c r="F29" s="34">
        <v>162</v>
      </c>
      <c r="G29" s="34">
        <v>8</v>
      </c>
      <c r="H29" s="34"/>
      <c r="I29" s="34"/>
      <c r="J29" s="328">
        <f t="shared" si="13"/>
        <v>170</v>
      </c>
      <c r="K29" s="34">
        <v>162</v>
      </c>
      <c r="L29" s="34">
        <v>8</v>
      </c>
      <c r="M29" s="390">
        <f t="shared" si="23"/>
        <v>1</v>
      </c>
      <c r="N29" s="34">
        <v>250</v>
      </c>
      <c r="O29" s="14"/>
      <c r="Q29" s="26">
        <f t="shared" si="4"/>
        <v>0</v>
      </c>
      <c r="R29" s="460">
        <f t="shared" si="5"/>
        <v>170</v>
      </c>
    </row>
    <row r="30" spans="1:18" ht="46.8">
      <c r="A30" s="325" t="s">
        <v>375</v>
      </c>
      <c r="B30" s="30" t="s">
        <v>388</v>
      </c>
      <c r="C30" s="335">
        <f>D30+E30</f>
        <v>74</v>
      </c>
      <c r="D30" s="335">
        <f t="shared" si="24"/>
        <v>70</v>
      </c>
      <c r="E30" s="335">
        <f t="shared" si="24"/>
        <v>4</v>
      </c>
      <c r="F30" s="34">
        <v>70</v>
      </c>
      <c r="G30" s="34">
        <v>4</v>
      </c>
      <c r="H30" s="34"/>
      <c r="I30" s="34"/>
      <c r="J30" s="328">
        <f t="shared" si="13"/>
        <v>0</v>
      </c>
      <c r="K30" s="34">
        <v>0</v>
      </c>
      <c r="L30" s="34"/>
      <c r="M30" s="390">
        <f t="shared" si="23"/>
        <v>0</v>
      </c>
      <c r="N30" s="34">
        <v>100</v>
      </c>
      <c r="O30" s="14" t="s">
        <v>464</v>
      </c>
      <c r="Q30" s="26">
        <f t="shared" si="4"/>
        <v>74</v>
      </c>
      <c r="R30" s="460">
        <f t="shared" si="5"/>
        <v>0</v>
      </c>
    </row>
    <row r="31" spans="1:18">
      <c r="A31" s="325" t="s">
        <v>375</v>
      </c>
      <c r="B31" s="30" t="s">
        <v>389</v>
      </c>
      <c r="C31" s="335">
        <f t="shared" si="15"/>
        <v>120</v>
      </c>
      <c r="D31" s="335">
        <f t="shared" si="24"/>
        <v>114</v>
      </c>
      <c r="E31" s="335">
        <f t="shared" si="24"/>
        <v>6</v>
      </c>
      <c r="F31" s="34">
        <v>114</v>
      </c>
      <c r="G31" s="34">
        <v>6</v>
      </c>
      <c r="H31" s="34"/>
      <c r="I31" s="34"/>
      <c r="J31" s="328">
        <f t="shared" si="13"/>
        <v>20</v>
      </c>
      <c r="K31" s="34">
        <v>20</v>
      </c>
      <c r="L31" s="34"/>
      <c r="M31" s="390">
        <f t="shared" si="23"/>
        <v>0.16666666666666666</v>
      </c>
      <c r="N31" s="34">
        <v>200</v>
      </c>
      <c r="O31" s="14"/>
      <c r="Q31" s="26">
        <f t="shared" si="4"/>
        <v>100</v>
      </c>
      <c r="R31" s="460">
        <f t="shared" si="5"/>
        <v>20</v>
      </c>
    </row>
    <row r="32" spans="1:18" s="33" customFormat="1" ht="23.25" customHeight="1">
      <c r="A32" s="323" t="s">
        <v>94</v>
      </c>
      <c r="B32" s="324" t="s">
        <v>391</v>
      </c>
      <c r="C32" s="332">
        <f>F32+G32</f>
        <v>13065</v>
      </c>
      <c r="D32" s="332">
        <f>+F32+H32</f>
        <v>12684</v>
      </c>
      <c r="E32" s="332">
        <f>+G32+I32</f>
        <v>381</v>
      </c>
      <c r="F32" s="317">
        <f>F33+F35+F36+F38+F42+F45</f>
        <v>12684</v>
      </c>
      <c r="G32" s="317">
        <f>G33+G35+G36+G38+G42+G45</f>
        <v>381</v>
      </c>
      <c r="H32" s="317"/>
      <c r="I32" s="317"/>
      <c r="J32" s="327">
        <f t="shared" si="13"/>
        <v>11587</v>
      </c>
      <c r="K32" s="317">
        <f>K33+K35+K36+K38+K42+K45</f>
        <v>11227</v>
      </c>
      <c r="L32" s="317">
        <f>L33+L35+L36+L38+L42+L45</f>
        <v>360</v>
      </c>
      <c r="M32" s="155">
        <f t="shared" si="23"/>
        <v>0.88687332567929578</v>
      </c>
      <c r="N32" s="317">
        <f>N33+N35+N36+N38+N42+N45</f>
        <v>35766</v>
      </c>
      <c r="O32" s="467"/>
      <c r="P32" s="461"/>
      <c r="Q32" s="26">
        <f t="shared" si="4"/>
        <v>1478</v>
      </c>
      <c r="R32" s="460">
        <f t="shared" si="5"/>
        <v>11587</v>
      </c>
    </row>
    <row r="33" spans="1:18" s="33" customFormat="1" ht="39" customHeight="1">
      <c r="A33" s="323" t="s">
        <v>50</v>
      </c>
      <c r="B33" s="324" t="s">
        <v>390</v>
      </c>
      <c r="C33" s="332">
        <f t="shared" si="15"/>
        <v>2031</v>
      </c>
      <c r="D33" s="332">
        <f>+F33+H33</f>
        <v>1972</v>
      </c>
      <c r="E33" s="332">
        <f>+G33+I33</f>
        <v>59</v>
      </c>
      <c r="F33" s="317">
        <f>F34</f>
        <v>1972</v>
      </c>
      <c r="G33" s="317">
        <f>G34</f>
        <v>59</v>
      </c>
      <c r="H33" s="317"/>
      <c r="I33" s="317"/>
      <c r="J33" s="327">
        <f t="shared" si="13"/>
        <v>2031</v>
      </c>
      <c r="K33" s="317">
        <f>K34</f>
        <v>1972</v>
      </c>
      <c r="L33" s="317">
        <f>L34</f>
        <v>59</v>
      </c>
      <c r="M33" s="390">
        <f t="shared" si="23"/>
        <v>1</v>
      </c>
      <c r="N33" s="593">
        <f>N34</f>
        <v>3711</v>
      </c>
      <c r="O33" s="467"/>
      <c r="P33" s="461"/>
      <c r="Q33" s="26">
        <f t="shared" si="4"/>
        <v>0</v>
      </c>
      <c r="R33" s="460">
        <f t="shared" si="5"/>
        <v>2031</v>
      </c>
    </row>
    <row r="34" spans="1:18" ht="31.2">
      <c r="A34" s="329" t="s">
        <v>375</v>
      </c>
      <c r="B34" s="315" t="s">
        <v>392</v>
      </c>
      <c r="C34" s="333">
        <f t="shared" si="15"/>
        <v>2031</v>
      </c>
      <c r="D34" s="332">
        <f t="shared" ref="D34:D47" si="25">+F34+H34</f>
        <v>1972</v>
      </c>
      <c r="E34" s="332">
        <f t="shared" ref="E34:E47" si="26">+G34+I34</f>
        <v>59</v>
      </c>
      <c r="F34" s="34">
        <v>1972</v>
      </c>
      <c r="G34" s="34">
        <v>59</v>
      </c>
      <c r="H34" s="34"/>
      <c r="I34" s="34"/>
      <c r="J34" s="327">
        <f t="shared" si="13"/>
        <v>2031</v>
      </c>
      <c r="K34" s="34">
        <f>F34</f>
        <v>1972</v>
      </c>
      <c r="L34" s="34">
        <f>G34</f>
        <v>59</v>
      </c>
      <c r="M34" s="390">
        <f t="shared" ref="M34:M47" si="27">+J34/C34</f>
        <v>1</v>
      </c>
      <c r="N34" s="594">
        <v>3711</v>
      </c>
      <c r="O34" s="14"/>
      <c r="Q34" s="26">
        <f t="shared" si="4"/>
        <v>0</v>
      </c>
      <c r="R34" s="460">
        <f t="shared" si="5"/>
        <v>2031</v>
      </c>
    </row>
    <row r="35" spans="1:18" s="33" customFormat="1">
      <c r="A35" s="323" t="s">
        <v>51</v>
      </c>
      <c r="B35" s="324" t="s">
        <v>393</v>
      </c>
      <c r="C35" s="332">
        <f t="shared" si="15"/>
        <v>4550</v>
      </c>
      <c r="D35" s="333">
        <f t="shared" si="25"/>
        <v>4416</v>
      </c>
      <c r="E35" s="333">
        <f t="shared" si="26"/>
        <v>134</v>
      </c>
      <c r="F35" s="317">
        <v>4416</v>
      </c>
      <c r="G35" s="317">
        <v>134</v>
      </c>
      <c r="H35" s="317"/>
      <c r="I35" s="317"/>
      <c r="J35" s="327">
        <f t="shared" si="13"/>
        <v>4550</v>
      </c>
      <c r="K35" s="34">
        <f t="shared" ref="K35:L47" si="28">F35</f>
        <v>4416</v>
      </c>
      <c r="L35" s="34">
        <f t="shared" si="28"/>
        <v>134</v>
      </c>
      <c r="M35" s="390">
        <f t="shared" si="27"/>
        <v>1</v>
      </c>
      <c r="N35" s="593">
        <v>2060</v>
      </c>
      <c r="O35" s="467"/>
      <c r="P35" s="805" t="s">
        <v>488</v>
      </c>
      <c r="Q35" s="26">
        <f t="shared" si="4"/>
        <v>0</v>
      </c>
      <c r="R35" s="460">
        <f t="shared" si="5"/>
        <v>4550</v>
      </c>
    </row>
    <row r="36" spans="1:18" s="33" customFormat="1">
      <c r="A36" s="323" t="s">
        <v>52</v>
      </c>
      <c r="B36" s="324" t="s">
        <v>394</v>
      </c>
      <c r="C36" s="332">
        <f t="shared" si="15"/>
        <v>1928</v>
      </c>
      <c r="D36" s="333">
        <f t="shared" si="25"/>
        <v>1872</v>
      </c>
      <c r="E36" s="333">
        <f t="shared" si="26"/>
        <v>56</v>
      </c>
      <c r="F36" s="317">
        <f>F37</f>
        <v>1872</v>
      </c>
      <c r="G36" s="317">
        <f>G37</f>
        <v>56</v>
      </c>
      <c r="H36" s="317"/>
      <c r="I36" s="317"/>
      <c r="J36" s="327">
        <f t="shared" si="13"/>
        <v>1928</v>
      </c>
      <c r="K36" s="317">
        <f t="shared" si="28"/>
        <v>1872</v>
      </c>
      <c r="L36" s="34">
        <f t="shared" si="28"/>
        <v>56</v>
      </c>
      <c r="M36" s="390">
        <f t="shared" si="27"/>
        <v>1</v>
      </c>
      <c r="N36" s="593">
        <f>N37</f>
        <v>23690</v>
      </c>
      <c r="O36" s="467"/>
      <c r="P36" s="805"/>
      <c r="Q36" s="26">
        <f t="shared" si="4"/>
        <v>0</v>
      </c>
      <c r="R36" s="460">
        <f t="shared" si="5"/>
        <v>1928</v>
      </c>
    </row>
    <row r="37" spans="1:18">
      <c r="A37" s="316"/>
      <c r="B37" s="315" t="s">
        <v>395</v>
      </c>
      <c r="C37" s="333">
        <f t="shared" si="15"/>
        <v>1928</v>
      </c>
      <c r="D37" s="333">
        <f t="shared" si="25"/>
        <v>1872</v>
      </c>
      <c r="E37" s="333">
        <f t="shared" si="26"/>
        <v>56</v>
      </c>
      <c r="F37" s="34">
        <v>1872</v>
      </c>
      <c r="G37" s="34">
        <v>56</v>
      </c>
      <c r="H37" s="34"/>
      <c r="I37" s="34"/>
      <c r="J37" s="328">
        <f t="shared" si="13"/>
        <v>1928</v>
      </c>
      <c r="K37" s="34">
        <f t="shared" si="28"/>
        <v>1872</v>
      </c>
      <c r="L37" s="34">
        <f t="shared" si="28"/>
        <v>56</v>
      </c>
      <c r="M37" s="390">
        <f t="shared" si="27"/>
        <v>1</v>
      </c>
      <c r="N37" s="594">
        <v>23690</v>
      </c>
      <c r="O37" s="14"/>
      <c r="P37" s="805"/>
      <c r="Q37" s="26">
        <f t="shared" si="4"/>
        <v>0</v>
      </c>
      <c r="R37" s="460">
        <f t="shared" si="5"/>
        <v>1928</v>
      </c>
    </row>
    <row r="38" spans="1:18" s="33" customFormat="1">
      <c r="A38" s="323" t="s">
        <v>53</v>
      </c>
      <c r="B38" s="324" t="s">
        <v>396</v>
      </c>
      <c r="C38" s="332">
        <f t="shared" si="15"/>
        <v>3080</v>
      </c>
      <c r="D38" s="333">
        <f t="shared" si="25"/>
        <v>2991</v>
      </c>
      <c r="E38" s="333">
        <f t="shared" si="26"/>
        <v>89</v>
      </c>
      <c r="F38" s="317">
        <f>SUM(F39:F41)</f>
        <v>2991</v>
      </c>
      <c r="G38" s="317">
        <f>SUM(G39:G41)</f>
        <v>89</v>
      </c>
      <c r="H38" s="317"/>
      <c r="I38" s="317"/>
      <c r="J38" s="327">
        <f t="shared" si="13"/>
        <v>1602</v>
      </c>
      <c r="K38" s="317">
        <f>K39+K40+K41</f>
        <v>1534</v>
      </c>
      <c r="L38" s="317">
        <f>L39+L40+L41</f>
        <v>68</v>
      </c>
      <c r="M38" s="390">
        <f t="shared" si="27"/>
        <v>0.52012987012987011</v>
      </c>
      <c r="N38" s="593">
        <f>N39+N40+N41</f>
        <v>5150</v>
      </c>
      <c r="O38" s="467"/>
      <c r="P38" s="461"/>
      <c r="Q38" s="26">
        <f t="shared" si="4"/>
        <v>1478</v>
      </c>
      <c r="R38" s="460">
        <f t="shared" si="5"/>
        <v>1602</v>
      </c>
    </row>
    <row r="39" spans="1:18">
      <c r="A39" s="329" t="s">
        <v>375</v>
      </c>
      <c r="B39" s="315" t="s">
        <v>397</v>
      </c>
      <c r="C39" s="333">
        <f t="shared" si="15"/>
        <v>2353</v>
      </c>
      <c r="D39" s="333">
        <f t="shared" si="25"/>
        <v>2285</v>
      </c>
      <c r="E39" s="333">
        <f t="shared" si="26"/>
        <v>68</v>
      </c>
      <c r="F39" s="34">
        <v>2285</v>
      </c>
      <c r="G39" s="34">
        <v>68</v>
      </c>
      <c r="H39" s="34"/>
      <c r="I39" s="34"/>
      <c r="J39" s="328">
        <f t="shared" si="13"/>
        <v>1502</v>
      </c>
      <c r="K39" s="34">
        <f>F39-851</f>
        <v>1434</v>
      </c>
      <c r="L39" s="34">
        <f t="shared" si="28"/>
        <v>68</v>
      </c>
      <c r="M39" s="390">
        <f t="shared" si="27"/>
        <v>0.63833404164895879</v>
      </c>
      <c r="N39" s="594">
        <v>4120</v>
      </c>
      <c r="O39" s="14"/>
      <c r="Q39" s="26">
        <f t="shared" si="4"/>
        <v>851</v>
      </c>
      <c r="R39" s="460">
        <f t="shared" si="5"/>
        <v>1502</v>
      </c>
    </row>
    <row r="40" spans="1:18">
      <c r="A40" s="329" t="s">
        <v>375</v>
      </c>
      <c r="B40" s="315" t="s">
        <v>398</v>
      </c>
      <c r="C40" s="333">
        <f t="shared" si="15"/>
        <v>284</v>
      </c>
      <c r="D40" s="333">
        <f t="shared" si="25"/>
        <v>276</v>
      </c>
      <c r="E40" s="333">
        <f t="shared" si="26"/>
        <v>8</v>
      </c>
      <c r="F40" s="34">
        <v>276</v>
      </c>
      <c r="G40" s="34">
        <v>8</v>
      </c>
      <c r="H40" s="34"/>
      <c r="I40" s="34"/>
      <c r="J40" s="328">
        <f t="shared" si="13"/>
        <v>0</v>
      </c>
      <c r="K40" s="34"/>
      <c r="L40" s="34"/>
      <c r="M40" s="390">
        <f t="shared" si="27"/>
        <v>0</v>
      </c>
      <c r="N40" s="594">
        <v>412</v>
      </c>
      <c r="O40" s="14" t="s">
        <v>463</v>
      </c>
      <c r="Q40" s="26">
        <f t="shared" si="4"/>
        <v>284</v>
      </c>
      <c r="R40" s="460">
        <f t="shared" si="5"/>
        <v>0</v>
      </c>
    </row>
    <row r="41" spans="1:18">
      <c r="A41" s="329" t="s">
        <v>375</v>
      </c>
      <c r="B41" s="315" t="s">
        <v>399</v>
      </c>
      <c r="C41" s="333">
        <f t="shared" si="15"/>
        <v>443</v>
      </c>
      <c r="D41" s="333">
        <f t="shared" si="25"/>
        <v>430</v>
      </c>
      <c r="E41" s="333">
        <f t="shared" si="26"/>
        <v>13</v>
      </c>
      <c r="F41" s="34">
        <v>430</v>
      </c>
      <c r="G41" s="34">
        <v>13</v>
      </c>
      <c r="H41" s="34"/>
      <c r="I41" s="34"/>
      <c r="J41" s="327">
        <f t="shared" si="13"/>
        <v>100</v>
      </c>
      <c r="K41" s="34">
        <v>100</v>
      </c>
      <c r="L41" s="34"/>
      <c r="M41" s="390">
        <f t="shared" si="27"/>
        <v>0.22573363431151242</v>
      </c>
      <c r="N41" s="594">
        <v>618</v>
      </c>
      <c r="O41" s="14"/>
      <c r="P41" s="237" t="s">
        <v>486</v>
      </c>
      <c r="Q41" s="26">
        <f t="shared" si="4"/>
        <v>343</v>
      </c>
      <c r="R41" s="460">
        <f t="shared" si="5"/>
        <v>100</v>
      </c>
    </row>
    <row r="42" spans="1:18" s="33" customFormat="1">
      <c r="A42" s="323" t="s">
        <v>88</v>
      </c>
      <c r="B42" s="324" t="s">
        <v>400</v>
      </c>
      <c r="C42" s="332">
        <f t="shared" si="15"/>
        <v>459</v>
      </c>
      <c r="D42" s="333">
        <f t="shared" si="25"/>
        <v>446</v>
      </c>
      <c r="E42" s="333">
        <f t="shared" si="26"/>
        <v>13</v>
      </c>
      <c r="F42" s="317">
        <f>F43+F44</f>
        <v>446</v>
      </c>
      <c r="G42" s="317">
        <f>G43+G44</f>
        <v>13</v>
      </c>
      <c r="H42" s="317"/>
      <c r="I42" s="317"/>
      <c r="J42" s="327">
        <f t="shared" si="13"/>
        <v>459</v>
      </c>
      <c r="K42" s="34">
        <f t="shared" si="28"/>
        <v>446</v>
      </c>
      <c r="L42" s="34">
        <f t="shared" si="28"/>
        <v>13</v>
      </c>
      <c r="M42" s="390">
        <f t="shared" si="27"/>
        <v>1</v>
      </c>
      <c r="N42" s="593">
        <f>N43+N44</f>
        <v>639</v>
      </c>
      <c r="O42" s="467"/>
      <c r="P42" s="461"/>
      <c r="Q42" s="26">
        <f t="shared" si="4"/>
        <v>0</v>
      </c>
      <c r="R42" s="460">
        <f t="shared" si="5"/>
        <v>459</v>
      </c>
    </row>
    <row r="43" spans="1:18">
      <c r="A43" s="329" t="s">
        <v>375</v>
      </c>
      <c r="B43" s="315" t="s">
        <v>401</v>
      </c>
      <c r="C43" s="333">
        <f t="shared" si="15"/>
        <v>381</v>
      </c>
      <c r="D43" s="333">
        <f t="shared" si="25"/>
        <v>370</v>
      </c>
      <c r="E43" s="333">
        <f t="shared" si="26"/>
        <v>11</v>
      </c>
      <c r="F43" s="34">
        <v>370</v>
      </c>
      <c r="G43" s="34">
        <v>11</v>
      </c>
      <c r="H43" s="34"/>
      <c r="I43" s="34"/>
      <c r="J43" s="327">
        <f t="shared" si="13"/>
        <v>381</v>
      </c>
      <c r="K43" s="34">
        <f t="shared" si="28"/>
        <v>370</v>
      </c>
      <c r="L43" s="34">
        <f t="shared" si="28"/>
        <v>11</v>
      </c>
      <c r="M43" s="390">
        <f t="shared" si="27"/>
        <v>1</v>
      </c>
      <c r="N43" s="594">
        <v>381</v>
      </c>
      <c r="O43" s="14"/>
      <c r="P43" s="37" t="s">
        <v>487</v>
      </c>
      <c r="Q43" s="26">
        <f t="shared" si="4"/>
        <v>0</v>
      </c>
      <c r="R43" s="460">
        <f t="shared" si="5"/>
        <v>381</v>
      </c>
    </row>
    <row r="44" spans="1:18">
      <c r="A44" s="329" t="s">
        <v>375</v>
      </c>
      <c r="B44" s="315" t="s">
        <v>402</v>
      </c>
      <c r="C44" s="333">
        <f t="shared" si="15"/>
        <v>78</v>
      </c>
      <c r="D44" s="333">
        <f t="shared" si="25"/>
        <v>76</v>
      </c>
      <c r="E44" s="333">
        <f t="shared" si="26"/>
        <v>2</v>
      </c>
      <c r="F44" s="34">
        <v>76</v>
      </c>
      <c r="G44" s="34">
        <v>2</v>
      </c>
      <c r="H44" s="34"/>
      <c r="I44" s="34"/>
      <c r="J44" s="328">
        <f t="shared" si="13"/>
        <v>78</v>
      </c>
      <c r="K44" s="34">
        <f t="shared" si="28"/>
        <v>76</v>
      </c>
      <c r="L44" s="34">
        <f t="shared" si="28"/>
        <v>2</v>
      </c>
      <c r="M44" s="390">
        <f t="shared" si="27"/>
        <v>1</v>
      </c>
      <c r="N44" s="594">
        <v>258</v>
      </c>
      <c r="O44" s="14"/>
      <c r="Q44" s="26">
        <f t="shared" si="4"/>
        <v>0</v>
      </c>
      <c r="R44" s="460">
        <f t="shared" si="5"/>
        <v>78</v>
      </c>
    </row>
    <row r="45" spans="1:18" s="33" customFormat="1">
      <c r="A45" s="323" t="s">
        <v>89</v>
      </c>
      <c r="B45" s="324" t="s">
        <v>403</v>
      </c>
      <c r="C45" s="332">
        <f t="shared" si="15"/>
        <v>1017</v>
      </c>
      <c r="D45" s="333">
        <f t="shared" si="25"/>
        <v>987</v>
      </c>
      <c r="E45" s="333">
        <f t="shared" si="26"/>
        <v>30</v>
      </c>
      <c r="F45" s="317">
        <f>F46+F47</f>
        <v>987</v>
      </c>
      <c r="G45" s="317">
        <f>G46+G47</f>
        <v>30</v>
      </c>
      <c r="H45" s="317"/>
      <c r="I45" s="317"/>
      <c r="J45" s="327">
        <f t="shared" si="13"/>
        <v>1017</v>
      </c>
      <c r="K45" s="34">
        <f t="shared" si="28"/>
        <v>987</v>
      </c>
      <c r="L45" s="34">
        <f t="shared" si="28"/>
        <v>30</v>
      </c>
      <c r="M45" s="390">
        <f t="shared" si="27"/>
        <v>1</v>
      </c>
      <c r="N45" s="593">
        <f>N46+N47</f>
        <v>516</v>
      </c>
      <c r="O45" s="467"/>
      <c r="P45" s="461"/>
      <c r="Q45" s="26">
        <f t="shared" si="4"/>
        <v>0</v>
      </c>
      <c r="R45" s="460">
        <f t="shared" si="5"/>
        <v>1017</v>
      </c>
    </row>
    <row r="46" spans="1:18">
      <c r="A46" s="329" t="s">
        <v>375</v>
      </c>
      <c r="B46" s="315" t="s">
        <v>404</v>
      </c>
      <c r="C46" s="333">
        <f t="shared" si="15"/>
        <v>665</v>
      </c>
      <c r="D46" s="333">
        <f t="shared" si="25"/>
        <v>645</v>
      </c>
      <c r="E46" s="333">
        <f t="shared" si="26"/>
        <v>20</v>
      </c>
      <c r="F46" s="34">
        <v>645</v>
      </c>
      <c r="G46" s="34">
        <v>20</v>
      </c>
      <c r="H46" s="34"/>
      <c r="I46" s="34"/>
      <c r="J46" s="328">
        <f t="shared" si="13"/>
        <v>665</v>
      </c>
      <c r="K46" s="34">
        <f t="shared" si="28"/>
        <v>645</v>
      </c>
      <c r="L46" s="34">
        <f t="shared" si="28"/>
        <v>20</v>
      </c>
      <c r="M46" s="390">
        <f t="shared" si="27"/>
        <v>1</v>
      </c>
      <c r="N46" s="594">
        <v>155</v>
      </c>
      <c r="O46" s="14"/>
      <c r="Q46" s="26">
        <f t="shared" si="4"/>
        <v>0</v>
      </c>
      <c r="R46" s="460">
        <f t="shared" si="5"/>
        <v>665</v>
      </c>
    </row>
    <row r="47" spans="1:18">
      <c r="A47" s="329" t="s">
        <v>375</v>
      </c>
      <c r="B47" s="315" t="s">
        <v>405</v>
      </c>
      <c r="C47" s="333">
        <f t="shared" si="15"/>
        <v>352</v>
      </c>
      <c r="D47" s="333">
        <f t="shared" si="25"/>
        <v>342</v>
      </c>
      <c r="E47" s="333">
        <f t="shared" si="26"/>
        <v>10</v>
      </c>
      <c r="F47" s="34">
        <v>342</v>
      </c>
      <c r="G47" s="34">
        <v>10</v>
      </c>
      <c r="H47" s="34"/>
      <c r="I47" s="34"/>
      <c r="J47" s="328">
        <f t="shared" si="13"/>
        <v>352</v>
      </c>
      <c r="K47" s="34">
        <f t="shared" si="28"/>
        <v>342</v>
      </c>
      <c r="L47" s="34">
        <f t="shared" si="28"/>
        <v>10</v>
      </c>
      <c r="M47" s="390">
        <f t="shared" si="27"/>
        <v>1</v>
      </c>
      <c r="N47" s="594">
        <v>361</v>
      </c>
      <c r="O47" s="14"/>
      <c r="Q47" s="26">
        <f t="shared" si="4"/>
        <v>0</v>
      </c>
      <c r="R47" s="460">
        <f t="shared" si="5"/>
        <v>352</v>
      </c>
    </row>
    <row r="48" spans="1:18" ht="16.2" thickBot="1">
      <c r="A48" s="612"/>
      <c r="B48" s="613"/>
      <c r="C48" s="627"/>
      <c r="D48" s="627"/>
      <c r="E48" s="627"/>
      <c r="F48" s="628"/>
      <c r="G48" s="628"/>
      <c r="H48" s="628"/>
      <c r="I48" s="628"/>
      <c r="J48" s="629"/>
      <c r="K48" s="628"/>
      <c r="L48" s="615"/>
      <c r="M48" s="630"/>
      <c r="N48" s="630"/>
      <c r="O48" s="602"/>
      <c r="Q48" s="26">
        <f t="shared" si="4"/>
        <v>0</v>
      </c>
    </row>
    <row r="49" spans="1:15" ht="16.2" thickTop="1"/>
    <row r="53" spans="1:15">
      <c r="A53" s="35"/>
    </row>
    <row r="54" spans="1:15">
      <c r="A54" s="35"/>
      <c r="B54" s="40"/>
      <c r="C54" s="337"/>
      <c r="D54" s="337"/>
      <c r="E54" s="337"/>
      <c r="F54" s="42"/>
      <c r="G54" s="42"/>
      <c r="H54" s="42"/>
      <c r="I54" s="42"/>
      <c r="J54" s="42"/>
      <c r="K54" s="42"/>
      <c r="L54" s="42"/>
      <c r="M54" s="42"/>
      <c r="N54" s="42"/>
      <c r="O54" s="43"/>
    </row>
    <row r="55" spans="1:15">
      <c r="A55" s="35"/>
      <c r="B55" s="40"/>
      <c r="C55" s="337"/>
      <c r="D55" s="337"/>
      <c r="E55" s="337"/>
      <c r="F55" s="42"/>
      <c r="G55" s="42"/>
      <c r="H55" s="42"/>
      <c r="I55" s="42"/>
      <c r="J55" s="42"/>
      <c r="K55" s="42"/>
      <c r="L55" s="42"/>
      <c r="M55" s="42"/>
      <c r="N55" s="42"/>
      <c r="O55" s="43"/>
    </row>
    <row r="56" spans="1:15">
      <c r="A56" s="35"/>
      <c r="B56" s="40"/>
      <c r="C56" s="337"/>
      <c r="D56" s="337"/>
      <c r="E56" s="337"/>
      <c r="F56" s="42"/>
      <c r="G56" s="42"/>
      <c r="H56" s="42"/>
      <c r="I56" s="42"/>
      <c r="J56" s="42"/>
      <c r="K56" s="42"/>
      <c r="L56" s="42"/>
      <c r="M56" s="42"/>
      <c r="N56" s="42"/>
      <c r="O56" s="43"/>
    </row>
    <row r="57" spans="1:15">
      <c r="A57" s="35"/>
      <c r="B57" s="40"/>
      <c r="C57" s="337"/>
      <c r="D57" s="337"/>
      <c r="E57" s="337"/>
      <c r="F57" s="42"/>
      <c r="G57" s="42"/>
      <c r="H57" s="42"/>
      <c r="I57" s="42"/>
      <c r="J57" s="42"/>
      <c r="K57" s="42"/>
      <c r="L57" s="42"/>
      <c r="M57" s="42"/>
      <c r="N57" s="42"/>
      <c r="O57" s="43"/>
    </row>
    <row r="58" spans="1:15">
      <c r="A58" s="35"/>
      <c r="B58" s="40"/>
      <c r="C58" s="337"/>
      <c r="D58" s="337"/>
      <c r="E58" s="337"/>
      <c r="F58" s="42"/>
      <c r="G58" s="42"/>
      <c r="H58" s="42"/>
      <c r="I58" s="42"/>
      <c r="J58" s="42"/>
      <c r="K58" s="42"/>
      <c r="L58" s="42"/>
      <c r="M58" s="42"/>
      <c r="N58" s="42"/>
      <c r="O58" s="43"/>
    </row>
    <row r="59" spans="1:15">
      <c r="A59" s="35"/>
      <c r="B59" s="40"/>
      <c r="C59" s="337"/>
      <c r="D59" s="337"/>
      <c r="E59" s="337"/>
      <c r="F59" s="42"/>
      <c r="G59" s="42"/>
      <c r="H59" s="42"/>
      <c r="I59" s="42"/>
      <c r="J59" s="42"/>
      <c r="K59" s="42"/>
      <c r="L59" s="42"/>
      <c r="M59" s="42"/>
      <c r="N59" s="42"/>
      <c r="O59" s="43"/>
    </row>
    <row r="60" spans="1:15">
      <c r="A60" s="35"/>
      <c r="B60" s="40"/>
      <c r="C60" s="337"/>
      <c r="D60" s="337"/>
      <c r="E60" s="337"/>
      <c r="F60" s="42"/>
      <c r="G60" s="42"/>
      <c r="H60" s="42"/>
      <c r="I60" s="42"/>
      <c r="J60" s="42"/>
      <c r="K60" s="42"/>
      <c r="L60" s="42"/>
      <c r="M60" s="42"/>
      <c r="N60" s="42"/>
      <c r="O60" s="43"/>
    </row>
    <row r="61" spans="1:15">
      <c r="A61" s="35"/>
      <c r="B61" s="40"/>
      <c r="C61" s="337"/>
      <c r="D61" s="337"/>
      <c r="E61" s="337"/>
      <c r="F61" s="42"/>
      <c r="G61" s="42"/>
      <c r="H61" s="42"/>
      <c r="I61" s="42"/>
      <c r="J61" s="42"/>
      <c r="K61" s="42"/>
      <c r="L61" s="42"/>
      <c r="M61" s="42"/>
      <c r="N61" s="42"/>
      <c r="O61" s="43"/>
    </row>
    <row r="62" spans="1:15">
      <c r="A62" s="35"/>
      <c r="B62" s="40"/>
      <c r="C62" s="337"/>
      <c r="D62" s="337"/>
      <c r="E62" s="337"/>
      <c r="F62" s="42"/>
      <c r="G62" s="42"/>
      <c r="H62" s="42"/>
      <c r="I62" s="42"/>
      <c r="J62" s="42"/>
      <c r="K62" s="42"/>
      <c r="L62" s="42"/>
      <c r="M62" s="42"/>
      <c r="N62" s="42"/>
      <c r="O62" s="43"/>
    </row>
    <row r="63" spans="1:15">
      <c r="B63" s="45"/>
      <c r="C63" s="338"/>
      <c r="D63" s="338"/>
      <c r="E63" s="338"/>
      <c r="F63" s="42"/>
      <c r="G63" s="42"/>
      <c r="H63" s="42"/>
      <c r="I63" s="42"/>
      <c r="J63" s="42"/>
      <c r="K63" s="42"/>
      <c r="L63" s="42"/>
      <c r="M63" s="42"/>
      <c r="N63" s="42"/>
      <c r="O63" s="43"/>
    </row>
    <row r="64" spans="1:15">
      <c r="B64" s="464"/>
      <c r="C64" s="339"/>
      <c r="D64" s="339"/>
      <c r="E64" s="339"/>
      <c r="F64" s="464"/>
      <c r="G64" s="464"/>
      <c r="H64" s="464"/>
      <c r="I64" s="464"/>
      <c r="J64" s="464"/>
      <c r="K64" s="464"/>
      <c r="L64" s="464"/>
      <c r="M64" s="464"/>
      <c r="N64" s="464"/>
    </row>
    <row r="65" spans="1:16">
      <c r="A65" s="47"/>
      <c r="O65" s="25"/>
    </row>
    <row r="66" spans="1:16">
      <c r="A66" s="47"/>
      <c r="B66" s="25"/>
      <c r="C66" s="340"/>
      <c r="D66" s="340"/>
      <c r="E66" s="340"/>
      <c r="F66" s="25"/>
      <c r="G66" s="25"/>
      <c r="H66" s="25"/>
      <c r="I66" s="25"/>
      <c r="J66" s="25"/>
      <c r="K66" s="25"/>
      <c r="L66" s="25"/>
      <c r="M66" s="25"/>
      <c r="N66" s="25"/>
      <c r="O66" s="25"/>
    </row>
    <row r="67" spans="1:16">
      <c r="A67" s="47"/>
      <c r="B67" s="25"/>
      <c r="C67" s="340"/>
      <c r="D67" s="340"/>
      <c r="E67" s="340"/>
      <c r="F67" s="25"/>
      <c r="G67" s="25"/>
      <c r="H67" s="25"/>
      <c r="I67" s="25"/>
      <c r="J67" s="25"/>
      <c r="K67" s="25"/>
      <c r="L67" s="25"/>
      <c r="M67" s="25"/>
      <c r="N67" s="25"/>
      <c r="O67" s="25"/>
    </row>
    <row r="68" spans="1:16">
      <c r="A68" s="47"/>
      <c r="B68" s="25"/>
      <c r="C68" s="340"/>
      <c r="D68" s="340"/>
      <c r="E68" s="340"/>
      <c r="F68" s="25"/>
      <c r="G68" s="25"/>
      <c r="H68" s="25"/>
      <c r="I68" s="25"/>
      <c r="J68" s="25"/>
      <c r="K68" s="25"/>
      <c r="L68" s="25"/>
      <c r="M68" s="25"/>
      <c r="N68" s="25"/>
      <c r="O68" s="25"/>
    </row>
    <row r="69" spans="1:16" s="39" customFormat="1">
      <c r="A69" s="47"/>
      <c r="B69" s="25"/>
      <c r="C69" s="340"/>
      <c r="D69" s="340"/>
      <c r="E69" s="340"/>
      <c r="F69" s="25"/>
      <c r="G69" s="25"/>
      <c r="H69" s="25"/>
      <c r="I69" s="25"/>
      <c r="J69" s="25"/>
      <c r="K69" s="25"/>
      <c r="L69" s="25"/>
      <c r="M69" s="25"/>
      <c r="N69" s="25"/>
      <c r="P69" s="37"/>
    </row>
    <row r="70" spans="1:16" s="39" customFormat="1">
      <c r="A70" s="47"/>
      <c r="B70" s="25"/>
      <c r="C70" s="340"/>
      <c r="D70" s="340"/>
      <c r="E70" s="340"/>
      <c r="F70" s="25"/>
      <c r="G70" s="25"/>
      <c r="H70" s="25"/>
      <c r="I70" s="25"/>
      <c r="J70" s="25"/>
      <c r="K70" s="25"/>
      <c r="L70" s="25"/>
      <c r="M70" s="25"/>
      <c r="N70" s="25"/>
      <c r="P70" s="37"/>
    </row>
    <row r="71" spans="1:16" s="39" customFormat="1">
      <c r="A71" s="47"/>
      <c r="B71" s="25"/>
      <c r="C71" s="340"/>
      <c r="D71" s="340"/>
      <c r="E71" s="340"/>
      <c r="F71" s="25"/>
      <c r="G71" s="25"/>
      <c r="H71" s="25"/>
      <c r="I71" s="25"/>
      <c r="J71" s="25"/>
      <c r="K71" s="25"/>
      <c r="L71" s="25"/>
      <c r="M71" s="25"/>
      <c r="N71" s="25"/>
      <c r="P71" s="37"/>
    </row>
    <row r="72" spans="1:16" s="39" customFormat="1">
      <c r="A72" s="47"/>
      <c r="B72" s="25"/>
      <c r="C72" s="340"/>
      <c r="D72" s="340"/>
      <c r="E72" s="340"/>
      <c r="F72" s="25"/>
      <c r="G72" s="25"/>
      <c r="H72" s="25"/>
      <c r="I72" s="25"/>
      <c r="J72" s="25"/>
      <c r="K72" s="25"/>
      <c r="L72" s="25"/>
      <c r="M72" s="25"/>
      <c r="N72" s="25"/>
      <c r="P72" s="37"/>
    </row>
    <row r="73" spans="1:16" s="39" customFormat="1">
      <c r="A73" s="47"/>
      <c r="B73" s="25"/>
      <c r="C73" s="340"/>
      <c r="D73" s="340"/>
      <c r="E73" s="340"/>
      <c r="F73" s="25"/>
      <c r="G73" s="25"/>
      <c r="H73" s="25"/>
      <c r="I73" s="25"/>
      <c r="J73" s="25"/>
      <c r="K73" s="25"/>
      <c r="L73" s="25"/>
      <c r="M73" s="25"/>
      <c r="N73" s="25"/>
      <c r="P73" s="37"/>
    </row>
    <row r="74" spans="1:16" s="39" customFormat="1">
      <c r="A74" s="47"/>
      <c r="B74" s="25"/>
      <c r="C74" s="340"/>
      <c r="D74" s="340"/>
      <c r="E74" s="340"/>
      <c r="F74" s="25"/>
      <c r="G74" s="25"/>
      <c r="H74" s="25"/>
      <c r="I74" s="25"/>
      <c r="J74" s="25"/>
      <c r="K74" s="25"/>
      <c r="L74" s="25"/>
      <c r="M74" s="25"/>
      <c r="N74" s="25"/>
      <c r="P74" s="37"/>
    </row>
    <row r="75" spans="1:16" s="39" customFormat="1">
      <c r="A75" s="47"/>
      <c r="B75" s="25"/>
      <c r="C75" s="340"/>
      <c r="D75" s="340"/>
      <c r="E75" s="340"/>
      <c r="F75" s="25"/>
      <c r="G75" s="25"/>
      <c r="H75" s="25"/>
      <c r="I75" s="25"/>
      <c r="J75" s="25"/>
      <c r="K75" s="25"/>
      <c r="L75" s="25"/>
      <c r="M75" s="25"/>
      <c r="N75" s="25"/>
      <c r="P75" s="37"/>
    </row>
    <row r="76" spans="1:16" s="39" customFormat="1">
      <c r="A76" s="47"/>
      <c r="B76" s="25"/>
      <c r="C76" s="340"/>
      <c r="D76" s="340"/>
      <c r="E76" s="340"/>
      <c r="F76" s="25"/>
      <c r="G76" s="25"/>
      <c r="H76" s="25"/>
      <c r="I76" s="25"/>
      <c r="J76" s="25"/>
      <c r="K76" s="25"/>
      <c r="L76" s="25"/>
      <c r="M76" s="25"/>
      <c r="N76" s="25"/>
      <c r="P76" s="37"/>
    </row>
    <row r="77" spans="1:16" s="39" customFormat="1">
      <c r="A77" s="47"/>
      <c r="B77" s="25"/>
      <c r="C77" s="340"/>
      <c r="D77" s="340"/>
      <c r="E77" s="340"/>
      <c r="F77" s="25"/>
      <c r="G77" s="25"/>
      <c r="H77" s="25"/>
      <c r="I77" s="25"/>
      <c r="J77" s="25"/>
      <c r="K77" s="25"/>
      <c r="L77" s="25"/>
      <c r="M77" s="25"/>
      <c r="N77" s="25"/>
      <c r="P77" s="37"/>
    </row>
    <row r="78" spans="1:16" s="39" customFormat="1">
      <c r="A78" s="47"/>
      <c r="B78" s="25"/>
      <c r="C78" s="340"/>
      <c r="D78" s="340"/>
      <c r="E78" s="340"/>
      <c r="F78" s="25"/>
      <c r="G78" s="25"/>
      <c r="H78" s="25"/>
      <c r="I78" s="25"/>
      <c r="J78" s="25"/>
      <c r="K78" s="25"/>
      <c r="L78" s="25"/>
      <c r="M78" s="25"/>
      <c r="N78" s="25"/>
      <c r="P78" s="37"/>
    </row>
    <row r="79" spans="1:16" s="39" customFormat="1">
      <c r="A79" s="47"/>
      <c r="B79" s="25"/>
      <c r="C79" s="340"/>
      <c r="D79" s="340"/>
      <c r="E79" s="340"/>
      <c r="F79" s="25"/>
      <c r="G79" s="25"/>
      <c r="H79" s="25"/>
      <c r="I79" s="25"/>
      <c r="J79" s="25"/>
      <c r="K79" s="25"/>
      <c r="L79" s="25"/>
      <c r="M79" s="25"/>
      <c r="N79" s="25"/>
      <c r="P79" s="37"/>
    </row>
    <row r="80" spans="1:16" s="39" customFormat="1">
      <c r="A80" s="47"/>
      <c r="B80" s="25"/>
      <c r="C80" s="340"/>
      <c r="D80" s="340"/>
      <c r="E80" s="340"/>
      <c r="F80" s="25"/>
      <c r="G80" s="25"/>
      <c r="H80" s="25"/>
      <c r="I80" s="25"/>
      <c r="J80" s="25"/>
      <c r="K80" s="25"/>
      <c r="L80" s="25"/>
      <c r="M80" s="25"/>
      <c r="N80" s="25"/>
      <c r="P80" s="37"/>
    </row>
    <row r="81" spans="1:16" s="39" customFormat="1">
      <c r="A81" s="47"/>
      <c r="B81" s="25"/>
      <c r="C81" s="340"/>
      <c r="D81" s="340"/>
      <c r="E81" s="340"/>
      <c r="F81" s="25"/>
      <c r="G81" s="25"/>
      <c r="H81" s="25"/>
      <c r="I81" s="25"/>
      <c r="J81" s="25"/>
      <c r="K81" s="25"/>
      <c r="L81" s="25"/>
      <c r="M81" s="25"/>
      <c r="N81" s="25"/>
      <c r="P81" s="37"/>
    </row>
    <row r="82" spans="1:16" s="39" customFormat="1">
      <c r="A82" s="47"/>
      <c r="B82" s="25"/>
      <c r="C82" s="340"/>
      <c r="D82" s="340"/>
      <c r="E82" s="340"/>
      <c r="F82" s="25"/>
      <c r="G82" s="25"/>
      <c r="H82" s="25"/>
      <c r="I82" s="25"/>
      <c r="J82" s="25"/>
      <c r="K82" s="25"/>
      <c r="L82" s="25"/>
      <c r="M82" s="25"/>
      <c r="N82" s="25"/>
      <c r="P82" s="37"/>
    </row>
    <row r="83" spans="1:16" s="39" customFormat="1">
      <c r="A83" s="47"/>
      <c r="B83" s="25"/>
      <c r="C83" s="340"/>
      <c r="D83" s="340"/>
      <c r="E83" s="340"/>
      <c r="F83" s="25"/>
      <c r="G83" s="25"/>
      <c r="H83" s="25"/>
      <c r="I83" s="25"/>
      <c r="J83" s="25"/>
      <c r="K83" s="25"/>
      <c r="L83" s="25"/>
      <c r="M83" s="25"/>
      <c r="N83" s="25"/>
      <c r="P83" s="37"/>
    </row>
    <row r="84" spans="1:16" s="39" customFormat="1">
      <c r="A84" s="47"/>
      <c r="B84" s="25"/>
      <c r="C84" s="340"/>
      <c r="D84" s="340"/>
      <c r="E84" s="340"/>
      <c r="F84" s="25"/>
      <c r="G84" s="25"/>
      <c r="H84" s="25"/>
      <c r="I84" s="25"/>
      <c r="J84" s="25"/>
      <c r="K84" s="25"/>
      <c r="L84" s="25"/>
      <c r="M84" s="25"/>
      <c r="N84" s="25"/>
      <c r="P84" s="37"/>
    </row>
    <row r="85" spans="1:16" s="39" customFormat="1">
      <c r="A85" s="47"/>
      <c r="B85" s="25"/>
      <c r="C85" s="340"/>
      <c r="D85" s="340"/>
      <c r="E85" s="340"/>
      <c r="F85" s="25"/>
      <c r="G85" s="25"/>
      <c r="H85" s="25"/>
      <c r="I85" s="25"/>
      <c r="J85" s="25"/>
      <c r="K85" s="25"/>
      <c r="L85" s="25"/>
      <c r="M85" s="25"/>
      <c r="N85" s="25"/>
      <c r="P85" s="37"/>
    </row>
    <row r="86" spans="1:16" s="39" customFormat="1">
      <c r="A86" s="47"/>
      <c r="B86" s="25"/>
      <c r="C86" s="340"/>
      <c r="D86" s="340"/>
      <c r="E86" s="340"/>
      <c r="F86" s="25"/>
      <c r="G86" s="25"/>
      <c r="H86" s="25"/>
      <c r="I86" s="25"/>
      <c r="J86" s="25"/>
      <c r="K86" s="25"/>
      <c r="L86" s="25"/>
      <c r="M86" s="25"/>
      <c r="N86" s="25"/>
      <c r="P86" s="37"/>
    </row>
    <row r="87" spans="1:16" s="39" customFormat="1">
      <c r="A87" s="47"/>
      <c r="B87" s="25"/>
      <c r="C87" s="340"/>
      <c r="D87" s="340"/>
      <c r="E87" s="340"/>
      <c r="F87" s="25"/>
      <c r="G87" s="25"/>
      <c r="H87" s="25"/>
      <c r="I87" s="25"/>
      <c r="J87" s="25"/>
      <c r="K87" s="25"/>
      <c r="L87" s="25"/>
      <c r="M87" s="25"/>
      <c r="N87" s="25"/>
      <c r="P87" s="37"/>
    </row>
    <row r="88" spans="1:16" s="39" customFormat="1">
      <c r="A88" s="47"/>
      <c r="B88" s="25"/>
      <c r="C88" s="340"/>
      <c r="D88" s="340"/>
      <c r="E88" s="340"/>
      <c r="F88" s="25"/>
      <c r="G88" s="25"/>
      <c r="H88" s="25"/>
      <c r="I88" s="25"/>
      <c r="J88" s="25"/>
      <c r="K88" s="25"/>
      <c r="L88" s="25"/>
      <c r="M88" s="25"/>
      <c r="N88" s="25"/>
      <c r="P88" s="37"/>
    </row>
    <row r="89" spans="1:16" s="39" customFormat="1">
      <c r="A89" s="47"/>
      <c r="B89" s="25"/>
      <c r="C89" s="340"/>
      <c r="D89" s="340"/>
      <c r="E89" s="340"/>
      <c r="F89" s="25"/>
      <c r="G89" s="25"/>
      <c r="H89" s="25"/>
      <c r="I89" s="25"/>
      <c r="J89" s="25"/>
      <c r="K89" s="25"/>
      <c r="L89" s="25"/>
      <c r="M89" s="25"/>
      <c r="N89" s="25"/>
      <c r="P89" s="37"/>
    </row>
    <row r="90" spans="1:16" s="39" customFormat="1">
      <c r="A90" s="47"/>
      <c r="B90" s="25"/>
      <c r="C90" s="340"/>
      <c r="D90" s="340"/>
      <c r="E90" s="340"/>
      <c r="F90" s="25"/>
      <c r="G90" s="25"/>
      <c r="H90" s="25"/>
      <c r="I90" s="25"/>
      <c r="J90" s="25"/>
      <c r="K90" s="25"/>
      <c r="L90" s="25"/>
      <c r="M90" s="25"/>
      <c r="N90" s="25"/>
      <c r="P90" s="37"/>
    </row>
    <row r="91" spans="1:16" s="39" customFormat="1">
      <c r="A91" s="47"/>
      <c r="B91" s="25"/>
      <c r="C91" s="340"/>
      <c r="D91" s="340"/>
      <c r="E91" s="340"/>
      <c r="F91" s="25"/>
      <c r="G91" s="25"/>
      <c r="H91" s="25"/>
      <c r="I91" s="25"/>
      <c r="J91" s="25"/>
      <c r="K91" s="25"/>
      <c r="L91" s="25"/>
      <c r="M91" s="25"/>
      <c r="N91" s="25"/>
      <c r="P91" s="37"/>
    </row>
    <row r="92" spans="1:16" s="39" customFormat="1">
      <c r="A92" s="47"/>
      <c r="B92" s="25"/>
      <c r="C92" s="340"/>
      <c r="D92" s="340"/>
      <c r="E92" s="340"/>
      <c r="F92" s="25"/>
      <c r="G92" s="25"/>
      <c r="H92" s="25"/>
      <c r="I92" s="25"/>
      <c r="J92" s="25"/>
      <c r="K92" s="25"/>
      <c r="L92" s="25"/>
      <c r="M92" s="25"/>
      <c r="N92" s="25"/>
      <c r="P92" s="37"/>
    </row>
    <row r="93" spans="1:16" s="39" customFormat="1">
      <c r="A93" s="47"/>
      <c r="B93" s="25"/>
      <c r="C93" s="340"/>
      <c r="D93" s="340"/>
      <c r="E93" s="340"/>
      <c r="F93" s="25"/>
      <c r="G93" s="25"/>
      <c r="H93" s="25"/>
      <c r="I93" s="25"/>
      <c r="J93" s="25"/>
      <c r="K93" s="25"/>
      <c r="L93" s="25"/>
      <c r="M93" s="25"/>
      <c r="N93" s="25"/>
      <c r="P93" s="37"/>
    </row>
    <row r="94" spans="1:16" s="39" customFormat="1">
      <c r="A94" s="47"/>
      <c r="B94" s="25"/>
      <c r="C94" s="340"/>
      <c r="D94" s="340"/>
      <c r="E94" s="340"/>
      <c r="F94" s="25"/>
      <c r="G94" s="25"/>
      <c r="H94" s="25"/>
      <c r="I94" s="25"/>
      <c r="J94" s="25"/>
      <c r="K94" s="25"/>
      <c r="L94" s="25"/>
      <c r="M94" s="25"/>
      <c r="N94" s="25"/>
      <c r="P94" s="37"/>
    </row>
    <row r="95" spans="1:16" s="39" customFormat="1">
      <c r="A95" s="47"/>
      <c r="B95" s="25"/>
      <c r="C95" s="340"/>
      <c r="D95" s="340"/>
      <c r="E95" s="340"/>
      <c r="F95" s="25"/>
      <c r="G95" s="25"/>
      <c r="H95" s="25"/>
      <c r="I95" s="25"/>
      <c r="J95" s="25"/>
      <c r="K95" s="25"/>
      <c r="L95" s="25"/>
      <c r="M95" s="25"/>
      <c r="N95" s="25"/>
      <c r="P95" s="37"/>
    </row>
    <row r="96" spans="1:16" s="39" customFormat="1">
      <c r="A96" s="47"/>
      <c r="B96" s="25"/>
      <c r="C96" s="340"/>
      <c r="D96" s="340"/>
      <c r="E96" s="340"/>
      <c r="F96" s="25"/>
      <c r="G96" s="25"/>
      <c r="H96" s="25"/>
      <c r="I96" s="25"/>
      <c r="J96" s="25"/>
      <c r="K96" s="25"/>
      <c r="L96" s="25"/>
      <c r="M96" s="25"/>
      <c r="N96" s="25"/>
      <c r="P96" s="37"/>
    </row>
    <row r="97" spans="1:16" s="39" customFormat="1">
      <c r="A97" s="47"/>
      <c r="B97" s="25"/>
      <c r="C97" s="340"/>
      <c r="D97" s="340"/>
      <c r="E97" s="340"/>
      <c r="F97" s="25"/>
      <c r="G97" s="25"/>
      <c r="H97" s="25"/>
      <c r="I97" s="25"/>
      <c r="J97" s="25"/>
      <c r="K97" s="25"/>
      <c r="L97" s="25"/>
      <c r="M97" s="25"/>
      <c r="N97" s="25"/>
      <c r="P97" s="37"/>
    </row>
    <row r="98" spans="1:16" s="39" customFormat="1">
      <c r="A98" s="47"/>
      <c r="B98" s="25"/>
      <c r="C98" s="340"/>
      <c r="D98" s="340"/>
      <c r="E98" s="340"/>
      <c r="F98" s="25"/>
      <c r="G98" s="25"/>
      <c r="H98" s="25"/>
      <c r="I98" s="25"/>
      <c r="J98" s="25"/>
      <c r="K98" s="25"/>
      <c r="L98" s="25"/>
      <c r="M98" s="25"/>
      <c r="N98" s="25"/>
      <c r="P98" s="37"/>
    </row>
    <row r="99" spans="1:16" s="39" customFormat="1">
      <c r="A99" s="47"/>
      <c r="B99" s="25"/>
      <c r="C99" s="340"/>
      <c r="D99" s="340"/>
      <c r="E99" s="340"/>
      <c r="F99" s="25"/>
      <c r="G99" s="25"/>
      <c r="H99" s="25"/>
      <c r="I99" s="25"/>
      <c r="J99" s="25"/>
      <c r="K99" s="25"/>
      <c r="L99" s="25"/>
      <c r="M99" s="25"/>
      <c r="N99" s="25"/>
      <c r="P99" s="37"/>
    </row>
    <row r="100" spans="1:16" s="39" customFormat="1">
      <c r="A100" s="47"/>
      <c r="B100" s="25"/>
      <c r="C100" s="340"/>
      <c r="D100" s="340"/>
      <c r="E100" s="340"/>
      <c r="F100" s="25"/>
      <c r="G100" s="25"/>
      <c r="H100" s="25"/>
      <c r="I100" s="25"/>
      <c r="J100" s="25"/>
      <c r="K100" s="25"/>
      <c r="L100" s="25"/>
      <c r="M100" s="25"/>
      <c r="N100" s="25"/>
      <c r="P100" s="37"/>
    </row>
    <row r="101" spans="1:16" s="39" customFormat="1">
      <c r="A101" s="47"/>
      <c r="B101" s="25"/>
      <c r="C101" s="340"/>
      <c r="D101" s="340"/>
      <c r="E101" s="340"/>
      <c r="F101" s="25"/>
      <c r="G101" s="25"/>
      <c r="H101" s="25"/>
      <c r="I101" s="25"/>
      <c r="J101" s="25"/>
      <c r="K101" s="25"/>
      <c r="L101" s="25"/>
      <c r="M101" s="25"/>
      <c r="N101" s="25"/>
      <c r="P101" s="37"/>
    </row>
    <row r="102" spans="1:16" s="39" customFormat="1">
      <c r="A102" s="47"/>
      <c r="B102" s="25"/>
      <c r="C102" s="340"/>
      <c r="D102" s="340"/>
      <c r="E102" s="340"/>
      <c r="F102" s="25"/>
      <c r="G102" s="25"/>
      <c r="H102" s="25"/>
      <c r="I102" s="25"/>
      <c r="J102" s="25"/>
      <c r="K102" s="25"/>
      <c r="L102" s="25"/>
      <c r="M102" s="25"/>
      <c r="N102" s="25"/>
      <c r="P102" s="37"/>
    </row>
    <row r="103" spans="1:16" s="39" customFormat="1">
      <c r="A103" s="47"/>
      <c r="B103" s="25"/>
      <c r="C103" s="340"/>
      <c r="D103" s="340"/>
      <c r="E103" s="340"/>
      <c r="F103" s="25"/>
      <c r="G103" s="25"/>
      <c r="H103" s="25"/>
      <c r="I103" s="25"/>
      <c r="J103" s="25"/>
      <c r="K103" s="25"/>
      <c r="L103" s="25"/>
      <c r="M103" s="25"/>
      <c r="N103" s="25"/>
      <c r="P103" s="37"/>
    </row>
    <row r="104" spans="1:16" s="39" customFormat="1">
      <c r="A104" s="47"/>
      <c r="B104" s="25"/>
      <c r="C104" s="340"/>
      <c r="D104" s="340"/>
      <c r="E104" s="340"/>
      <c r="F104" s="25"/>
      <c r="G104" s="25"/>
      <c r="H104" s="25"/>
      <c r="I104" s="25"/>
      <c r="J104" s="25"/>
      <c r="K104" s="25"/>
      <c r="L104" s="25"/>
      <c r="M104" s="25"/>
      <c r="N104" s="25"/>
      <c r="P104" s="37"/>
    </row>
    <row r="105" spans="1:16" s="39" customFormat="1">
      <c r="A105" s="47"/>
      <c r="B105" s="25"/>
      <c r="C105" s="340"/>
      <c r="D105" s="340"/>
      <c r="E105" s="340"/>
      <c r="F105" s="25"/>
      <c r="G105" s="25"/>
      <c r="H105" s="25"/>
      <c r="I105" s="25"/>
      <c r="J105" s="25"/>
      <c r="K105" s="25"/>
      <c r="L105" s="25"/>
      <c r="M105" s="25"/>
      <c r="N105" s="25"/>
      <c r="P105" s="37"/>
    </row>
    <row r="106" spans="1:16" s="39" customFormat="1">
      <c r="A106" s="47"/>
      <c r="B106" s="25"/>
      <c r="C106" s="340"/>
      <c r="D106" s="340"/>
      <c r="E106" s="340"/>
      <c r="F106" s="25"/>
      <c r="G106" s="25"/>
      <c r="H106" s="25"/>
      <c r="I106" s="25"/>
      <c r="J106" s="25"/>
      <c r="K106" s="25"/>
      <c r="L106" s="25"/>
      <c r="M106" s="25"/>
      <c r="N106" s="25"/>
      <c r="P106" s="37"/>
    </row>
    <row r="107" spans="1:16" s="39" customFormat="1">
      <c r="A107" s="47"/>
      <c r="B107" s="25"/>
      <c r="C107" s="340"/>
      <c r="D107" s="340"/>
      <c r="E107" s="340"/>
      <c r="F107" s="25"/>
      <c r="G107" s="25"/>
      <c r="H107" s="25"/>
      <c r="I107" s="25"/>
      <c r="J107" s="25"/>
      <c r="K107" s="25"/>
      <c r="L107" s="25"/>
      <c r="M107" s="25"/>
      <c r="N107" s="25"/>
      <c r="P107" s="37"/>
    </row>
    <row r="108" spans="1:16" s="39" customFormat="1">
      <c r="A108" s="47"/>
      <c r="B108" s="25"/>
      <c r="C108" s="340"/>
      <c r="D108" s="340"/>
      <c r="E108" s="340"/>
      <c r="F108" s="25"/>
      <c r="G108" s="25"/>
      <c r="H108" s="25"/>
      <c r="I108" s="25"/>
      <c r="J108" s="25"/>
      <c r="K108" s="25"/>
      <c r="L108" s="25"/>
      <c r="M108" s="25"/>
      <c r="N108" s="25"/>
      <c r="P108" s="37"/>
    </row>
    <row r="109" spans="1:16" s="39" customFormat="1">
      <c r="A109" s="47"/>
      <c r="B109" s="25"/>
      <c r="C109" s="340"/>
      <c r="D109" s="340"/>
      <c r="E109" s="340"/>
      <c r="F109" s="25"/>
      <c r="G109" s="25"/>
      <c r="H109" s="25"/>
      <c r="I109" s="25"/>
      <c r="J109" s="25"/>
      <c r="K109" s="25"/>
      <c r="L109" s="25"/>
      <c r="M109" s="25"/>
      <c r="N109" s="25"/>
      <c r="P109" s="37"/>
    </row>
    <row r="110" spans="1:16" s="39" customFormat="1">
      <c r="A110" s="47"/>
      <c r="B110" s="25"/>
      <c r="C110" s="340"/>
      <c r="D110" s="340"/>
      <c r="E110" s="340"/>
      <c r="F110" s="25"/>
      <c r="G110" s="25"/>
      <c r="H110" s="25"/>
      <c r="I110" s="25"/>
      <c r="J110" s="25"/>
      <c r="K110" s="25"/>
      <c r="L110" s="25"/>
      <c r="M110" s="25"/>
      <c r="N110" s="25"/>
      <c r="P110" s="37"/>
    </row>
    <row r="111" spans="1:16" s="39" customFormat="1">
      <c r="A111" s="47"/>
      <c r="B111" s="25"/>
      <c r="C111" s="340"/>
      <c r="D111" s="340"/>
      <c r="E111" s="340"/>
      <c r="F111" s="25"/>
      <c r="G111" s="25"/>
      <c r="H111" s="25"/>
      <c r="I111" s="25"/>
      <c r="J111" s="25"/>
      <c r="K111" s="25"/>
      <c r="L111" s="25"/>
      <c r="M111" s="25"/>
      <c r="N111" s="25"/>
      <c r="P111" s="37"/>
    </row>
    <row r="112" spans="1:16" s="39" customFormat="1">
      <c r="A112" s="47"/>
      <c r="B112" s="25"/>
      <c r="C112" s="340"/>
      <c r="D112" s="340"/>
      <c r="E112" s="340"/>
      <c r="F112" s="25"/>
      <c r="G112" s="25"/>
      <c r="H112" s="25"/>
      <c r="I112" s="25"/>
      <c r="J112" s="25"/>
      <c r="K112" s="25"/>
      <c r="L112" s="25"/>
      <c r="M112" s="25"/>
      <c r="N112" s="25"/>
      <c r="P112" s="37"/>
    </row>
    <row r="113" spans="1:16" s="39" customFormat="1">
      <c r="A113" s="47"/>
      <c r="B113" s="25"/>
      <c r="C113" s="340"/>
      <c r="D113" s="340"/>
      <c r="E113" s="340"/>
      <c r="F113" s="25"/>
      <c r="G113" s="25"/>
      <c r="H113" s="25"/>
      <c r="I113" s="25"/>
      <c r="J113" s="25"/>
      <c r="K113" s="25"/>
      <c r="L113" s="25"/>
      <c r="M113" s="25"/>
      <c r="N113" s="25"/>
      <c r="P113" s="37"/>
    </row>
    <row r="114" spans="1:16" s="39" customFormat="1">
      <c r="A114" s="47"/>
      <c r="B114" s="25"/>
      <c r="C114" s="340"/>
      <c r="D114" s="340"/>
      <c r="E114" s="340"/>
      <c r="F114" s="25"/>
      <c r="G114" s="25"/>
      <c r="H114" s="25"/>
      <c r="I114" s="25"/>
      <c r="J114" s="25"/>
      <c r="K114" s="25"/>
      <c r="L114" s="25"/>
      <c r="M114" s="25"/>
      <c r="N114" s="25"/>
      <c r="P114" s="37"/>
    </row>
    <row r="115" spans="1:16" s="39" customFormat="1">
      <c r="A115" s="47"/>
      <c r="B115" s="25"/>
      <c r="C115" s="340"/>
      <c r="D115" s="340"/>
      <c r="E115" s="340"/>
      <c r="F115" s="25"/>
      <c r="G115" s="25"/>
      <c r="H115" s="25"/>
      <c r="I115" s="25"/>
      <c r="J115" s="25"/>
      <c r="K115" s="25"/>
      <c r="L115" s="25"/>
      <c r="M115" s="25"/>
      <c r="N115" s="25"/>
      <c r="P115" s="37"/>
    </row>
    <row r="116" spans="1:16" s="39" customFormat="1">
      <c r="A116" s="47"/>
      <c r="B116" s="25"/>
      <c r="C116" s="340"/>
      <c r="D116" s="340"/>
      <c r="E116" s="340"/>
      <c r="F116" s="25"/>
      <c r="G116" s="25"/>
      <c r="H116" s="25"/>
      <c r="I116" s="25"/>
      <c r="J116" s="25"/>
      <c r="K116" s="25"/>
      <c r="L116" s="25"/>
      <c r="M116" s="25"/>
      <c r="N116" s="25"/>
      <c r="P116" s="37"/>
    </row>
    <row r="117" spans="1:16" s="39" customFormat="1">
      <c r="A117" s="47"/>
      <c r="B117" s="25"/>
      <c r="C117" s="340"/>
      <c r="D117" s="340"/>
      <c r="E117" s="340"/>
      <c r="F117" s="25"/>
      <c r="G117" s="25"/>
      <c r="H117" s="25"/>
      <c r="I117" s="25"/>
      <c r="J117" s="25"/>
      <c r="K117" s="25"/>
      <c r="L117" s="25"/>
      <c r="M117" s="25"/>
      <c r="N117" s="25"/>
      <c r="P117" s="37"/>
    </row>
    <row r="118" spans="1:16" s="39" customFormat="1">
      <c r="A118" s="47"/>
      <c r="B118" s="25"/>
      <c r="C118" s="340"/>
      <c r="D118" s="340"/>
      <c r="E118" s="340"/>
      <c r="F118" s="25"/>
      <c r="G118" s="25"/>
      <c r="H118" s="25"/>
      <c r="I118" s="25"/>
      <c r="J118" s="25"/>
      <c r="K118" s="25"/>
      <c r="L118" s="25"/>
      <c r="M118" s="25"/>
      <c r="N118" s="25"/>
      <c r="P118" s="37"/>
    </row>
    <row r="119" spans="1:16" s="39" customFormat="1">
      <c r="A119" s="47"/>
      <c r="B119" s="25"/>
      <c r="C119" s="340"/>
      <c r="D119" s="340"/>
      <c r="E119" s="340"/>
      <c r="F119" s="25"/>
      <c r="G119" s="25"/>
      <c r="H119" s="25"/>
      <c r="I119" s="25"/>
      <c r="J119" s="25"/>
      <c r="K119" s="25"/>
      <c r="L119" s="25"/>
      <c r="M119" s="25"/>
      <c r="N119" s="25"/>
      <c r="P119" s="37"/>
    </row>
    <row r="120" spans="1:16" s="39" customFormat="1">
      <c r="A120" s="47"/>
      <c r="B120" s="25"/>
      <c r="C120" s="340"/>
      <c r="D120" s="340"/>
      <c r="E120" s="340"/>
      <c r="F120" s="25"/>
      <c r="G120" s="25"/>
      <c r="H120" s="25"/>
      <c r="I120" s="25"/>
      <c r="J120" s="25"/>
      <c r="K120" s="25"/>
      <c r="L120" s="25"/>
      <c r="M120" s="25"/>
      <c r="N120" s="25"/>
      <c r="P120" s="37"/>
    </row>
    <row r="121" spans="1:16" s="39" customFormat="1">
      <c r="A121" s="47"/>
      <c r="B121" s="25"/>
      <c r="C121" s="340"/>
      <c r="D121" s="340"/>
      <c r="E121" s="340"/>
      <c r="F121" s="25"/>
      <c r="G121" s="25"/>
      <c r="H121" s="25"/>
      <c r="I121" s="25"/>
      <c r="J121" s="25"/>
      <c r="K121" s="25"/>
      <c r="L121" s="25"/>
      <c r="M121" s="25"/>
      <c r="N121" s="25"/>
      <c r="P121" s="37"/>
    </row>
    <row r="122" spans="1:16" s="39" customFormat="1">
      <c r="A122" s="47"/>
      <c r="B122" s="25"/>
      <c r="C122" s="340"/>
      <c r="D122" s="340"/>
      <c r="E122" s="340"/>
      <c r="F122" s="25"/>
      <c r="G122" s="25"/>
      <c r="H122" s="25"/>
      <c r="I122" s="25"/>
      <c r="J122" s="25"/>
      <c r="K122" s="25"/>
      <c r="L122" s="25"/>
      <c r="M122" s="25"/>
      <c r="N122" s="25"/>
      <c r="P122" s="37"/>
    </row>
    <row r="123" spans="1:16" s="39" customFormat="1">
      <c r="A123" s="47"/>
      <c r="B123" s="25"/>
      <c r="C123" s="340"/>
      <c r="D123" s="340"/>
      <c r="E123" s="340"/>
      <c r="F123" s="25"/>
      <c r="G123" s="25"/>
      <c r="H123" s="25"/>
      <c r="I123" s="25"/>
      <c r="J123" s="25"/>
      <c r="K123" s="25"/>
      <c r="L123" s="25"/>
      <c r="M123" s="25"/>
      <c r="N123" s="25"/>
      <c r="P123" s="37"/>
    </row>
    <row r="124" spans="1:16" s="39" customFormat="1">
      <c r="A124" s="47"/>
      <c r="B124" s="25"/>
      <c r="C124" s="340"/>
      <c r="D124" s="340"/>
      <c r="E124" s="340"/>
      <c r="F124" s="25"/>
      <c r="G124" s="25"/>
      <c r="H124" s="25"/>
      <c r="I124" s="25"/>
      <c r="J124" s="25"/>
      <c r="K124" s="25"/>
      <c r="L124" s="25"/>
      <c r="M124" s="25"/>
      <c r="N124" s="25"/>
      <c r="P124" s="37"/>
    </row>
    <row r="125" spans="1:16" s="39" customFormat="1">
      <c r="A125" s="47"/>
      <c r="B125" s="25"/>
      <c r="C125" s="340"/>
      <c r="D125" s="340"/>
      <c r="E125" s="340"/>
      <c r="F125" s="25"/>
      <c r="G125" s="25"/>
      <c r="H125" s="25"/>
      <c r="I125" s="25"/>
      <c r="J125" s="25"/>
      <c r="K125" s="25"/>
      <c r="L125" s="25"/>
      <c r="M125" s="25"/>
      <c r="N125" s="25"/>
      <c r="P125" s="37"/>
    </row>
    <row r="126" spans="1:16" s="39" customFormat="1">
      <c r="A126" s="47"/>
      <c r="B126" s="25"/>
      <c r="C126" s="340"/>
      <c r="D126" s="340"/>
      <c r="E126" s="340"/>
      <c r="F126" s="25"/>
      <c r="G126" s="25"/>
      <c r="H126" s="25"/>
      <c r="I126" s="25"/>
      <c r="J126" s="25"/>
      <c r="K126" s="25"/>
      <c r="L126" s="25"/>
      <c r="M126" s="25"/>
      <c r="N126" s="25"/>
      <c r="P126" s="37"/>
    </row>
    <row r="127" spans="1:16" s="39" customFormat="1">
      <c r="A127" s="47"/>
      <c r="B127" s="25"/>
      <c r="C127" s="340"/>
      <c r="D127" s="340"/>
      <c r="E127" s="340"/>
      <c r="F127" s="25"/>
      <c r="G127" s="25"/>
      <c r="H127" s="25"/>
      <c r="I127" s="25"/>
      <c r="J127" s="25"/>
      <c r="K127" s="25"/>
      <c r="L127" s="25"/>
      <c r="M127" s="25"/>
      <c r="N127" s="25"/>
      <c r="P127" s="37"/>
    </row>
    <row r="128" spans="1:16" s="39" customFormat="1">
      <c r="A128" s="47"/>
      <c r="B128" s="25"/>
      <c r="C128" s="340"/>
      <c r="D128" s="340"/>
      <c r="E128" s="340"/>
      <c r="F128" s="25"/>
      <c r="G128" s="25"/>
      <c r="H128" s="25"/>
      <c r="I128" s="25"/>
      <c r="J128" s="25"/>
      <c r="K128" s="25"/>
      <c r="L128" s="25"/>
      <c r="M128" s="25"/>
      <c r="N128" s="25"/>
      <c r="P128" s="37"/>
    </row>
    <row r="129" spans="1:16" s="39" customFormat="1">
      <c r="A129" s="47"/>
      <c r="B129" s="25"/>
      <c r="C129" s="340"/>
      <c r="D129" s="340"/>
      <c r="E129" s="340"/>
      <c r="F129" s="25"/>
      <c r="G129" s="25"/>
      <c r="H129" s="25"/>
      <c r="I129" s="25"/>
      <c r="J129" s="25"/>
      <c r="K129" s="25"/>
      <c r="L129" s="25"/>
      <c r="M129" s="25"/>
      <c r="N129" s="25"/>
      <c r="P129" s="37"/>
    </row>
    <row r="130" spans="1:16" s="39" customFormat="1">
      <c r="A130" s="47"/>
      <c r="B130" s="25"/>
      <c r="C130" s="340"/>
      <c r="D130" s="340"/>
      <c r="E130" s="340"/>
      <c r="F130" s="25"/>
      <c r="G130" s="25"/>
      <c r="H130" s="25"/>
      <c r="I130" s="25"/>
      <c r="J130" s="25"/>
      <c r="K130" s="25"/>
      <c r="L130" s="25"/>
      <c r="M130" s="25"/>
      <c r="N130" s="25"/>
      <c r="P130" s="37"/>
    </row>
    <row r="131" spans="1:16" s="39" customFormat="1">
      <c r="A131" s="47"/>
      <c r="B131" s="25"/>
      <c r="C131" s="340"/>
      <c r="D131" s="340"/>
      <c r="E131" s="340"/>
      <c r="F131" s="25"/>
      <c r="G131" s="25"/>
      <c r="H131" s="25"/>
      <c r="I131" s="25"/>
      <c r="J131" s="25"/>
      <c r="K131" s="25"/>
      <c r="L131" s="25"/>
      <c r="M131" s="25"/>
      <c r="N131" s="25"/>
      <c r="P131" s="37"/>
    </row>
    <row r="132" spans="1:16" s="39" customFormat="1">
      <c r="A132" s="47"/>
      <c r="B132" s="25"/>
      <c r="C132" s="340"/>
      <c r="D132" s="340"/>
      <c r="E132" s="340"/>
      <c r="F132" s="25"/>
      <c r="G132" s="25"/>
      <c r="H132" s="25"/>
      <c r="I132" s="25"/>
      <c r="J132" s="25"/>
      <c r="K132" s="25"/>
      <c r="L132" s="25"/>
      <c r="M132" s="25"/>
      <c r="N132" s="25"/>
      <c r="P132" s="37"/>
    </row>
    <row r="133" spans="1:16" s="39" customFormat="1">
      <c r="A133" s="47"/>
      <c r="B133" s="25"/>
      <c r="C133" s="340"/>
      <c r="D133" s="340"/>
      <c r="E133" s="340"/>
      <c r="F133" s="25"/>
      <c r="G133" s="25"/>
      <c r="H133" s="25"/>
      <c r="I133" s="25"/>
      <c r="J133" s="25"/>
      <c r="K133" s="25"/>
      <c r="L133" s="25"/>
      <c r="M133" s="25"/>
      <c r="N133" s="25"/>
      <c r="P133" s="37"/>
    </row>
    <row r="134" spans="1:16" s="39" customFormat="1">
      <c r="A134" s="47"/>
      <c r="B134" s="25"/>
      <c r="C134" s="340"/>
      <c r="D134" s="340"/>
      <c r="E134" s="340"/>
      <c r="F134" s="25"/>
      <c r="G134" s="25"/>
      <c r="H134" s="25"/>
      <c r="I134" s="25"/>
      <c r="J134" s="25"/>
      <c r="K134" s="25"/>
      <c r="L134" s="25"/>
      <c r="M134" s="25"/>
      <c r="N134" s="25"/>
      <c r="P134" s="37"/>
    </row>
    <row r="135" spans="1:16" s="39" customFormat="1">
      <c r="A135" s="47"/>
      <c r="B135" s="25"/>
      <c r="C135" s="340"/>
      <c r="D135" s="340"/>
      <c r="E135" s="340"/>
      <c r="F135" s="25"/>
      <c r="G135" s="25"/>
      <c r="H135" s="25"/>
      <c r="I135" s="25"/>
      <c r="J135" s="25"/>
      <c r="K135" s="25"/>
      <c r="L135" s="25"/>
      <c r="M135" s="25"/>
      <c r="N135" s="25"/>
      <c r="P135" s="37"/>
    </row>
    <row r="136" spans="1:16" s="39" customFormat="1">
      <c r="A136" s="47"/>
      <c r="B136" s="25"/>
      <c r="C136" s="340"/>
      <c r="D136" s="340"/>
      <c r="E136" s="340"/>
      <c r="F136" s="25"/>
      <c r="G136" s="25"/>
      <c r="H136" s="25"/>
      <c r="I136" s="25"/>
      <c r="J136" s="25"/>
      <c r="K136" s="25"/>
      <c r="L136" s="25"/>
      <c r="M136" s="25"/>
      <c r="N136" s="25"/>
      <c r="P136" s="37"/>
    </row>
    <row r="137" spans="1:16" s="39" customFormat="1">
      <c r="A137" s="47"/>
      <c r="B137" s="25"/>
      <c r="C137" s="340"/>
      <c r="D137" s="340"/>
      <c r="E137" s="340"/>
      <c r="F137" s="25"/>
      <c r="G137" s="25"/>
      <c r="H137" s="25"/>
      <c r="I137" s="25"/>
      <c r="J137" s="25"/>
      <c r="K137" s="25"/>
      <c r="L137" s="25"/>
      <c r="M137" s="25"/>
      <c r="N137" s="25"/>
      <c r="P137" s="37"/>
    </row>
    <row r="138" spans="1:16" s="39" customFormat="1">
      <c r="A138" s="47"/>
      <c r="B138" s="25"/>
      <c r="C138" s="340"/>
      <c r="D138" s="340"/>
      <c r="E138" s="340"/>
      <c r="F138" s="25"/>
      <c r="G138" s="25"/>
      <c r="H138" s="25"/>
      <c r="I138" s="25"/>
      <c r="J138" s="25"/>
      <c r="K138" s="25"/>
      <c r="L138" s="25"/>
      <c r="M138" s="25"/>
      <c r="N138" s="25"/>
      <c r="P138" s="37"/>
    </row>
    <row r="139" spans="1:16" s="39" customFormat="1">
      <c r="A139" s="47"/>
      <c r="B139" s="25"/>
      <c r="C139" s="340"/>
      <c r="D139" s="340"/>
      <c r="E139" s="340"/>
      <c r="F139" s="25"/>
      <c r="G139" s="25"/>
      <c r="H139" s="25"/>
      <c r="I139" s="25"/>
      <c r="J139" s="25"/>
      <c r="K139" s="25"/>
      <c r="L139" s="25"/>
      <c r="M139" s="25"/>
      <c r="N139" s="25"/>
      <c r="P139" s="37"/>
    </row>
    <row r="140" spans="1:16" s="39" customFormat="1">
      <c r="A140" s="47"/>
      <c r="B140" s="25"/>
      <c r="C140" s="340"/>
      <c r="D140" s="340"/>
      <c r="E140" s="340"/>
      <c r="F140" s="25"/>
      <c r="G140" s="25"/>
      <c r="H140" s="25"/>
      <c r="I140" s="25"/>
      <c r="J140" s="25"/>
      <c r="K140" s="25"/>
      <c r="L140" s="25"/>
      <c r="M140" s="25"/>
      <c r="N140" s="25"/>
      <c r="P140" s="37"/>
    </row>
    <row r="141" spans="1:16" s="39" customFormat="1">
      <c r="A141" s="47"/>
      <c r="B141" s="25"/>
      <c r="C141" s="340"/>
      <c r="D141" s="340"/>
      <c r="E141" s="340"/>
      <c r="F141" s="25"/>
      <c r="G141" s="25"/>
      <c r="H141" s="25"/>
      <c r="I141" s="25"/>
      <c r="J141" s="25"/>
      <c r="K141" s="25"/>
      <c r="L141" s="25"/>
      <c r="M141" s="25"/>
      <c r="N141" s="25"/>
      <c r="P141" s="37"/>
    </row>
    <row r="142" spans="1:16" s="39" customFormat="1">
      <c r="A142" s="47"/>
      <c r="B142" s="25"/>
      <c r="C142" s="340"/>
      <c r="D142" s="340"/>
      <c r="E142" s="340"/>
      <c r="F142" s="25"/>
      <c r="G142" s="25"/>
      <c r="H142" s="25"/>
      <c r="I142" s="25"/>
      <c r="J142" s="25"/>
      <c r="K142" s="25"/>
      <c r="L142" s="25"/>
      <c r="M142" s="25"/>
      <c r="N142" s="25"/>
      <c r="P142" s="37"/>
    </row>
    <row r="143" spans="1:16" s="39" customFormat="1">
      <c r="A143" s="47"/>
      <c r="B143" s="25"/>
      <c r="C143" s="340"/>
      <c r="D143" s="340"/>
      <c r="E143" s="340"/>
      <c r="F143" s="25"/>
      <c r="G143" s="25"/>
      <c r="H143" s="25"/>
      <c r="I143" s="25"/>
      <c r="J143" s="25"/>
      <c r="K143" s="25"/>
      <c r="L143" s="25"/>
      <c r="M143" s="25"/>
      <c r="N143" s="25"/>
      <c r="P143" s="37"/>
    </row>
    <row r="144" spans="1:16" s="39" customFormat="1">
      <c r="A144" s="47"/>
      <c r="B144" s="25"/>
      <c r="C144" s="340"/>
      <c r="D144" s="340"/>
      <c r="E144" s="340"/>
      <c r="F144" s="25"/>
      <c r="G144" s="25"/>
      <c r="H144" s="25"/>
      <c r="I144" s="25"/>
      <c r="J144" s="25"/>
      <c r="K144" s="25"/>
      <c r="L144" s="25"/>
      <c r="M144" s="25"/>
      <c r="N144" s="25"/>
      <c r="P144" s="37"/>
    </row>
    <row r="145" spans="1:16" s="39" customFormat="1">
      <c r="A145" s="47"/>
      <c r="B145" s="25"/>
      <c r="C145" s="340"/>
      <c r="D145" s="340"/>
      <c r="E145" s="340"/>
      <c r="F145" s="25"/>
      <c r="G145" s="25"/>
      <c r="H145" s="25"/>
      <c r="I145" s="25"/>
      <c r="J145" s="25"/>
      <c r="K145" s="25"/>
      <c r="L145" s="25"/>
      <c r="M145" s="25"/>
      <c r="N145" s="25"/>
      <c r="P145" s="37"/>
    </row>
    <row r="146" spans="1:16" s="39" customFormat="1">
      <c r="A146" s="47"/>
      <c r="B146" s="25"/>
      <c r="C146" s="340"/>
      <c r="D146" s="340"/>
      <c r="E146" s="340"/>
      <c r="F146" s="25"/>
      <c r="G146" s="25"/>
      <c r="H146" s="25"/>
      <c r="I146" s="25"/>
      <c r="J146" s="25"/>
      <c r="K146" s="25"/>
      <c r="L146" s="25"/>
      <c r="M146" s="25"/>
      <c r="N146" s="25"/>
      <c r="P146" s="37"/>
    </row>
    <row r="147" spans="1:16" s="39" customFormat="1">
      <c r="A147" s="47"/>
      <c r="B147" s="25"/>
      <c r="C147" s="340"/>
      <c r="D147" s="340"/>
      <c r="E147" s="340"/>
      <c r="F147" s="25"/>
      <c r="G147" s="25"/>
      <c r="H147" s="25"/>
      <c r="I147" s="25"/>
      <c r="J147" s="25"/>
      <c r="K147" s="25"/>
      <c r="L147" s="25"/>
      <c r="M147" s="25"/>
      <c r="N147" s="25"/>
      <c r="P147" s="37"/>
    </row>
    <row r="148" spans="1:16" s="39" customFormat="1">
      <c r="A148" s="47"/>
      <c r="B148" s="25"/>
      <c r="C148" s="340"/>
      <c r="D148" s="340"/>
      <c r="E148" s="340"/>
      <c r="F148" s="25"/>
      <c r="G148" s="25"/>
      <c r="H148" s="25"/>
      <c r="I148" s="25"/>
      <c r="J148" s="25"/>
      <c r="K148" s="25"/>
      <c r="L148" s="25"/>
      <c r="M148" s="25"/>
      <c r="N148" s="25"/>
      <c r="P148" s="37"/>
    </row>
    <row r="149" spans="1:16" s="39" customFormat="1">
      <c r="A149" s="47"/>
      <c r="B149" s="25"/>
      <c r="C149" s="340"/>
      <c r="D149" s="340"/>
      <c r="E149" s="340"/>
      <c r="F149" s="25"/>
      <c r="G149" s="25"/>
      <c r="H149" s="25"/>
      <c r="I149" s="25"/>
      <c r="J149" s="25"/>
      <c r="K149" s="25"/>
      <c r="L149" s="25"/>
      <c r="M149" s="25"/>
      <c r="N149" s="25"/>
      <c r="P149" s="37"/>
    </row>
    <row r="150" spans="1:16" s="39" customFormat="1">
      <c r="A150" s="47"/>
      <c r="B150" s="25"/>
      <c r="C150" s="340"/>
      <c r="D150" s="340"/>
      <c r="E150" s="340"/>
      <c r="F150" s="25"/>
      <c r="G150" s="25"/>
      <c r="H150" s="25"/>
      <c r="I150" s="25"/>
      <c r="J150" s="25"/>
      <c r="K150" s="25"/>
      <c r="L150" s="25"/>
      <c r="M150" s="25"/>
      <c r="N150" s="25"/>
      <c r="P150" s="37"/>
    </row>
    <row r="151" spans="1:16" s="39" customFormat="1">
      <c r="A151" s="47"/>
      <c r="B151" s="25"/>
      <c r="C151" s="340"/>
      <c r="D151" s="340"/>
      <c r="E151" s="340"/>
      <c r="F151" s="25"/>
      <c r="G151" s="25"/>
      <c r="H151" s="25"/>
      <c r="I151" s="25"/>
      <c r="J151" s="25"/>
      <c r="K151" s="25"/>
      <c r="L151" s="25"/>
      <c r="M151" s="25"/>
      <c r="N151" s="25"/>
      <c r="P151" s="37"/>
    </row>
    <row r="152" spans="1:16" s="39" customFormat="1">
      <c r="A152" s="47"/>
      <c r="B152" s="25"/>
      <c r="C152" s="340"/>
      <c r="D152" s="340"/>
      <c r="E152" s="340"/>
      <c r="F152" s="25"/>
      <c r="G152" s="25"/>
      <c r="H152" s="25"/>
      <c r="I152" s="25"/>
      <c r="J152" s="25"/>
      <c r="K152" s="25"/>
      <c r="L152" s="25"/>
      <c r="M152" s="25"/>
      <c r="N152" s="25"/>
      <c r="P152" s="37"/>
    </row>
    <row r="153" spans="1:16" s="39" customFormat="1">
      <c r="A153" s="47"/>
      <c r="B153" s="25"/>
      <c r="C153" s="340"/>
      <c r="D153" s="340"/>
      <c r="E153" s="340"/>
      <c r="F153" s="25"/>
      <c r="G153" s="25"/>
      <c r="H153" s="25"/>
      <c r="I153" s="25"/>
      <c r="J153" s="25"/>
      <c r="K153" s="25"/>
      <c r="L153" s="25"/>
      <c r="M153" s="25"/>
      <c r="N153" s="25"/>
      <c r="P153" s="37"/>
    </row>
    <row r="154" spans="1:16" s="39" customFormat="1">
      <c r="A154" s="47"/>
      <c r="B154" s="25"/>
      <c r="C154" s="340"/>
      <c r="D154" s="340"/>
      <c r="E154" s="340"/>
      <c r="F154" s="25"/>
      <c r="G154" s="25"/>
      <c r="H154" s="25"/>
      <c r="I154" s="25"/>
      <c r="J154" s="25"/>
      <c r="K154" s="25"/>
      <c r="L154" s="25"/>
      <c r="M154" s="25"/>
      <c r="N154" s="25"/>
      <c r="P154" s="37"/>
    </row>
    <row r="155" spans="1:16" s="39" customFormat="1">
      <c r="A155" s="47"/>
      <c r="B155" s="25"/>
      <c r="C155" s="340"/>
      <c r="D155" s="340"/>
      <c r="E155" s="340"/>
      <c r="F155" s="25"/>
      <c r="G155" s="25"/>
      <c r="H155" s="25"/>
      <c r="I155" s="25"/>
      <c r="J155" s="25"/>
      <c r="K155" s="25"/>
      <c r="L155" s="25"/>
      <c r="M155" s="25"/>
      <c r="N155" s="25"/>
      <c r="P155" s="37"/>
    </row>
    <row r="156" spans="1:16" s="39" customFormat="1">
      <c r="A156" s="47"/>
      <c r="B156" s="25"/>
      <c r="C156" s="340"/>
      <c r="D156" s="340"/>
      <c r="E156" s="340"/>
      <c r="F156" s="25"/>
      <c r="G156" s="25"/>
      <c r="H156" s="25"/>
      <c r="I156" s="25"/>
      <c r="J156" s="25"/>
      <c r="K156" s="25"/>
      <c r="L156" s="25"/>
      <c r="M156" s="25"/>
      <c r="N156" s="25"/>
      <c r="P156" s="37"/>
    </row>
    <row r="157" spans="1:16" s="39" customFormat="1">
      <c r="A157" s="47"/>
      <c r="B157" s="25"/>
      <c r="C157" s="340"/>
      <c r="D157" s="340"/>
      <c r="E157" s="340"/>
      <c r="F157" s="25"/>
      <c r="G157" s="25"/>
      <c r="H157" s="25"/>
      <c r="I157" s="25"/>
      <c r="J157" s="25"/>
      <c r="K157" s="25"/>
      <c r="L157" s="25"/>
      <c r="M157" s="25"/>
      <c r="N157" s="25"/>
      <c r="P157" s="37"/>
    </row>
    <row r="158" spans="1:16" s="39" customFormat="1">
      <c r="A158" s="47"/>
      <c r="B158" s="25"/>
      <c r="C158" s="340"/>
      <c r="D158" s="340"/>
      <c r="E158" s="340"/>
      <c r="F158" s="25"/>
      <c r="G158" s="25"/>
      <c r="H158" s="25"/>
      <c r="I158" s="25"/>
      <c r="J158" s="25"/>
      <c r="K158" s="25"/>
      <c r="L158" s="25"/>
      <c r="M158" s="25"/>
      <c r="N158" s="25"/>
      <c r="P158" s="37"/>
    </row>
    <row r="159" spans="1:16" s="39" customFormat="1">
      <c r="A159" s="47"/>
      <c r="B159" s="25"/>
      <c r="C159" s="340"/>
      <c r="D159" s="340"/>
      <c r="E159" s="340"/>
      <c r="F159" s="25"/>
      <c r="G159" s="25"/>
      <c r="H159" s="25"/>
      <c r="I159" s="25"/>
      <c r="J159" s="25"/>
      <c r="K159" s="25"/>
      <c r="L159" s="25"/>
      <c r="M159" s="25"/>
      <c r="N159" s="25"/>
      <c r="P159" s="37"/>
    </row>
    <row r="160" spans="1:16" s="39" customFormat="1">
      <c r="A160" s="47"/>
      <c r="B160" s="25"/>
      <c r="C160" s="340"/>
      <c r="D160" s="340"/>
      <c r="E160" s="340"/>
      <c r="F160" s="25"/>
      <c r="G160" s="25"/>
      <c r="H160" s="25"/>
      <c r="I160" s="25"/>
      <c r="J160" s="25"/>
      <c r="K160" s="25"/>
      <c r="L160" s="25"/>
      <c r="M160" s="25"/>
      <c r="N160" s="25"/>
      <c r="P160" s="37"/>
    </row>
    <row r="161" spans="1:16" s="39" customFormat="1">
      <c r="A161" s="47"/>
      <c r="B161" s="25"/>
      <c r="C161" s="340"/>
      <c r="D161" s="340"/>
      <c r="E161" s="340"/>
      <c r="F161" s="25"/>
      <c r="G161" s="25"/>
      <c r="H161" s="25"/>
      <c r="I161" s="25"/>
      <c r="J161" s="25"/>
      <c r="K161" s="25"/>
      <c r="L161" s="25"/>
      <c r="M161" s="25"/>
      <c r="N161" s="25"/>
      <c r="P161" s="37"/>
    </row>
    <row r="162" spans="1:16" s="39" customFormat="1">
      <c r="A162" s="47"/>
      <c r="B162" s="25"/>
      <c r="C162" s="340"/>
      <c r="D162" s="340"/>
      <c r="E162" s="340"/>
      <c r="F162" s="25"/>
      <c r="G162" s="25"/>
      <c r="H162" s="25"/>
      <c r="I162" s="25"/>
      <c r="J162" s="25"/>
      <c r="K162" s="25"/>
      <c r="L162" s="25"/>
      <c r="M162" s="25"/>
      <c r="N162" s="25"/>
      <c r="P162" s="37"/>
    </row>
    <row r="163" spans="1:16" s="39" customFormat="1">
      <c r="A163" s="47"/>
      <c r="B163" s="25"/>
      <c r="C163" s="340"/>
      <c r="D163" s="340"/>
      <c r="E163" s="340"/>
      <c r="F163" s="25"/>
      <c r="G163" s="25"/>
      <c r="H163" s="25"/>
      <c r="I163" s="25"/>
      <c r="J163" s="25"/>
      <c r="K163" s="25"/>
      <c r="L163" s="25"/>
      <c r="M163" s="25"/>
      <c r="N163" s="25"/>
      <c r="P163" s="37"/>
    </row>
    <row r="164" spans="1:16" s="39" customFormat="1">
      <c r="A164" s="47"/>
      <c r="B164" s="25"/>
      <c r="C164" s="340"/>
      <c r="D164" s="340"/>
      <c r="E164" s="340"/>
      <c r="F164" s="25"/>
      <c r="G164" s="25"/>
      <c r="H164" s="25"/>
      <c r="I164" s="25"/>
      <c r="J164" s="25"/>
      <c r="K164" s="25"/>
      <c r="L164" s="25"/>
      <c r="M164" s="25"/>
      <c r="N164" s="25"/>
      <c r="P164" s="37"/>
    </row>
    <row r="165" spans="1:16" s="39" customFormat="1">
      <c r="A165" s="47"/>
      <c r="B165" s="25"/>
      <c r="C165" s="340"/>
      <c r="D165" s="340"/>
      <c r="E165" s="340"/>
      <c r="F165" s="25"/>
      <c r="G165" s="25"/>
      <c r="H165" s="25"/>
      <c r="I165" s="25"/>
      <c r="J165" s="25"/>
      <c r="K165" s="25"/>
      <c r="L165" s="25"/>
      <c r="M165" s="25"/>
      <c r="N165" s="25"/>
      <c r="P165" s="37"/>
    </row>
    <row r="166" spans="1:16" s="39" customFormat="1">
      <c r="A166" s="47"/>
      <c r="B166" s="25"/>
      <c r="C166" s="340"/>
      <c r="D166" s="340"/>
      <c r="E166" s="340"/>
      <c r="F166" s="25"/>
      <c r="G166" s="25"/>
      <c r="H166" s="25"/>
      <c r="I166" s="25"/>
      <c r="J166" s="25"/>
      <c r="K166" s="25"/>
      <c r="L166" s="25"/>
      <c r="M166" s="25"/>
      <c r="N166" s="25"/>
      <c r="P166" s="37"/>
    </row>
    <row r="167" spans="1:16" s="39" customFormat="1">
      <c r="A167" s="47"/>
      <c r="B167" s="25"/>
      <c r="C167" s="340"/>
      <c r="D167" s="340"/>
      <c r="E167" s="340"/>
      <c r="F167" s="25"/>
      <c r="G167" s="25"/>
      <c r="H167" s="25"/>
      <c r="I167" s="25"/>
      <c r="J167" s="25"/>
      <c r="K167" s="25"/>
      <c r="L167" s="25"/>
      <c r="M167" s="25"/>
      <c r="N167" s="25"/>
      <c r="P167" s="37"/>
    </row>
    <row r="168" spans="1:16" s="39" customFormat="1">
      <c r="A168" s="47"/>
      <c r="B168" s="25"/>
      <c r="C168" s="340"/>
      <c r="D168" s="340"/>
      <c r="E168" s="340"/>
      <c r="F168" s="25"/>
      <c r="G168" s="25"/>
      <c r="H168" s="25"/>
      <c r="I168" s="25"/>
      <c r="J168" s="25"/>
      <c r="K168" s="25"/>
      <c r="L168" s="25"/>
      <c r="M168" s="25"/>
      <c r="N168" s="25"/>
      <c r="P168" s="37"/>
    </row>
    <row r="169" spans="1:16" s="39" customFormat="1">
      <c r="A169" s="47"/>
      <c r="B169" s="25"/>
      <c r="C169" s="340"/>
      <c r="D169" s="340"/>
      <c r="E169" s="340"/>
      <c r="F169" s="25"/>
      <c r="G169" s="25"/>
      <c r="H169" s="25"/>
      <c r="I169" s="25"/>
      <c r="J169" s="25"/>
      <c r="K169" s="25"/>
      <c r="L169" s="25"/>
      <c r="M169" s="25"/>
      <c r="N169" s="25"/>
      <c r="P169" s="37"/>
    </row>
    <row r="170" spans="1:16" s="39" customFormat="1">
      <c r="A170" s="47"/>
      <c r="B170" s="25"/>
      <c r="C170" s="340"/>
      <c r="D170" s="340"/>
      <c r="E170" s="340"/>
      <c r="F170" s="25"/>
      <c r="G170" s="25"/>
      <c r="H170" s="25"/>
      <c r="I170" s="25"/>
      <c r="J170" s="25"/>
      <c r="K170" s="25"/>
      <c r="L170" s="25"/>
      <c r="M170" s="25"/>
      <c r="N170" s="25"/>
      <c r="P170" s="37"/>
    </row>
    <row r="171" spans="1:16" s="39" customFormat="1">
      <c r="A171" s="47"/>
      <c r="B171" s="25"/>
      <c r="C171" s="340"/>
      <c r="D171" s="340"/>
      <c r="E171" s="340"/>
      <c r="F171" s="25"/>
      <c r="G171" s="25"/>
      <c r="H171" s="25"/>
      <c r="I171" s="25"/>
      <c r="J171" s="25"/>
      <c r="K171" s="25"/>
      <c r="L171" s="25"/>
      <c r="M171" s="25"/>
      <c r="N171" s="25"/>
      <c r="P171" s="37"/>
    </row>
    <row r="172" spans="1:16" s="39" customFormat="1">
      <c r="A172" s="47"/>
      <c r="B172" s="25"/>
      <c r="C172" s="340"/>
      <c r="D172" s="340"/>
      <c r="E172" s="340"/>
      <c r="F172" s="25"/>
      <c r="G172" s="25"/>
      <c r="H172" s="25"/>
      <c r="I172" s="25"/>
      <c r="J172" s="25"/>
      <c r="K172" s="25"/>
      <c r="L172" s="25"/>
      <c r="M172" s="25"/>
      <c r="N172" s="25"/>
      <c r="P172" s="37"/>
    </row>
    <row r="173" spans="1:16" s="39" customFormat="1">
      <c r="A173" s="47"/>
      <c r="B173" s="25"/>
      <c r="C173" s="340"/>
      <c r="D173" s="340"/>
      <c r="E173" s="340"/>
      <c r="F173" s="25"/>
      <c r="G173" s="25"/>
      <c r="H173" s="25"/>
      <c r="I173" s="25"/>
      <c r="J173" s="25"/>
      <c r="K173" s="25"/>
      <c r="L173" s="25"/>
      <c r="M173" s="25"/>
      <c r="N173" s="25"/>
      <c r="P173" s="37"/>
    </row>
    <row r="174" spans="1:16" s="39" customFormat="1">
      <c r="A174" s="47"/>
      <c r="B174" s="25"/>
      <c r="C174" s="340"/>
      <c r="D174" s="340"/>
      <c r="E174" s="340"/>
      <c r="F174" s="25"/>
      <c r="G174" s="25"/>
      <c r="H174" s="25"/>
      <c r="I174" s="25"/>
      <c r="J174" s="25"/>
      <c r="K174" s="25"/>
      <c r="L174" s="25"/>
      <c r="M174" s="25"/>
      <c r="N174" s="25"/>
      <c r="P174" s="37"/>
    </row>
    <row r="175" spans="1:16" s="39" customFormat="1">
      <c r="A175" s="47"/>
      <c r="B175" s="25"/>
      <c r="C175" s="340"/>
      <c r="D175" s="340"/>
      <c r="E175" s="340"/>
      <c r="F175" s="25"/>
      <c r="G175" s="25"/>
      <c r="H175" s="25"/>
      <c r="I175" s="25"/>
      <c r="J175" s="25"/>
      <c r="K175" s="25"/>
      <c r="L175" s="25"/>
      <c r="M175" s="25"/>
      <c r="N175" s="25"/>
      <c r="P175" s="37"/>
    </row>
    <row r="176" spans="1:16" s="39" customFormat="1">
      <c r="A176" s="47"/>
      <c r="B176" s="25"/>
      <c r="C176" s="340"/>
      <c r="D176" s="340"/>
      <c r="E176" s="340"/>
      <c r="F176" s="25"/>
      <c r="G176" s="25"/>
      <c r="H176" s="25"/>
      <c r="I176" s="25"/>
      <c r="J176" s="25"/>
      <c r="K176" s="25"/>
      <c r="L176" s="25"/>
      <c r="M176" s="25"/>
      <c r="N176" s="25"/>
      <c r="P176" s="37"/>
    </row>
    <row r="177" spans="1:16" s="39" customFormat="1">
      <c r="A177" s="47"/>
      <c r="B177" s="25"/>
      <c r="C177" s="340"/>
      <c r="D177" s="340"/>
      <c r="E177" s="340"/>
      <c r="F177" s="25"/>
      <c r="G177" s="25"/>
      <c r="H177" s="25"/>
      <c r="I177" s="25"/>
      <c r="J177" s="25"/>
      <c r="K177" s="25"/>
      <c r="L177" s="25"/>
      <c r="M177" s="25"/>
      <c r="N177" s="25"/>
      <c r="P177" s="37"/>
    </row>
    <row r="178" spans="1:16" s="39" customFormat="1">
      <c r="A178" s="47"/>
      <c r="B178" s="25"/>
      <c r="C178" s="340"/>
      <c r="D178" s="340"/>
      <c r="E178" s="340"/>
      <c r="F178" s="25"/>
      <c r="G178" s="25"/>
      <c r="H178" s="25"/>
      <c r="I178" s="25"/>
      <c r="J178" s="25"/>
      <c r="K178" s="25"/>
      <c r="L178" s="25"/>
      <c r="M178" s="25"/>
      <c r="N178" s="25"/>
      <c r="P178" s="37"/>
    </row>
    <row r="179" spans="1:16" s="39" customFormat="1">
      <c r="A179" s="47"/>
      <c r="B179" s="25"/>
      <c r="C179" s="340"/>
      <c r="D179" s="340"/>
      <c r="E179" s="340"/>
      <c r="F179" s="25"/>
      <c r="G179" s="25"/>
      <c r="H179" s="25"/>
      <c r="I179" s="25"/>
      <c r="J179" s="25"/>
      <c r="K179" s="25"/>
      <c r="L179" s="25"/>
      <c r="M179" s="25"/>
      <c r="N179" s="25"/>
      <c r="P179" s="37"/>
    </row>
    <row r="180" spans="1:16" s="39" customFormat="1">
      <c r="A180" s="47"/>
      <c r="B180" s="25"/>
      <c r="C180" s="340"/>
      <c r="D180" s="340"/>
      <c r="E180" s="340"/>
      <c r="F180" s="25"/>
      <c r="G180" s="25"/>
      <c r="H180" s="25"/>
      <c r="I180" s="25"/>
      <c r="J180" s="25"/>
      <c r="K180" s="25"/>
      <c r="L180" s="25"/>
      <c r="M180" s="25"/>
      <c r="N180" s="25"/>
      <c r="P180" s="37"/>
    </row>
    <row r="181" spans="1:16" s="39" customFormat="1">
      <c r="A181" s="47"/>
      <c r="B181" s="25"/>
      <c r="C181" s="340"/>
      <c r="D181" s="340"/>
      <c r="E181" s="340"/>
      <c r="F181" s="25"/>
      <c r="G181" s="25"/>
      <c r="H181" s="25"/>
      <c r="I181" s="25"/>
      <c r="J181" s="25"/>
      <c r="K181" s="25"/>
      <c r="L181" s="25"/>
      <c r="M181" s="25"/>
      <c r="N181" s="25"/>
      <c r="P181" s="37"/>
    </row>
    <row r="182" spans="1:16" s="39" customFormat="1">
      <c r="A182" s="47"/>
      <c r="B182" s="25"/>
      <c r="C182" s="340"/>
      <c r="D182" s="340"/>
      <c r="E182" s="340"/>
      <c r="F182" s="25"/>
      <c r="G182" s="25"/>
      <c r="H182" s="25"/>
      <c r="I182" s="25"/>
      <c r="J182" s="25"/>
      <c r="K182" s="25"/>
      <c r="L182" s="25"/>
      <c r="M182" s="25"/>
      <c r="N182" s="25"/>
      <c r="P182" s="37"/>
    </row>
    <row r="183" spans="1:16" s="39" customFormat="1">
      <c r="A183" s="47"/>
      <c r="B183" s="25"/>
      <c r="C183" s="340"/>
      <c r="D183" s="340"/>
      <c r="E183" s="340"/>
      <c r="F183" s="25"/>
      <c r="G183" s="25"/>
      <c r="H183" s="25"/>
      <c r="I183" s="25"/>
      <c r="J183" s="25"/>
      <c r="K183" s="25"/>
      <c r="L183" s="25"/>
      <c r="M183" s="25"/>
      <c r="N183" s="25"/>
      <c r="P183" s="37"/>
    </row>
    <row r="184" spans="1:16" s="39" customFormat="1">
      <c r="A184" s="47"/>
      <c r="B184" s="25"/>
      <c r="C184" s="340"/>
      <c r="D184" s="340"/>
      <c r="E184" s="340"/>
      <c r="F184" s="25"/>
      <c r="G184" s="25"/>
      <c r="H184" s="25"/>
      <c r="I184" s="25"/>
      <c r="J184" s="25"/>
      <c r="K184" s="25"/>
      <c r="L184" s="25"/>
      <c r="M184" s="25"/>
      <c r="N184" s="25"/>
      <c r="P184" s="37"/>
    </row>
    <row r="185" spans="1:16" s="39" customFormat="1">
      <c r="A185" s="47"/>
      <c r="B185" s="25"/>
      <c r="C185" s="340"/>
      <c r="D185" s="340"/>
      <c r="E185" s="340"/>
      <c r="F185" s="25"/>
      <c r="G185" s="25"/>
      <c r="H185" s="25"/>
      <c r="I185" s="25"/>
      <c r="J185" s="25"/>
      <c r="K185" s="25"/>
      <c r="L185" s="25"/>
      <c r="M185" s="25"/>
      <c r="N185" s="25"/>
      <c r="P185" s="37"/>
    </row>
    <row r="186" spans="1:16" s="39" customFormat="1">
      <c r="A186" s="47"/>
      <c r="B186" s="25"/>
      <c r="C186" s="340"/>
      <c r="D186" s="340"/>
      <c r="E186" s="340"/>
      <c r="F186" s="25"/>
      <c r="G186" s="25"/>
      <c r="H186" s="25"/>
      <c r="I186" s="25"/>
      <c r="J186" s="25"/>
      <c r="K186" s="25"/>
      <c r="L186" s="25"/>
      <c r="M186" s="25"/>
      <c r="N186" s="25"/>
      <c r="P186" s="37"/>
    </row>
    <row r="187" spans="1:16" s="39" customFormat="1">
      <c r="A187" s="47"/>
      <c r="B187" s="25"/>
      <c r="C187" s="340"/>
      <c r="D187" s="340"/>
      <c r="E187" s="340"/>
      <c r="F187" s="25"/>
      <c r="G187" s="25"/>
      <c r="H187" s="25"/>
      <c r="I187" s="25"/>
      <c r="J187" s="25"/>
      <c r="K187" s="25"/>
      <c r="L187" s="25"/>
      <c r="M187" s="25"/>
      <c r="N187" s="25"/>
      <c r="P187" s="37"/>
    </row>
    <row r="188" spans="1:16" s="39" customFormat="1">
      <c r="A188" s="47"/>
      <c r="B188" s="25"/>
      <c r="C188" s="340"/>
      <c r="D188" s="340"/>
      <c r="E188" s="340"/>
      <c r="F188" s="25"/>
      <c r="G188" s="25"/>
      <c r="H188" s="25"/>
      <c r="I188" s="25"/>
      <c r="J188" s="25"/>
      <c r="K188" s="25"/>
      <c r="L188" s="25"/>
      <c r="M188" s="25"/>
      <c r="N188" s="25"/>
      <c r="P188" s="37"/>
    </row>
    <row r="189" spans="1:16" s="39" customFormat="1">
      <c r="A189" s="47"/>
      <c r="B189" s="25"/>
      <c r="C189" s="340"/>
      <c r="D189" s="340"/>
      <c r="E189" s="340"/>
      <c r="F189" s="25"/>
      <c r="G189" s="25"/>
      <c r="H189" s="25"/>
      <c r="I189" s="25"/>
      <c r="J189" s="25"/>
      <c r="K189" s="25"/>
      <c r="L189" s="25"/>
      <c r="M189" s="25"/>
      <c r="N189" s="25"/>
      <c r="P189" s="37"/>
    </row>
    <row r="190" spans="1:16" s="39" customFormat="1">
      <c r="A190" s="47"/>
      <c r="B190" s="25"/>
      <c r="C190" s="340"/>
      <c r="D190" s="340"/>
      <c r="E190" s="340"/>
      <c r="F190" s="25"/>
      <c r="G190" s="25"/>
      <c r="H190" s="25"/>
      <c r="I190" s="25"/>
      <c r="J190" s="25"/>
      <c r="K190" s="25"/>
      <c r="L190" s="25"/>
      <c r="M190" s="25"/>
      <c r="N190" s="25"/>
      <c r="P190" s="37"/>
    </row>
    <row r="191" spans="1:16" s="39" customFormat="1">
      <c r="A191" s="47"/>
      <c r="B191" s="25"/>
      <c r="C191" s="340"/>
      <c r="D191" s="340"/>
      <c r="E191" s="340"/>
      <c r="F191" s="25"/>
      <c r="G191" s="25"/>
      <c r="H191" s="25"/>
      <c r="I191" s="25"/>
      <c r="J191" s="25"/>
      <c r="K191" s="25"/>
      <c r="L191" s="25"/>
      <c r="M191" s="25"/>
      <c r="N191" s="25"/>
      <c r="P191" s="37"/>
    </row>
    <row r="192" spans="1:16" s="39" customFormat="1">
      <c r="A192" s="47"/>
      <c r="B192" s="25"/>
      <c r="C192" s="340"/>
      <c r="D192" s="340"/>
      <c r="E192" s="340"/>
      <c r="F192" s="25"/>
      <c r="G192" s="25"/>
      <c r="H192" s="25"/>
      <c r="I192" s="25"/>
      <c r="J192" s="25"/>
      <c r="K192" s="25"/>
      <c r="L192" s="25"/>
      <c r="M192" s="25"/>
      <c r="N192" s="25"/>
      <c r="P192" s="37"/>
    </row>
    <row r="193" spans="1:16" s="39" customFormat="1">
      <c r="A193" s="47"/>
      <c r="B193" s="25"/>
      <c r="C193" s="340"/>
      <c r="D193" s="340"/>
      <c r="E193" s="340"/>
      <c r="F193" s="25"/>
      <c r="G193" s="25"/>
      <c r="H193" s="25"/>
      <c r="I193" s="25"/>
      <c r="J193" s="25"/>
      <c r="K193" s="25"/>
      <c r="L193" s="25"/>
      <c r="M193" s="25"/>
      <c r="N193" s="25"/>
      <c r="P193" s="37"/>
    </row>
    <row r="194" spans="1:16" s="39" customFormat="1">
      <c r="A194" s="47"/>
      <c r="B194" s="25"/>
      <c r="C194" s="340"/>
      <c r="D194" s="340"/>
      <c r="E194" s="340"/>
      <c r="F194" s="25"/>
      <c r="G194" s="25"/>
      <c r="H194" s="25"/>
      <c r="I194" s="25"/>
      <c r="J194" s="25"/>
      <c r="K194" s="25"/>
      <c r="L194" s="25"/>
      <c r="M194" s="25"/>
      <c r="N194" s="25"/>
      <c r="P194" s="37"/>
    </row>
    <row r="195" spans="1:16" s="39" customFormat="1">
      <c r="A195" s="47"/>
      <c r="B195" s="25"/>
      <c r="C195" s="340"/>
      <c r="D195" s="340"/>
      <c r="E195" s="340"/>
      <c r="F195" s="25"/>
      <c r="G195" s="25"/>
      <c r="H195" s="25"/>
      <c r="I195" s="25"/>
      <c r="J195" s="25"/>
      <c r="K195" s="25"/>
      <c r="L195" s="25"/>
      <c r="M195" s="25"/>
      <c r="N195" s="25"/>
      <c r="P195" s="37"/>
    </row>
    <row r="196" spans="1:16" s="39" customFormat="1">
      <c r="A196" s="47"/>
      <c r="B196" s="25"/>
      <c r="C196" s="340"/>
      <c r="D196" s="340"/>
      <c r="E196" s="340"/>
      <c r="F196" s="25"/>
      <c r="G196" s="25"/>
      <c r="H196" s="25"/>
      <c r="I196" s="25"/>
      <c r="J196" s="25"/>
      <c r="K196" s="25"/>
      <c r="L196" s="25"/>
      <c r="M196" s="25"/>
      <c r="N196" s="25"/>
      <c r="P196" s="37"/>
    </row>
    <row r="197" spans="1:16" s="39" customFormat="1">
      <c r="A197" s="47"/>
      <c r="B197" s="25"/>
      <c r="C197" s="340"/>
      <c r="D197" s="340"/>
      <c r="E197" s="340"/>
      <c r="F197" s="25"/>
      <c r="G197" s="25"/>
      <c r="H197" s="25"/>
      <c r="I197" s="25"/>
      <c r="J197" s="25"/>
      <c r="K197" s="25"/>
      <c r="L197" s="25"/>
      <c r="M197" s="25"/>
      <c r="N197" s="25"/>
      <c r="P197" s="37"/>
    </row>
    <row r="198" spans="1:16" s="39" customFormat="1">
      <c r="A198" s="47"/>
      <c r="B198" s="25"/>
      <c r="C198" s="340"/>
      <c r="D198" s="340"/>
      <c r="E198" s="340"/>
      <c r="F198" s="25"/>
      <c r="G198" s="25"/>
      <c r="H198" s="25"/>
      <c r="I198" s="25"/>
      <c r="J198" s="25"/>
      <c r="K198" s="25"/>
      <c r="L198" s="25"/>
      <c r="M198" s="25"/>
      <c r="N198" s="25"/>
      <c r="P198" s="37"/>
    </row>
    <row r="199" spans="1:16" s="39" customFormat="1">
      <c r="A199" s="47"/>
      <c r="B199" s="25"/>
      <c r="C199" s="340"/>
      <c r="D199" s="340"/>
      <c r="E199" s="340"/>
      <c r="F199" s="25"/>
      <c r="G199" s="25"/>
      <c r="H199" s="25"/>
      <c r="I199" s="25"/>
      <c r="J199" s="25"/>
      <c r="K199" s="25"/>
      <c r="L199" s="25"/>
      <c r="M199" s="25"/>
      <c r="N199" s="25"/>
      <c r="P199" s="37"/>
    </row>
    <row r="200" spans="1:16" s="39" customFormat="1">
      <c r="A200" s="47"/>
      <c r="B200" s="25"/>
      <c r="C200" s="340"/>
      <c r="D200" s="340"/>
      <c r="E200" s="340"/>
      <c r="F200" s="25"/>
      <c r="G200" s="25"/>
      <c r="H200" s="25"/>
      <c r="I200" s="25"/>
      <c r="J200" s="25"/>
      <c r="K200" s="25"/>
      <c r="L200" s="25"/>
      <c r="M200" s="25"/>
      <c r="N200" s="25"/>
      <c r="P200" s="37"/>
    </row>
    <row r="201" spans="1:16" s="39" customFormat="1">
      <c r="A201" s="47"/>
      <c r="B201" s="25"/>
      <c r="C201" s="340"/>
      <c r="D201" s="340"/>
      <c r="E201" s="340"/>
      <c r="F201" s="25"/>
      <c r="G201" s="25"/>
      <c r="H201" s="25"/>
      <c r="I201" s="25"/>
      <c r="J201" s="25"/>
      <c r="K201" s="25"/>
      <c r="L201" s="25"/>
      <c r="M201" s="25"/>
      <c r="N201" s="25"/>
      <c r="P201" s="37"/>
    </row>
    <row r="202" spans="1:16" s="39" customFormat="1">
      <c r="A202" s="47"/>
      <c r="B202" s="25"/>
      <c r="C202" s="340"/>
      <c r="D202" s="340"/>
      <c r="E202" s="340"/>
      <c r="F202" s="25"/>
      <c r="G202" s="25"/>
      <c r="H202" s="25"/>
      <c r="I202" s="25"/>
      <c r="J202" s="25"/>
      <c r="K202" s="25"/>
      <c r="L202" s="25"/>
      <c r="M202" s="25"/>
      <c r="N202" s="25"/>
      <c r="P202" s="37"/>
    </row>
    <row r="203" spans="1:16" s="39" customFormat="1">
      <c r="A203" s="47"/>
      <c r="B203" s="25"/>
      <c r="C203" s="340"/>
      <c r="D203" s="340"/>
      <c r="E203" s="340"/>
      <c r="F203" s="25"/>
      <c r="G203" s="25"/>
      <c r="H203" s="25"/>
      <c r="I203" s="25"/>
      <c r="J203" s="25"/>
      <c r="K203" s="25"/>
      <c r="L203" s="25"/>
      <c r="M203" s="25"/>
      <c r="N203" s="25"/>
      <c r="P203" s="37"/>
    </row>
    <row r="204" spans="1:16" s="39" customFormat="1">
      <c r="A204" s="47"/>
      <c r="B204" s="25"/>
      <c r="C204" s="340"/>
      <c r="D204" s="340"/>
      <c r="E204" s="340"/>
      <c r="F204" s="25"/>
      <c r="G204" s="25"/>
      <c r="H204" s="25"/>
      <c r="I204" s="25"/>
      <c r="J204" s="25"/>
      <c r="K204" s="25"/>
      <c r="L204" s="25"/>
      <c r="M204" s="25"/>
      <c r="N204" s="25"/>
      <c r="P204" s="37"/>
    </row>
    <row r="205" spans="1:16" s="39" customFormat="1">
      <c r="A205" s="47"/>
      <c r="B205" s="25"/>
      <c r="C205" s="340"/>
      <c r="D205" s="340"/>
      <c r="E205" s="340"/>
      <c r="F205" s="25"/>
      <c r="G205" s="25"/>
      <c r="H205" s="25"/>
      <c r="I205" s="25"/>
      <c r="J205" s="25"/>
      <c r="K205" s="25"/>
      <c r="L205" s="25"/>
      <c r="M205" s="25"/>
      <c r="N205" s="25"/>
      <c r="P205" s="37"/>
    </row>
    <row r="206" spans="1:16" s="39" customFormat="1">
      <c r="A206" s="47"/>
      <c r="B206" s="25"/>
      <c r="C206" s="340"/>
      <c r="D206" s="340"/>
      <c r="E206" s="340"/>
      <c r="F206" s="25"/>
      <c r="G206" s="25"/>
      <c r="H206" s="25"/>
      <c r="I206" s="25"/>
      <c r="J206" s="25"/>
      <c r="K206" s="25"/>
      <c r="L206" s="25"/>
      <c r="M206" s="25"/>
      <c r="N206" s="25"/>
      <c r="P206" s="37"/>
    </row>
    <row r="207" spans="1:16" s="39" customFormat="1">
      <c r="A207" s="47"/>
      <c r="B207" s="25"/>
      <c r="C207" s="340"/>
      <c r="D207" s="340"/>
      <c r="E207" s="340"/>
      <c r="F207" s="25"/>
      <c r="G207" s="25"/>
      <c r="H207" s="25"/>
      <c r="I207" s="25"/>
      <c r="J207" s="25"/>
      <c r="K207" s="25"/>
      <c r="L207" s="25"/>
      <c r="M207" s="25"/>
      <c r="N207" s="25"/>
      <c r="P207" s="37"/>
    </row>
    <row r="208" spans="1:16" s="39" customFormat="1">
      <c r="A208" s="47"/>
      <c r="B208" s="25"/>
      <c r="C208" s="340"/>
      <c r="D208" s="340"/>
      <c r="E208" s="340"/>
      <c r="F208" s="25"/>
      <c r="G208" s="25"/>
      <c r="H208" s="25"/>
      <c r="I208" s="25"/>
      <c r="J208" s="25"/>
      <c r="K208" s="25"/>
      <c r="L208" s="25"/>
      <c r="M208" s="25"/>
      <c r="N208" s="25"/>
      <c r="P208" s="37"/>
    </row>
    <row r="209" spans="1:16" s="39" customFormat="1">
      <c r="A209" s="47"/>
      <c r="B209" s="25"/>
      <c r="C209" s="340"/>
      <c r="D209" s="340"/>
      <c r="E209" s="340"/>
      <c r="F209" s="25"/>
      <c r="G209" s="25"/>
      <c r="H209" s="25"/>
      <c r="I209" s="25"/>
      <c r="J209" s="25"/>
      <c r="K209" s="25"/>
      <c r="L209" s="25"/>
      <c r="M209" s="25"/>
      <c r="N209" s="25"/>
      <c r="P209" s="37"/>
    </row>
    <row r="210" spans="1:16" s="39" customFormat="1">
      <c r="A210" s="47"/>
      <c r="B210" s="25"/>
      <c r="C210" s="340"/>
      <c r="D210" s="340"/>
      <c r="E210" s="340"/>
      <c r="F210" s="25"/>
      <c r="G210" s="25"/>
      <c r="H210" s="25"/>
      <c r="I210" s="25"/>
      <c r="J210" s="25"/>
      <c r="K210" s="25"/>
      <c r="L210" s="25"/>
      <c r="M210" s="25"/>
      <c r="N210" s="25"/>
      <c r="P210" s="37"/>
    </row>
    <row r="211" spans="1:16" s="39" customFormat="1">
      <c r="A211" s="47"/>
      <c r="B211" s="25"/>
      <c r="C211" s="340"/>
      <c r="D211" s="340"/>
      <c r="E211" s="340"/>
      <c r="F211" s="25"/>
      <c r="G211" s="25"/>
      <c r="H211" s="25"/>
      <c r="I211" s="25"/>
      <c r="J211" s="25"/>
      <c r="K211" s="25"/>
      <c r="L211" s="25"/>
      <c r="M211" s="25"/>
      <c r="N211" s="25"/>
      <c r="P211" s="37"/>
    </row>
    <row r="212" spans="1:16" s="39" customFormat="1">
      <c r="A212" s="47"/>
      <c r="B212" s="25"/>
      <c r="C212" s="340"/>
      <c r="D212" s="340"/>
      <c r="E212" s="340"/>
      <c r="F212" s="25"/>
      <c r="G212" s="25"/>
      <c r="H212" s="25"/>
      <c r="I212" s="25"/>
      <c r="J212" s="25"/>
      <c r="K212" s="25"/>
      <c r="L212" s="25"/>
      <c r="M212" s="25"/>
      <c r="N212" s="25"/>
      <c r="P212" s="37"/>
    </row>
    <row r="213" spans="1:16" s="39" customFormat="1">
      <c r="A213" s="47"/>
      <c r="B213" s="25"/>
      <c r="C213" s="340"/>
      <c r="D213" s="340"/>
      <c r="E213" s="340"/>
      <c r="F213" s="25"/>
      <c r="G213" s="25"/>
      <c r="H213" s="25"/>
      <c r="I213" s="25"/>
      <c r="J213" s="25"/>
      <c r="K213" s="25"/>
      <c r="L213" s="25"/>
      <c r="M213" s="25"/>
      <c r="N213" s="25"/>
      <c r="P213" s="37"/>
    </row>
    <row r="214" spans="1:16" s="39" customFormat="1">
      <c r="A214" s="47"/>
      <c r="B214" s="25"/>
      <c r="C214" s="340"/>
      <c r="D214" s="340"/>
      <c r="E214" s="340"/>
      <c r="F214" s="25"/>
      <c r="G214" s="25"/>
      <c r="H214" s="25"/>
      <c r="I214" s="25"/>
      <c r="J214" s="25"/>
      <c r="K214" s="25"/>
      <c r="L214" s="25"/>
      <c r="M214" s="25"/>
      <c r="N214" s="25"/>
      <c r="P214" s="37"/>
    </row>
    <row r="215" spans="1:16" s="39" customFormat="1">
      <c r="A215" s="47"/>
      <c r="B215" s="25"/>
      <c r="C215" s="340"/>
      <c r="D215" s="340"/>
      <c r="E215" s="340"/>
      <c r="F215" s="25"/>
      <c r="G215" s="25"/>
      <c r="H215" s="25"/>
      <c r="I215" s="25"/>
      <c r="J215" s="25"/>
      <c r="K215" s="25"/>
      <c r="L215" s="25"/>
      <c r="M215" s="25"/>
      <c r="N215" s="25"/>
      <c r="P215" s="37"/>
    </row>
    <row r="216" spans="1:16" s="39" customFormat="1">
      <c r="A216" s="47"/>
      <c r="B216" s="25"/>
      <c r="C216" s="340"/>
      <c r="D216" s="340"/>
      <c r="E216" s="340"/>
      <c r="F216" s="25"/>
      <c r="G216" s="25"/>
      <c r="H216" s="25"/>
      <c r="I216" s="25"/>
      <c r="J216" s="25"/>
      <c r="K216" s="25"/>
      <c r="L216" s="25"/>
      <c r="M216" s="25"/>
      <c r="N216" s="25"/>
      <c r="P216" s="37"/>
    </row>
    <row r="217" spans="1:16" s="39" customFormat="1">
      <c r="A217" s="47"/>
      <c r="B217" s="25"/>
      <c r="C217" s="340"/>
      <c r="D217" s="340"/>
      <c r="E217" s="340"/>
      <c r="F217" s="25"/>
      <c r="G217" s="25"/>
      <c r="H217" s="25"/>
      <c r="I217" s="25"/>
      <c r="J217" s="25"/>
      <c r="K217" s="25"/>
      <c r="L217" s="25"/>
      <c r="M217" s="25"/>
      <c r="N217" s="25"/>
      <c r="P217" s="37"/>
    </row>
    <row r="218" spans="1:16" s="39" customFormat="1">
      <c r="A218" s="47"/>
      <c r="B218" s="25"/>
      <c r="C218" s="340"/>
      <c r="D218" s="340"/>
      <c r="E218" s="340"/>
      <c r="F218" s="25"/>
      <c r="G218" s="25"/>
      <c r="H218" s="25"/>
      <c r="I218" s="25"/>
      <c r="J218" s="25"/>
      <c r="K218" s="25"/>
      <c r="L218" s="25"/>
      <c r="M218" s="25"/>
      <c r="N218" s="25"/>
      <c r="P218" s="37"/>
    </row>
    <row r="219" spans="1:16" s="39" customFormat="1">
      <c r="A219" s="47"/>
      <c r="B219" s="25"/>
      <c r="C219" s="340"/>
      <c r="D219" s="340"/>
      <c r="E219" s="340"/>
      <c r="F219" s="25"/>
      <c r="G219" s="25"/>
      <c r="H219" s="25"/>
      <c r="I219" s="25"/>
      <c r="J219" s="25"/>
      <c r="K219" s="25"/>
      <c r="L219" s="25"/>
      <c r="M219" s="25"/>
      <c r="N219" s="25"/>
      <c r="P219" s="37"/>
    </row>
    <row r="220" spans="1:16" s="39" customFormat="1">
      <c r="A220" s="47"/>
      <c r="B220" s="25"/>
      <c r="C220" s="340"/>
      <c r="D220" s="340"/>
      <c r="E220" s="340"/>
      <c r="F220" s="25"/>
      <c r="G220" s="25"/>
      <c r="H220" s="25"/>
      <c r="I220" s="25"/>
      <c r="J220" s="25"/>
      <c r="K220" s="25"/>
      <c r="L220" s="25"/>
      <c r="M220" s="25"/>
      <c r="N220" s="25"/>
      <c r="P220" s="37"/>
    </row>
    <row r="221" spans="1:16" s="39" customFormat="1">
      <c r="A221" s="47"/>
      <c r="B221" s="25"/>
      <c r="C221" s="340"/>
      <c r="D221" s="340"/>
      <c r="E221" s="340"/>
      <c r="F221" s="25"/>
      <c r="G221" s="25"/>
      <c r="H221" s="25"/>
      <c r="I221" s="25"/>
      <c r="J221" s="25"/>
      <c r="K221" s="25"/>
      <c r="L221" s="25"/>
      <c r="M221" s="25"/>
      <c r="N221" s="25"/>
      <c r="P221" s="37"/>
    </row>
    <row r="222" spans="1:16" s="39" customFormat="1">
      <c r="A222" s="47"/>
      <c r="B222" s="25"/>
      <c r="C222" s="340"/>
      <c r="D222" s="340"/>
      <c r="E222" s="340"/>
      <c r="F222" s="25"/>
      <c r="G222" s="25"/>
      <c r="H222" s="25"/>
      <c r="I222" s="25"/>
      <c r="J222" s="25"/>
      <c r="K222" s="25"/>
      <c r="L222" s="25"/>
      <c r="M222" s="25"/>
      <c r="N222" s="25"/>
      <c r="P222" s="37"/>
    </row>
    <row r="223" spans="1:16" s="39" customFormat="1">
      <c r="A223" s="47"/>
      <c r="B223" s="25"/>
      <c r="C223" s="340"/>
      <c r="D223" s="340"/>
      <c r="E223" s="340"/>
      <c r="F223" s="25"/>
      <c r="G223" s="25"/>
      <c r="H223" s="25"/>
      <c r="I223" s="25"/>
      <c r="J223" s="25"/>
      <c r="K223" s="25"/>
      <c r="L223" s="25"/>
      <c r="M223" s="25"/>
      <c r="N223" s="25"/>
      <c r="P223" s="37"/>
    </row>
    <row r="224" spans="1:16" s="39" customFormat="1">
      <c r="A224" s="47"/>
      <c r="B224" s="25"/>
      <c r="C224" s="340"/>
      <c r="D224" s="340"/>
      <c r="E224" s="340"/>
      <c r="F224" s="25"/>
      <c r="G224" s="25"/>
      <c r="H224" s="25"/>
      <c r="I224" s="25"/>
      <c r="J224" s="25"/>
      <c r="K224" s="25"/>
      <c r="L224" s="25"/>
      <c r="M224" s="25"/>
      <c r="N224" s="25"/>
      <c r="P224" s="37"/>
    </row>
    <row r="225" spans="1:16" s="39" customFormat="1">
      <c r="A225" s="47"/>
      <c r="B225" s="25"/>
      <c r="C225" s="340"/>
      <c r="D225" s="340"/>
      <c r="E225" s="340"/>
      <c r="F225" s="25"/>
      <c r="G225" s="25"/>
      <c r="H225" s="25"/>
      <c r="I225" s="25"/>
      <c r="J225" s="25"/>
      <c r="K225" s="25"/>
      <c r="L225" s="25"/>
      <c r="M225" s="25"/>
      <c r="N225" s="25"/>
      <c r="P225" s="37"/>
    </row>
    <row r="226" spans="1:16" s="39" customFormat="1">
      <c r="A226" s="47"/>
      <c r="B226" s="25"/>
      <c r="C226" s="340"/>
      <c r="D226" s="340"/>
      <c r="E226" s="340"/>
      <c r="F226" s="25"/>
      <c r="G226" s="25"/>
      <c r="H226" s="25"/>
      <c r="I226" s="25"/>
      <c r="J226" s="25"/>
      <c r="K226" s="25"/>
      <c r="L226" s="25"/>
      <c r="M226" s="25"/>
      <c r="N226" s="25"/>
      <c r="P226" s="37"/>
    </row>
    <row r="227" spans="1:16" s="39" customFormat="1">
      <c r="A227" s="47"/>
      <c r="B227" s="25"/>
      <c r="C227" s="340"/>
      <c r="D227" s="340"/>
      <c r="E227" s="340"/>
      <c r="F227" s="25"/>
      <c r="G227" s="25"/>
      <c r="H227" s="25"/>
      <c r="I227" s="25"/>
      <c r="J227" s="25"/>
      <c r="K227" s="25"/>
      <c r="L227" s="25"/>
      <c r="M227" s="25"/>
      <c r="N227" s="25"/>
      <c r="P227" s="37"/>
    </row>
    <row r="228" spans="1:16" s="39" customFormat="1">
      <c r="A228" s="47"/>
      <c r="B228" s="25"/>
      <c r="C228" s="340"/>
      <c r="D228" s="340"/>
      <c r="E228" s="340"/>
      <c r="F228" s="25"/>
      <c r="G228" s="25"/>
      <c r="H228" s="25"/>
      <c r="I228" s="25"/>
      <c r="J228" s="25"/>
      <c r="K228" s="25"/>
      <c r="L228" s="25"/>
      <c r="M228" s="25"/>
      <c r="N228" s="25"/>
      <c r="P228" s="37"/>
    </row>
    <row r="229" spans="1:16" s="39" customFormat="1">
      <c r="A229" s="47"/>
      <c r="B229" s="25"/>
      <c r="C229" s="340"/>
      <c r="D229" s="340"/>
      <c r="E229" s="340"/>
      <c r="F229" s="25"/>
      <c r="G229" s="25"/>
      <c r="H229" s="25"/>
      <c r="I229" s="25"/>
      <c r="J229" s="25"/>
      <c r="K229" s="25"/>
      <c r="L229" s="25"/>
      <c r="M229" s="25"/>
      <c r="N229" s="25"/>
      <c r="P229" s="37"/>
    </row>
    <row r="230" spans="1:16" s="39" customFormat="1">
      <c r="A230" s="47"/>
      <c r="B230" s="25"/>
      <c r="C230" s="340"/>
      <c r="D230" s="340"/>
      <c r="E230" s="340"/>
      <c r="F230" s="25"/>
      <c r="G230" s="25"/>
      <c r="H230" s="25"/>
      <c r="I230" s="25"/>
      <c r="J230" s="25"/>
      <c r="K230" s="25"/>
      <c r="L230" s="25"/>
      <c r="M230" s="25"/>
      <c r="N230" s="25"/>
      <c r="P230" s="37"/>
    </row>
    <row r="231" spans="1:16" s="39" customFormat="1">
      <c r="A231" s="47"/>
      <c r="B231" s="25"/>
      <c r="C231" s="340"/>
      <c r="D231" s="340"/>
      <c r="E231" s="340"/>
      <c r="F231" s="25"/>
      <c r="G231" s="25"/>
      <c r="H231" s="25"/>
      <c r="I231" s="25"/>
      <c r="J231" s="25"/>
      <c r="K231" s="25"/>
      <c r="L231" s="25"/>
      <c r="M231" s="25"/>
      <c r="N231" s="25"/>
      <c r="P231" s="37"/>
    </row>
    <row r="232" spans="1:16" s="39" customFormat="1">
      <c r="A232" s="47"/>
      <c r="B232" s="25"/>
      <c r="C232" s="340"/>
      <c r="D232" s="340"/>
      <c r="E232" s="340"/>
      <c r="F232" s="25"/>
      <c r="G232" s="25"/>
      <c r="H232" s="25"/>
      <c r="I232" s="25"/>
      <c r="J232" s="25"/>
      <c r="K232" s="25"/>
      <c r="L232" s="25"/>
      <c r="M232" s="25"/>
      <c r="N232" s="25"/>
      <c r="P232" s="37"/>
    </row>
    <row r="233" spans="1:16" s="39" customFormat="1">
      <c r="A233" s="47"/>
      <c r="B233" s="25"/>
      <c r="C233" s="340"/>
      <c r="D233" s="340"/>
      <c r="E233" s="340"/>
      <c r="F233" s="25"/>
      <c r="G233" s="25"/>
      <c r="H233" s="25"/>
      <c r="I233" s="25"/>
      <c r="J233" s="25"/>
      <c r="K233" s="25"/>
      <c r="L233" s="25"/>
      <c r="M233" s="25"/>
      <c r="N233" s="25"/>
      <c r="P233" s="37"/>
    </row>
    <row r="234" spans="1:16" s="39" customFormat="1">
      <c r="A234" s="47"/>
      <c r="B234" s="25"/>
      <c r="C234" s="340"/>
      <c r="D234" s="340"/>
      <c r="E234" s="340"/>
      <c r="F234" s="25"/>
      <c r="G234" s="25"/>
      <c r="H234" s="25"/>
      <c r="I234" s="25"/>
      <c r="J234" s="25"/>
      <c r="K234" s="25"/>
      <c r="L234" s="25"/>
      <c r="M234" s="25"/>
      <c r="N234" s="25"/>
      <c r="P234" s="37"/>
    </row>
    <row r="235" spans="1:16" s="39" customFormat="1">
      <c r="A235" s="47"/>
      <c r="B235" s="25"/>
      <c r="C235" s="340"/>
      <c r="D235" s="340"/>
      <c r="E235" s="340"/>
      <c r="F235" s="25"/>
      <c r="G235" s="25"/>
      <c r="H235" s="25"/>
      <c r="I235" s="25"/>
      <c r="J235" s="25"/>
      <c r="K235" s="25"/>
      <c r="L235" s="25"/>
      <c r="M235" s="25"/>
      <c r="N235" s="25"/>
      <c r="P235" s="37"/>
    </row>
    <row r="236" spans="1:16" s="39" customFormat="1">
      <c r="A236" s="47"/>
      <c r="B236" s="25"/>
      <c r="C236" s="340"/>
      <c r="D236" s="340"/>
      <c r="E236" s="340"/>
      <c r="F236" s="25"/>
      <c r="G236" s="25"/>
      <c r="H236" s="25"/>
      <c r="I236" s="25"/>
      <c r="J236" s="25"/>
      <c r="K236" s="25"/>
      <c r="L236" s="25"/>
      <c r="M236" s="25"/>
      <c r="N236" s="25"/>
      <c r="P236" s="37"/>
    </row>
    <row r="237" spans="1:16" s="39" customFormat="1">
      <c r="A237" s="47"/>
      <c r="B237" s="25"/>
      <c r="C237" s="340"/>
      <c r="D237" s="340"/>
      <c r="E237" s="340"/>
      <c r="F237" s="25"/>
      <c r="G237" s="25"/>
      <c r="H237" s="25"/>
      <c r="I237" s="25"/>
      <c r="J237" s="25"/>
      <c r="K237" s="25"/>
      <c r="L237" s="25"/>
      <c r="M237" s="25"/>
      <c r="N237" s="25"/>
      <c r="P237" s="37"/>
    </row>
    <row r="238" spans="1:16" s="39" customFormat="1">
      <c r="A238" s="47"/>
      <c r="B238" s="25"/>
      <c r="C238" s="340"/>
      <c r="D238" s="340"/>
      <c r="E238" s="340"/>
      <c r="F238" s="25"/>
      <c r="G238" s="25"/>
      <c r="H238" s="25"/>
      <c r="I238" s="25"/>
      <c r="J238" s="25"/>
      <c r="K238" s="25"/>
      <c r="L238" s="25"/>
      <c r="M238" s="25"/>
      <c r="N238" s="25"/>
      <c r="P238" s="37"/>
    </row>
    <row r="239" spans="1:16" s="39" customFormat="1">
      <c r="A239" s="47"/>
      <c r="B239" s="25"/>
      <c r="C239" s="340"/>
      <c r="D239" s="340"/>
      <c r="E239" s="340"/>
      <c r="F239" s="25"/>
      <c r="G239" s="25"/>
      <c r="H239" s="25"/>
      <c r="I239" s="25"/>
      <c r="J239" s="25"/>
      <c r="K239" s="25"/>
      <c r="L239" s="25"/>
      <c r="M239" s="25"/>
      <c r="N239" s="25"/>
      <c r="P239" s="37"/>
    </row>
    <row r="240" spans="1:16" s="39" customFormat="1">
      <c r="A240" s="47"/>
      <c r="B240" s="25"/>
      <c r="C240" s="340"/>
      <c r="D240" s="340"/>
      <c r="E240" s="340"/>
      <c r="F240" s="25"/>
      <c r="G240" s="25"/>
      <c r="H240" s="25"/>
      <c r="I240" s="25"/>
      <c r="J240" s="25"/>
      <c r="K240" s="25"/>
      <c r="L240" s="25"/>
      <c r="M240" s="25"/>
      <c r="N240" s="25"/>
      <c r="P240" s="37"/>
    </row>
    <row r="241" spans="1:16" s="39" customFormat="1">
      <c r="A241" s="47"/>
      <c r="B241" s="25"/>
      <c r="C241" s="340"/>
      <c r="D241" s="340"/>
      <c r="E241" s="340"/>
      <c r="F241" s="25"/>
      <c r="G241" s="25"/>
      <c r="H241" s="25"/>
      <c r="I241" s="25"/>
      <c r="J241" s="25"/>
      <c r="K241" s="25"/>
      <c r="L241" s="25"/>
      <c r="M241" s="25"/>
      <c r="N241" s="25"/>
      <c r="P241" s="37"/>
    </row>
    <row r="242" spans="1:16" s="39" customFormat="1">
      <c r="A242" s="47"/>
      <c r="B242" s="25"/>
      <c r="C242" s="340"/>
      <c r="D242" s="340"/>
      <c r="E242" s="340"/>
      <c r="F242" s="25"/>
      <c r="G242" s="25"/>
      <c r="H242" s="25"/>
      <c r="I242" s="25"/>
      <c r="J242" s="25"/>
      <c r="K242" s="25"/>
      <c r="L242" s="25"/>
      <c r="M242" s="25"/>
      <c r="N242" s="25"/>
      <c r="P242" s="37"/>
    </row>
    <row r="243" spans="1:16" s="39" customFormat="1">
      <c r="A243" s="47"/>
      <c r="B243" s="25"/>
      <c r="C243" s="340"/>
      <c r="D243" s="340"/>
      <c r="E243" s="340"/>
      <c r="F243" s="25"/>
      <c r="G243" s="25"/>
      <c r="H243" s="25"/>
      <c r="I243" s="25"/>
      <c r="J243" s="25"/>
      <c r="K243" s="25"/>
      <c r="L243" s="25"/>
      <c r="M243" s="25"/>
      <c r="N243" s="25"/>
      <c r="P243" s="37"/>
    </row>
    <row r="244" spans="1:16" s="39" customFormat="1">
      <c r="A244" s="47"/>
      <c r="B244" s="25"/>
      <c r="C244" s="340"/>
      <c r="D244" s="340"/>
      <c r="E244" s="340"/>
      <c r="F244" s="25"/>
      <c r="G244" s="25"/>
      <c r="H244" s="25"/>
      <c r="I244" s="25"/>
      <c r="J244" s="25"/>
      <c r="K244" s="25"/>
      <c r="L244" s="25"/>
      <c r="M244" s="25"/>
      <c r="N244" s="25"/>
      <c r="P244" s="37"/>
    </row>
    <row r="245" spans="1:16" s="39" customFormat="1">
      <c r="A245" s="47"/>
      <c r="B245" s="25"/>
      <c r="C245" s="340"/>
      <c r="D245" s="340"/>
      <c r="E245" s="340"/>
      <c r="F245" s="25"/>
      <c r="G245" s="25"/>
      <c r="H245" s="25"/>
      <c r="I245" s="25"/>
      <c r="J245" s="25"/>
      <c r="K245" s="25"/>
      <c r="L245" s="25"/>
      <c r="M245" s="25"/>
      <c r="N245" s="25"/>
      <c r="P245" s="37"/>
    </row>
    <row r="246" spans="1:16" s="39" customFormat="1">
      <c r="A246" s="47"/>
      <c r="B246" s="25"/>
      <c r="C246" s="340"/>
      <c r="D246" s="340"/>
      <c r="E246" s="340"/>
      <c r="F246" s="25"/>
      <c r="G246" s="25"/>
      <c r="H246" s="25"/>
      <c r="I246" s="25"/>
      <c r="J246" s="25"/>
      <c r="K246" s="25"/>
      <c r="L246" s="25"/>
      <c r="M246" s="25"/>
      <c r="N246" s="25"/>
      <c r="P246" s="37"/>
    </row>
    <row r="247" spans="1:16" s="39" customFormat="1">
      <c r="A247" s="47"/>
      <c r="B247" s="25"/>
      <c r="C247" s="340"/>
      <c r="D247" s="340"/>
      <c r="E247" s="340"/>
      <c r="F247" s="25"/>
      <c r="G247" s="25"/>
      <c r="H247" s="25"/>
      <c r="I247" s="25"/>
      <c r="J247" s="25"/>
      <c r="K247" s="25"/>
      <c r="L247" s="25"/>
      <c r="M247" s="25"/>
      <c r="N247" s="25"/>
      <c r="P247" s="37"/>
    </row>
    <row r="248" spans="1:16" s="39" customFormat="1">
      <c r="A248" s="47"/>
      <c r="B248" s="25"/>
      <c r="C248" s="340"/>
      <c r="D248" s="340"/>
      <c r="E248" s="340"/>
      <c r="F248" s="25"/>
      <c r="G248" s="25"/>
      <c r="H248" s="25"/>
      <c r="I248" s="25"/>
      <c r="J248" s="25"/>
      <c r="K248" s="25"/>
      <c r="L248" s="25"/>
      <c r="M248" s="25"/>
      <c r="N248" s="25"/>
      <c r="P248" s="37"/>
    </row>
    <row r="249" spans="1:16" s="39" customFormat="1">
      <c r="A249" s="47"/>
      <c r="B249" s="25"/>
      <c r="C249" s="340"/>
      <c r="D249" s="340"/>
      <c r="E249" s="340"/>
      <c r="F249" s="25"/>
      <c r="G249" s="25"/>
      <c r="H249" s="25"/>
      <c r="I249" s="25"/>
      <c r="J249" s="25"/>
      <c r="K249" s="25"/>
      <c r="L249" s="25"/>
      <c r="M249" s="25"/>
      <c r="N249" s="25"/>
      <c r="P249" s="37"/>
    </row>
    <row r="250" spans="1:16" s="39" customFormat="1">
      <c r="A250" s="47"/>
      <c r="B250" s="25"/>
      <c r="C250" s="340"/>
      <c r="D250" s="340"/>
      <c r="E250" s="340"/>
      <c r="F250" s="25"/>
      <c r="G250" s="25"/>
      <c r="H250" s="25"/>
      <c r="I250" s="25"/>
      <c r="J250" s="25"/>
      <c r="K250" s="25"/>
      <c r="L250" s="25"/>
      <c r="M250" s="25"/>
      <c r="N250" s="25"/>
      <c r="P250" s="37"/>
    </row>
    <row r="251" spans="1:16" s="39" customFormat="1">
      <c r="A251" s="47"/>
      <c r="B251" s="25"/>
      <c r="C251" s="340"/>
      <c r="D251" s="340"/>
      <c r="E251" s="340"/>
      <c r="F251" s="25"/>
      <c r="G251" s="25"/>
      <c r="H251" s="25"/>
      <c r="I251" s="25"/>
      <c r="J251" s="25"/>
      <c r="K251" s="25"/>
      <c r="L251" s="25"/>
      <c r="M251" s="25"/>
      <c r="N251" s="25"/>
      <c r="P251" s="37"/>
    </row>
    <row r="252" spans="1:16" s="39" customFormat="1">
      <c r="A252" s="47"/>
      <c r="B252" s="25"/>
      <c r="C252" s="340"/>
      <c r="D252" s="340"/>
      <c r="E252" s="340"/>
      <c r="F252" s="25"/>
      <c r="G252" s="25"/>
      <c r="H252" s="25"/>
      <c r="I252" s="25"/>
      <c r="J252" s="25"/>
      <c r="K252" s="25"/>
      <c r="L252" s="25"/>
      <c r="M252" s="25"/>
      <c r="N252" s="25"/>
      <c r="P252" s="37"/>
    </row>
    <row r="253" spans="1:16" s="39" customFormat="1">
      <c r="A253" s="47"/>
      <c r="B253" s="25"/>
      <c r="C253" s="340"/>
      <c r="D253" s="340"/>
      <c r="E253" s="340"/>
      <c r="F253" s="25"/>
      <c r="G253" s="25"/>
      <c r="H253" s="25"/>
      <c r="I253" s="25"/>
      <c r="J253" s="25"/>
      <c r="K253" s="25"/>
      <c r="L253" s="25"/>
      <c r="M253" s="25"/>
      <c r="N253" s="25"/>
      <c r="P253" s="37"/>
    </row>
    <row r="254" spans="1:16" s="39" customFormat="1">
      <c r="A254" s="47"/>
      <c r="B254" s="25"/>
      <c r="C254" s="340"/>
      <c r="D254" s="340"/>
      <c r="E254" s="340"/>
      <c r="F254" s="25"/>
      <c r="G254" s="25"/>
      <c r="H254" s="25"/>
      <c r="I254" s="25"/>
      <c r="J254" s="25"/>
      <c r="K254" s="25"/>
      <c r="L254" s="25"/>
      <c r="M254" s="25"/>
      <c r="N254" s="25"/>
      <c r="P254" s="37"/>
    </row>
    <row r="255" spans="1:16" s="39" customFormat="1">
      <c r="A255" s="47"/>
      <c r="B255" s="25"/>
      <c r="C255" s="340"/>
      <c r="D255" s="340"/>
      <c r="E255" s="340"/>
      <c r="F255" s="25"/>
      <c r="G255" s="25"/>
      <c r="H255" s="25"/>
      <c r="I255" s="25"/>
      <c r="J255" s="25"/>
      <c r="K255" s="25"/>
      <c r="L255" s="25"/>
      <c r="M255" s="25"/>
      <c r="N255" s="25"/>
      <c r="P255" s="37"/>
    </row>
    <row r="256" spans="1:16" s="39" customFormat="1">
      <c r="A256" s="47"/>
      <c r="B256" s="25"/>
      <c r="C256" s="340"/>
      <c r="D256" s="340"/>
      <c r="E256" s="340"/>
      <c r="F256" s="25"/>
      <c r="G256" s="25"/>
      <c r="H256" s="25"/>
      <c r="I256" s="25"/>
      <c r="J256" s="25"/>
      <c r="K256" s="25"/>
      <c r="L256" s="25"/>
      <c r="M256" s="25"/>
      <c r="N256" s="25"/>
      <c r="P256" s="37"/>
    </row>
    <row r="257" spans="1:16" s="39" customFormat="1">
      <c r="A257" s="47"/>
      <c r="B257" s="25"/>
      <c r="C257" s="340"/>
      <c r="D257" s="340"/>
      <c r="E257" s="340"/>
      <c r="F257" s="25"/>
      <c r="G257" s="25"/>
      <c r="H257" s="25"/>
      <c r="I257" s="25"/>
      <c r="J257" s="25"/>
      <c r="K257" s="25"/>
      <c r="L257" s="25"/>
      <c r="M257" s="25"/>
      <c r="N257" s="25"/>
      <c r="P257" s="37"/>
    </row>
    <row r="258" spans="1:16" s="39" customFormat="1">
      <c r="A258" s="47"/>
      <c r="B258" s="25"/>
      <c r="C258" s="340"/>
      <c r="D258" s="340"/>
      <c r="E258" s="340"/>
      <c r="F258" s="25"/>
      <c r="G258" s="25"/>
      <c r="H258" s="25"/>
      <c r="I258" s="25"/>
      <c r="J258" s="25"/>
      <c r="K258" s="25"/>
      <c r="L258" s="25"/>
      <c r="M258" s="25"/>
      <c r="N258" s="25"/>
      <c r="P258" s="37"/>
    </row>
    <row r="259" spans="1:16" s="39" customFormat="1">
      <c r="A259" s="47"/>
      <c r="B259" s="25"/>
      <c r="C259" s="340"/>
      <c r="D259" s="340"/>
      <c r="E259" s="340"/>
      <c r="F259" s="25"/>
      <c r="G259" s="25"/>
      <c r="H259" s="25"/>
      <c r="I259" s="25"/>
      <c r="J259" s="25"/>
      <c r="K259" s="25"/>
      <c r="L259" s="25"/>
      <c r="M259" s="25"/>
      <c r="N259" s="25"/>
      <c r="P259" s="37"/>
    </row>
    <row r="260" spans="1:16" s="39" customFormat="1">
      <c r="A260" s="47"/>
      <c r="B260" s="25"/>
      <c r="C260" s="340"/>
      <c r="D260" s="340"/>
      <c r="E260" s="340"/>
      <c r="F260" s="25"/>
      <c r="G260" s="25"/>
      <c r="H260" s="25"/>
      <c r="I260" s="25"/>
      <c r="J260" s="25"/>
      <c r="K260" s="25"/>
      <c r="L260" s="25"/>
      <c r="M260" s="25"/>
      <c r="N260" s="25"/>
      <c r="P260" s="37"/>
    </row>
    <row r="261" spans="1:16" s="39" customFormat="1">
      <c r="A261" s="47"/>
      <c r="B261" s="25"/>
      <c r="C261" s="340"/>
      <c r="D261" s="340"/>
      <c r="E261" s="340"/>
      <c r="F261" s="25"/>
      <c r="G261" s="25"/>
      <c r="H261" s="25"/>
      <c r="I261" s="25"/>
      <c r="J261" s="25"/>
      <c r="K261" s="25"/>
      <c r="L261" s="25"/>
      <c r="M261" s="25"/>
      <c r="N261" s="25"/>
      <c r="P261" s="37"/>
    </row>
    <row r="262" spans="1:16" s="39" customFormat="1">
      <c r="A262" s="47"/>
      <c r="B262" s="25"/>
      <c r="C262" s="340"/>
      <c r="D262" s="340"/>
      <c r="E262" s="340"/>
      <c r="F262" s="25"/>
      <c r="G262" s="25"/>
      <c r="H262" s="25"/>
      <c r="I262" s="25"/>
      <c r="J262" s="25"/>
      <c r="K262" s="25"/>
      <c r="L262" s="25"/>
      <c r="M262" s="25"/>
      <c r="N262" s="25"/>
      <c r="P262" s="37"/>
    </row>
    <row r="263" spans="1:16" s="39" customFormat="1">
      <c r="A263" s="47"/>
      <c r="B263" s="25"/>
      <c r="C263" s="340"/>
      <c r="D263" s="340"/>
      <c r="E263" s="340"/>
      <c r="F263" s="25"/>
      <c r="G263" s="25"/>
      <c r="H263" s="25"/>
      <c r="I263" s="25"/>
      <c r="J263" s="25"/>
      <c r="K263" s="25"/>
      <c r="L263" s="25"/>
      <c r="M263" s="25"/>
      <c r="N263" s="25"/>
      <c r="P263" s="37"/>
    </row>
    <row r="264" spans="1:16" s="39" customFormat="1">
      <c r="A264" s="47"/>
      <c r="B264" s="25"/>
      <c r="C264" s="340"/>
      <c r="D264" s="340"/>
      <c r="E264" s="340"/>
      <c r="F264" s="25"/>
      <c r="G264" s="25"/>
      <c r="H264" s="25"/>
      <c r="I264" s="25"/>
      <c r="J264" s="25"/>
      <c r="K264" s="25"/>
      <c r="L264" s="25"/>
      <c r="M264" s="25"/>
      <c r="N264" s="25"/>
      <c r="P264" s="37"/>
    </row>
    <row r="265" spans="1:16" s="39" customFormat="1">
      <c r="A265" s="47"/>
      <c r="B265" s="25"/>
      <c r="C265" s="340"/>
      <c r="D265" s="340"/>
      <c r="E265" s="340"/>
      <c r="F265" s="25"/>
      <c r="G265" s="25"/>
      <c r="H265" s="25"/>
      <c r="I265" s="25"/>
      <c r="J265" s="25"/>
      <c r="K265" s="25"/>
      <c r="L265" s="25"/>
      <c r="M265" s="25"/>
      <c r="N265" s="25"/>
      <c r="P265" s="37"/>
    </row>
    <row r="266" spans="1:16" s="39" customFormat="1">
      <c r="A266" s="47"/>
      <c r="B266" s="25"/>
      <c r="C266" s="340"/>
      <c r="D266" s="340"/>
      <c r="E266" s="340"/>
      <c r="F266" s="25"/>
      <c r="G266" s="25"/>
      <c r="H266" s="25"/>
      <c r="I266" s="25"/>
      <c r="J266" s="25"/>
      <c r="K266" s="25"/>
      <c r="L266" s="25"/>
      <c r="M266" s="25"/>
      <c r="N266" s="25"/>
      <c r="P266" s="37"/>
    </row>
    <row r="267" spans="1:16" s="39" customFormat="1">
      <c r="A267" s="47"/>
      <c r="B267" s="25"/>
      <c r="C267" s="340"/>
      <c r="D267" s="340"/>
      <c r="E267" s="340"/>
      <c r="F267" s="25"/>
      <c r="G267" s="25"/>
      <c r="H267" s="25"/>
      <c r="I267" s="25"/>
      <c r="J267" s="25"/>
      <c r="K267" s="25"/>
      <c r="L267" s="25"/>
      <c r="M267" s="25"/>
      <c r="N267" s="25"/>
      <c r="P267" s="37"/>
    </row>
    <row r="268" spans="1:16" s="39" customFormat="1">
      <c r="A268" s="47"/>
      <c r="B268" s="25"/>
      <c r="C268" s="340"/>
      <c r="D268" s="340"/>
      <c r="E268" s="340"/>
      <c r="F268" s="25"/>
      <c r="G268" s="25"/>
      <c r="H268" s="25"/>
      <c r="I268" s="25"/>
      <c r="J268" s="25"/>
      <c r="K268" s="25"/>
      <c r="L268" s="25"/>
      <c r="M268" s="25"/>
      <c r="N268" s="25"/>
      <c r="P268" s="37"/>
    </row>
    <row r="269" spans="1:16" s="39" customFormat="1">
      <c r="A269" s="47"/>
      <c r="B269" s="25"/>
      <c r="C269" s="340"/>
      <c r="D269" s="340"/>
      <c r="E269" s="340"/>
      <c r="F269" s="25"/>
      <c r="G269" s="25"/>
      <c r="H269" s="25"/>
      <c r="I269" s="25"/>
      <c r="J269" s="25"/>
      <c r="K269" s="25"/>
      <c r="L269" s="25"/>
      <c r="M269" s="25"/>
      <c r="N269" s="25"/>
      <c r="P269" s="37"/>
    </row>
    <row r="270" spans="1:16" s="39" customFormat="1">
      <c r="A270" s="47"/>
      <c r="B270" s="25"/>
      <c r="C270" s="340"/>
      <c r="D270" s="340"/>
      <c r="E270" s="340"/>
      <c r="F270" s="25"/>
      <c r="G270" s="25"/>
      <c r="H270" s="25"/>
      <c r="I270" s="25"/>
      <c r="J270" s="25"/>
      <c r="K270" s="25"/>
      <c r="L270" s="25"/>
      <c r="M270" s="25"/>
      <c r="N270" s="25"/>
      <c r="P270" s="37"/>
    </row>
    <row r="271" spans="1:16" s="39" customFormat="1">
      <c r="A271" s="47"/>
      <c r="B271" s="25"/>
      <c r="C271" s="340"/>
      <c r="D271" s="340"/>
      <c r="E271" s="340"/>
      <c r="F271" s="25"/>
      <c r="G271" s="25"/>
      <c r="H271" s="25"/>
      <c r="I271" s="25"/>
      <c r="J271" s="25"/>
      <c r="K271" s="25"/>
      <c r="L271" s="25"/>
      <c r="M271" s="25"/>
      <c r="N271" s="25"/>
      <c r="P271" s="37"/>
    </row>
    <row r="272" spans="1:16" s="39" customFormat="1">
      <c r="A272" s="47"/>
      <c r="B272" s="25"/>
      <c r="C272" s="340"/>
      <c r="D272" s="340"/>
      <c r="E272" s="340"/>
      <c r="F272" s="25"/>
      <c r="G272" s="25"/>
      <c r="H272" s="25"/>
      <c r="I272" s="25"/>
      <c r="J272" s="25"/>
      <c r="K272" s="25"/>
      <c r="L272" s="25"/>
      <c r="M272" s="25"/>
      <c r="N272" s="25"/>
      <c r="P272" s="37"/>
    </row>
    <row r="273" spans="1:16" s="39" customFormat="1">
      <c r="A273" s="47"/>
      <c r="B273" s="25"/>
      <c r="C273" s="340"/>
      <c r="D273" s="340"/>
      <c r="E273" s="340"/>
      <c r="F273" s="25"/>
      <c r="G273" s="25"/>
      <c r="H273" s="25"/>
      <c r="I273" s="25"/>
      <c r="J273" s="25"/>
      <c r="K273" s="25"/>
      <c r="L273" s="25"/>
      <c r="M273" s="25"/>
      <c r="N273" s="25"/>
      <c r="P273" s="37"/>
    </row>
    <row r="274" spans="1:16" s="39" customFormat="1">
      <c r="A274" s="47"/>
      <c r="B274" s="25"/>
      <c r="C274" s="340"/>
      <c r="D274" s="340"/>
      <c r="E274" s="340"/>
      <c r="F274" s="25"/>
      <c r="G274" s="25"/>
      <c r="H274" s="25"/>
      <c r="I274" s="25"/>
      <c r="J274" s="25"/>
      <c r="K274" s="25"/>
      <c r="L274" s="25"/>
      <c r="M274" s="25"/>
      <c r="N274" s="25"/>
      <c r="P274" s="37"/>
    </row>
    <row r="275" spans="1:16" s="39" customFormat="1">
      <c r="A275" s="47"/>
      <c r="B275" s="25"/>
      <c r="C275" s="340"/>
      <c r="D275" s="340"/>
      <c r="E275" s="340"/>
      <c r="F275" s="25"/>
      <c r="G275" s="25"/>
      <c r="H275" s="25"/>
      <c r="I275" s="25"/>
      <c r="J275" s="25"/>
      <c r="K275" s="25"/>
      <c r="L275" s="25"/>
      <c r="M275" s="25"/>
      <c r="N275" s="25"/>
      <c r="P275" s="37"/>
    </row>
    <row r="276" spans="1:16" s="39" customFormat="1">
      <c r="A276" s="47"/>
      <c r="B276" s="25"/>
      <c r="C276" s="340"/>
      <c r="D276" s="340"/>
      <c r="E276" s="340"/>
      <c r="F276" s="25"/>
      <c r="G276" s="25"/>
      <c r="H276" s="25"/>
      <c r="I276" s="25"/>
      <c r="J276" s="25"/>
      <c r="K276" s="25"/>
      <c r="L276" s="25"/>
      <c r="M276" s="25"/>
      <c r="N276" s="25"/>
      <c r="P276" s="37"/>
    </row>
    <row r="277" spans="1:16" s="39" customFormat="1">
      <c r="A277" s="47"/>
      <c r="B277" s="25"/>
      <c r="C277" s="340"/>
      <c r="D277" s="340"/>
      <c r="E277" s="340"/>
      <c r="F277" s="25"/>
      <c r="G277" s="25"/>
      <c r="H277" s="25"/>
      <c r="I277" s="25"/>
      <c r="J277" s="25"/>
      <c r="K277" s="25"/>
      <c r="L277" s="25"/>
      <c r="M277" s="25"/>
      <c r="N277" s="25"/>
      <c r="P277" s="37"/>
    </row>
    <row r="278" spans="1:16" s="39" customFormat="1">
      <c r="A278" s="47"/>
      <c r="B278" s="25"/>
      <c r="C278" s="340"/>
      <c r="D278" s="340"/>
      <c r="E278" s="340"/>
      <c r="F278" s="25"/>
      <c r="G278" s="25"/>
      <c r="H278" s="25"/>
      <c r="I278" s="25"/>
      <c r="J278" s="25"/>
      <c r="K278" s="25"/>
      <c r="L278" s="25"/>
      <c r="M278" s="25"/>
      <c r="N278" s="25"/>
      <c r="P278" s="37"/>
    </row>
    <row r="279" spans="1:16" s="39" customFormat="1">
      <c r="A279" s="47"/>
      <c r="B279" s="25"/>
      <c r="C279" s="340"/>
      <c r="D279" s="340"/>
      <c r="E279" s="340"/>
      <c r="F279" s="25"/>
      <c r="G279" s="25"/>
      <c r="H279" s="25"/>
      <c r="I279" s="25"/>
      <c r="J279" s="25"/>
      <c r="K279" s="25"/>
      <c r="L279" s="25"/>
      <c r="M279" s="25"/>
      <c r="N279" s="25"/>
      <c r="P279" s="37"/>
    </row>
    <row r="280" spans="1:16" s="39" customFormat="1">
      <c r="A280" s="47"/>
      <c r="B280" s="25"/>
      <c r="C280" s="340"/>
      <c r="D280" s="340"/>
      <c r="E280" s="340"/>
      <c r="F280" s="25"/>
      <c r="G280" s="25"/>
      <c r="H280" s="25"/>
      <c r="I280" s="25"/>
      <c r="J280" s="25"/>
      <c r="K280" s="25"/>
      <c r="L280" s="25"/>
      <c r="M280" s="25"/>
      <c r="N280" s="25"/>
      <c r="P280" s="37"/>
    </row>
    <row r="281" spans="1:16" s="39" customFormat="1">
      <c r="A281" s="47"/>
      <c r="B281" s="25"/>
      <c r="C281" s="340"/>
      <c r="D281" s="340"/>
      <c r="E281" s="340"/>
      <c r="F281" s="25"/>
      <c r="G281" s="25"/>
      <c r="H281" s="25"/>
      <c r="I281" s="25"/>
      <c r="J281" s="25"/>
      <c r="K281" s="25"/>
      <c r="L281" s="25"/>
      <c r="M281" s="25"/>
      <c r="N281" s="25"/>
      <c r="P281" s="37"/>
    </row>
    <row r="282" spans="1:16" s="39" customFormat="1">
      <c r="A282" s="47"/>
      <c r="B282" s="25"/>
      <c r="C282" s="340"/>
      <c r="D282" s="340"/>
      <c r="E282" s="340"/>
      <c r="F282" s="25"/>
      <c r="G282" s="25"/>
      <c r="H282" s="25"/>
      <c r="I282" s="25"/>
      <c r="J282" s="25"/>
      <c r="K282" s="25"/>
      <c r="L282" s="25"/>
      <c r="M282" s="25"/>
      <c r="N282" s="25"/>
      <c r="P282" s="37"/>
    </row>
    <row r="283" spans="1:16" s="39" customFormat="1">
      <c r="A283" s="47"/>
      <c r="B283" s="25"/>
      <c r="C283" s="340"/>
      <c r="D283" s="340"/>
      <c r="E283" s="340"/>
      <c r="F283" s="25"/>
      <c r="G283" s="25"/>
      <c r="H283" s="25"/>
      <c r="I283" s="25"/>
      <c r="J283" s="25"/>
      <c r="K283" s="25"/>
      <c r="L283" s="25"/>
      <c r="M283" s="25"/>
      <c r="N283" s="25"/>
      <c r="P283" s="37"/>
    </row>
    <row r="284" spans="1:16" s="39" customFormat="1">
      <c r="A284" s="47"/>
      <c r="B284" s="25"/>
      <c r="C284" s="340"/>
      <c r="D284" s="340"/>
      <c r="E284" s="340"/>
      <c r="F284" s="25"/>
      <c r="G284" s="25"/>
      <c r="H284" s="25"/>
      <c r="I284" s="25"/>
      <c r="J284" s="25"/>
      <c r="K284" s="25"/>
      <c r="L284" s="25"/>
      <c r="M284" s="25"/>
      <c r="N284" s="25"/>
      <c r="P284" s="37"/>
    </row>
    <row r="285" spans="1:16" s="39" customFormat="1">
      <c r="A285" s="47"/>
      <c r="B285" s="25"/>
      <c r="C285" s="340"/>
      <c r="D285" s="340"/>
      <c r="E285" s="340"/>
      <c r="F285" s="25"/>
      <c r="G285" s="25"/>
      <c r="H285" s="25"/>
      <c r="I285" s="25"/>
      <c r="J285" s="25"/>
      <c r="K285" s="25"/>
      <c r="L285" s="25"/>
      <c r="M285" s="25"/>
      <c r="N285" s="25"/>
      <c r="P285" s="37"/>
    </row>
    <row r="286" spans="1:16" s="39" customFormat="1">
      <c r="A286" s="47"/>
      <c r="B286" s="25"/>
      <c r="C286" s="340"/>
      <c r="D286" s="340"/>
      <c r="E286" s="340"/>
      <c r="F286" s="25"/>
      <c r="G286" s="25"/>
      <c r="H286" s="25"/>
      <c r="I286" s="25"/>
      <c r="J286" s="25"/>
      <c r="K286" s="25"/>
      <c r="L286" s="25"/>
      <c r="M286" s="25"/>
      <c r="N286" s="25"/>
      <c r="P286" s="37"/>
    </row>
    <row r="287" spans="1:16" s="39" customFormat="1">
      <c r="A287" s="47"/>
      <c r="B287" s="25"/>
      <c r="C287" s="340"/>
      <c r="D287" s="340"/>
      <c r="E287" s="340"/>
      <c r="F287" s="25"/>
      <c r="G287" s="25"/>
      <c r="H287" s="25"/>
      <c r="I287" s="25"/>
      <c r="J287" s="25"/>
      <c r="K287" s="25"/>
      <c r="L287" s="25"/>
      <c r="M287" s="25"/>
      <c r="N287" s="25"/>
      <c r="P287" s="37"/>
    </row>
    <row r="288" spans="1:16" s="39" customFormat="1">
      <c r="A288" s="47"/>
      <c r="B288" s="25"/>
      <c r="C288" s="340"/>
      <c r="D288" s="340"/>
      <c r="E288" s="340"/>
      <c r="F288" s="25"/>
      <c r="G288" s="25"/>
      <c r="H288" s="25"/>
      <c r="I288" s="25"/>
      <c r="J288" s="25"/>
      <c r="K288" s="25"/>
      <c r="L288" s="25"/>
      <c r="M288" s="25"/>
      <c r="N288" s="25"/>
      <c r="P288" s="37"/>
    </row>
    <row r="289" spans="1:16" s="39" customFormat="1">
      <c r="A289" s="47"/>
      <c r="B289" s="25"/>
      <c r="C289" s="340"/>
      <c r="D289" s="340"/>
      <c r="E289" s="340"/>
      <c r="F289" s="25"/>
      <c r="G289" s="25"/>
      <c r="H289" s="25"/>
      <c r="I289" s="25"/>
      <c r="J289" s="25"/>
      <c r="K289" s="25"/>
      <c r="L289" s="25"/>
      <c r="M289" s="25"/>
      <c r="N289" s="25"/>
      <c r="P289" s="37"/>
    </row>
    <row r="290" spans="1:16" s="39" customFormat="1">
      <c r="A290" s="47"/>
      <c r="B290" s="25"/>
      <c r="C290" s="340"/>
      <c r="D290" s="340"/>
      <c r="E290" s="340"/>
      <c r="F290" s="25"/>
      <c r="G290" s="25"/>
      <c r="H290" s="25"/>
      <c r="I290" s="25"/>
      <c r="J290" s="25"/>
      <c r="K290" s="25"/>
      <c r="L290" s="25"/>
      <c r="M290" s="25"/>
      <c r="N290" s="25"/>
      <c r="P290" s="37"/>
    </row>
    <row r="291" spans="1:16" s="39" customFormat="1">
      <c r="A291" s="47"/>
      <c r="B291" s="25"/>
      <c r="C291" s="340"/>
      <c r="D291" s="340"/>
      <c r="E291" s="340"/>
      <c r="F291" s="25"/>
      <c r="G291" s="25"/>
      <c r="H291" s="25"/>
      <c r="I291" s="25"/>
      <c r="J291" s="25"/>
      <c r="K291" s="25"/>
      <c r="L291" s="25"/>
      <c r="M291" s="25"/>
      <c r="N291" s="25"/>
      <c r="P291" s="37"/>
    </row>
    <row r="292" spans="1:16" s="39" customFormat="1">
      <c r="A292" s="47"/>
      <c r="B292" s="25"/>
      <c r="C292" s="340"/>
      <c r="D292" s="340"/>
      <c r="E292" s="340"/>
      <c r="F292" s="25"/>
      <c r="G292" s="25"/>
      <c r="H292" s="25"/>
      <c r="I292" s="25"/>
      <c r="J292" s="25"/>
      <c r="K292" s="25"/>
      <c r="L292" s="25"/>
      <c r="M292" s="25"/>
      <c r="N292" s="25"/>
      <c r="P292" s="37"/>
    </row>
    <row r="293" spans="1:16" s="39" customFormat="1">
      <c r="A293" s="47"/>
      <c r="B293" s="25"/>
      <c r="C293" s="340"/>
      <c r="D293" s="340"/>
      <c r="E293" s="340"/>
      <c r="F293" s="25"/>
      <c r="G293" s="25"/>
      <c r="H293" s="25"/>
      <c r="I293" s="25"/>
      <c r="J293" s="25"/>
      <c r="K293" s="25"/>
      <c r="L293" s="25"/>
      <c r="M293" s="25"/>
      <c r="N293" s="25"/>
      <c r="P293" s="37"/>
    </row>
    <row r="294" spans="1:16" s="39" customFormat="1">
      <c r="A294" s="47"/>
      <c r="B294" s="25"/>
      <c r="C294" s="340"/>
      <c r="D294" s="340"/>
      <c r="E294" s="340"/>
      <c r="F294" s="25"/>
      <c r="G294" s="25"/>
      <c r="H294" s="25"/>
      <c r="I294" s="25"/>
      <c r="J294" s="25"/>
      <c r="K294" s="25"/>
      <c r="L294" s="25"/>
      <c r="M294" s="25"/>
      <c r="N294" s="25"/>
      <c r="P294" s="37"/>
    </row>
    <row r="295" spans="1:16" s="39" customFormat="1">
      <c r="A295" s="47"/>
      <c r="B295" s="25"/>
      <c r="C295" s="340"/>
      <c r="D295" s="340"/>
      <c r="E295" s="340"/>
      <c r="F295" s="25"/>
      <c r="G295" s="25"/>
      <c r="H295" s="25"/>
      <c r="I295" s="25"/>
      <c r="J295" s="25"/>
      <c r="K295" s="25"/>
      <c r="L295" s="25"/>
      <c r="M295" s="25"/>
      <c r="N295" s="25"/>
      <c r="P295" s="37"/>
    </row>
    <row r="296" spans="1:16" s="39" customFormat="1">
      <c r="A296" s="47"/>
      <c r="B296" s="25"/>
      <c r="C296" s="340"/>
      <c r="D296" s="340"/>
      <c r="E296" s="340"/>
      <c r="F296" s="25"/>
      <c r="G296" s="25"/>
      <c r="H296" s="25"/>
      <c r="I296" s="25"/>
      <c r="J296" s="25"/>
      <c r="K296" s="25"/>
      <c r="L296" s="25"/>
      <c r="M296" s="25"/>
      <c r="N296" s="25"/>
      <c r="P296" s="37"/>
    </row>
    <row r="297" spans="1:16" s="39" customFormat="1">
      <c r="A297" s="47"/>
      <c r="B297" s="25"/>
      <c r="C297" s="340"/>
      <c r="D297" s="340"/>
      <c r="E297" s="340"/>
      <c r="F297" s="25"/>
      <c r="G297" s="25"/>
      <c r="H297" s="25"/>
      <c r="I297" s="25"/>
      <c r="J297" s="25"/>
      <c r="K297" s="25"/>
      <c r="L297" s="25"/>
      <c r="M297" s="25"/>
      <c r="N297" s="25"/>
      <c r="P297" s="37"/>
    </row>
    <row r="298" spans="1:16" s="39" customFormat="1">
      <c r="A298" s="47"/>
      <c r="B298" s="25"/>
      <c r="C298" s="340"/>
      <c r="D298" s="340"/>
      <c r="E298" s="340"/>
      <c r="F298" s="25"/>
      <c r="G298" s="25"/>
      <c r="H298" s="25"/>
      <c r="I298" s="25"/>
      <c r="J298" s="25"/>
      <c r="K298" s="25"/>
      <c r="L298" s="25"/>
      <c r="M298" s="25"/>
      <c r="N298" s="25"/>
      <c r="P298" s="37"/>
    </row>
    <row r="299" spans="1:16" s="39" customFormat="1">
      <c r="A299" s="47"/>
      <c r="B299" s="25"/>
      <c r="C299" s="340"/>
      <c r="D299" s="340"/>
      <c r="E299" s="340"/>
      <c r="F299" s="25"/>
      <c r="G299" s="25"/>
      <c r="H299" s="25"/>
      <c r="I299" s="25"/>
      <c r="J299" s="25"/>
      <c r="K299" s="25"/>
      <c r="L299" s="25"/>
      <c r="M299" s="25"/>
      <c r="N299" s="25"/>
      <c r="P299" s="37"/>
    </row>
    <row r="300" spans="1:16" s="39" customFormat="1">
      <c r="A300" s="47"/>
      <c r="B300" s="25"/>
      <c r="C300" s="340"/>
      <c r="D300" s="340"/>
      <c r="E300" s="340"/>
      <c r="F300" s="25"/>
      <c r="G300" s="25"/>
      <c r="H300" s="25"/>
      <c r="I300" s="25"/>
      <c r="J300" s="25"/>
      <c r="K300" s="25"/>
      <c r="L300" s="25"/>
      <c r="M300" s="25"/>
      <c r="N300" s="25"/>
      <c r="P300" s="37"/>
    </row>
    <row r="301" spans="1:16" s="39" customFormat="1">
      <c r="A301" s="47"/>
      <c r="B301" s="25"/>
      <c r="C301" s="340"/>
      <c r="D301" s="340"/>
      <c r="E301" s="340"/>
      <c r="F301" s="25"/>
      <c r="G301" s="25"/>
      <c r="H301" s="25"/>
      <c r="I301" s="25"/>
      <c r="J301" s="25"/>
      <c r="K301" s="25"/>
      <c r="L301" s="25"/>
      <c r="M301" s="25"/>
      <c r="N301" s="25"/>
      <c r="P301" s="37"/>
    </row>
    <row r="302" spans="1:16" s="39" customFormat="1">
      <c r="A302" s="47"/>
      <c r="B302" s="25"/>
      <c r="C302" s="340"/>
      <c r="D302" s="340"/>
      <c r="E302" s="340"/>
      <c r="F302" s="25"/>
      <c r="G302" s="25"/>
      <c r="H302" s="25"/>
      <c r="I302" s="25"/>
      <c r="J302" s="25"/>
      <c r="K302" s="25"/>
      <c r="L302" s="25"/>
      <c r="M302" s="25"/>
      <c r="N302" s="25"/>
      <c r="P302" s="37"/>
    </row>
    <row r="303" spans="1:16" s="39" customFormat="1">
      <c r="A303" s="47"/>
      <c r="B303" s="25"/>
      <c r="C303" s="340"/>
      <c r="D303" s="340"/>
      <c r="E303" s="340"/>
      <c r="F303" s="25"/>
      <c r="G303" s="25"/>
      <c r="H303" s="25"/>
      <c r="I303" s="25"/>
      <c r="J303" s="25"/>
      <c r="K303" s="25"/>
      <c r="L303" s="25"/>
      <c r="M303" s="25"/>
      <c r="N303" s="25"/>
      <c r="P303" s="37"/>
    </row>
    <row r="304" spans="1:16" s="39" customFormat="1">
      <c r="A304" s="47"/>
      <c r="B304" s="25"/>
      <c r="C304" s="340"/>
      <c r="D304" s="340"/>
      <c r="E304" s="340"/>
      <c r="F304" s="25"/>
      <c r="G304" s="25"/>
      <c r="H304" s="25"/>
      <c r="I304" s="25"/>
      <c r="J304" s="25"/>
      <c r="K304" s="25"/>
      <c r="L304" s="25"/>
      <c r="M304" s="25"/>
      <c r="N304" s="25"/>
      <c r="P304" s="37"/>
    </row>
    <row r="305" spans="1:16" s="39" customFormat="1">
      <c r="A305" s="47"/>
      <c r="B305" s="25"/>
      <c r="C305" s="340"/>
      <c r="D305" s="340"/>
      <c r="E305" s="340"/>
      <c r="F305" s="25"/>
      <c r="G305" s="25"/>
      <c r="H305" s="25"/>
      <c r="I305" s="25"/>
      <c r="J305" s="25"/>
      <c r="K305" s="25"/>
      <c r="L305" s="25"/>
      <c r="M305" s="25"/>
      <c r="N305" s="25"/>
      <c r="P305" s="37"/>
    </row>
    <row r="306" spans="1:16" s="39" customFormat="1">
      <c r="A306" s="47"/>
      <c r="B306" s="25"/>
      <c r="C306" s="340"/>
      <c r="D306" s="340"/>
      <c r="E306" s="340"/>
      <c r="F306" s="25"/>
      <c r="G306" s="25"/>
      <c r="H306" s="25"/>
      <c r="I306" s="25"/>
      <c r="J306" s="25"/>
      <c r="K306" s="25"/>
      <c r="L306" s="25"/>
      <c r="M306" s="25"/>
      <c r="N306" s="25"/>
      <c r="P306" s="37"/>
    </row>
    <row r="307" spans="1:16" s="39" customFormat="1">
      <c r="A307" s="47"/>
      <c r="B307" s="25"/>
      <c r="C307" s="340"/>
      <c r="D307" s="340"/>
      <c r="E307" s="340"/>
      <c r="F307" s="25"/>
      <c r="G307" s="25"/>
      <c r="H307" s="25"/>
      <c r="I307" s="25"/>
      <c r="J307" s="25"/>
      <c r="K307" s="25"/>
      <c r="L307" s="25"/>
      <c r="M307" s="25"/>
      <c r="N307" s="25"/>
      <c r="P307" s="37"/>
    </row>
    <row r="308" spans="1:16" s="39" customFormat="1">
      <c r="A308" s="47"/>
      <c r="B308" s="25"/>
      <c r="C308" s="340"/>
      <c r="D308" s="340"/>
      <c r="E308" s="340"/>
      <c r="F308" s="25"/>
      <c r="G308" s="25"/>
      <c r="H308" s="25"/>
      <c r="I308" s="25"/>
      <c r="J308" s="25"/>
      <c r="K308" s="25"/>
      <c r="L308" s="25"/>
      <c r="M308" s="25"/>
      <c r="N308" s="25"/>
      <c r="P308" s="37"/>
    </row>
    <row r="309" spans="1:16" s="39" customFormat="1">
      <c r="A309" s="47"/>
      <c r="B309" s="25"/>
      <c r="C309" s="340"/>
      <c r="D309" s="340"/>
      <c r="E309" s="340"/>
      <c r="F309" s="25"/>
      <c r="G309" s="25"/>
      <c r="H309" s="25"/>
      <c r="I309" s="25"/>
      <c r="J309" s="25"/>
      <c r="K309" s="25"/>
      <c r="L309" s="25"/>
      <c r="M309" s="25"/>
      <c r="N309" s="25"/>
      <c r="P309" s="37"/>
    </row>
    <row r="310" spans="1:16" s="39" customFormat="1">
      <c r="A310" s="47"/>
      <c r="B310" s="25"/>
      <c r="C310" s="340"/>
      <c r="D310" s="340"/>
      <c r="E310" s="340"/>
      <c r="F310" s="25"/>
      <c r="G310" s="25"/>
      <c r="H310" s="25"/>
      <c r="I310" s="25"/>
      <c r="J310" s="25"/>
      <c r="K310" s="25"/>
      <c r="L310" s="25"/>
      <c r="M310" s="25"/>
      <c r="N310" s="25"/>
      <c r="P310" s="37"/>
    </row>
    <row r="311" spans="1:16" s="39" customFormat="1">
      <c r="A311" s="47"/>
      <c r="B311" s="25"/>
      <c r="C311" s="340"/>
      <c r="D311" s="340"/>
      <c r="E311" s="340"/>
      <c r="F311" s="25"/>
      <c r="G311" s="25"/>
      <c r="H311" s="25"/>
      <c r="I311" s="25"/>
      <c r="J311" s="25"/>
      <c r="K311" s="25"/>
      <c r="L311" s="25"/>
      <c r="M311" s="25"/>
      <c r="N311" s="25"/>
      <c r="P311" s="37"/>
    </row>
    <row r="312" spans="1:16" s="39" customFormat="1">
      <c r="A312" s="47"/>
      <c r="B312" s="25"/>
      <c r="C312" s="340"/>
      <c r="D312" s="340"/>
      <c r="E312" s="340"/>
      <c r="F312" s="25"/>
      <c r="G312" s="25"/>
      <c r="H312" s="25"/>
      <c r="I312" s="25"/>
      <c r="J312" s="25"/>
      <c r="K312" s="25"/>
      <c r="L312" s="25"/>
      <c r="M312" s="25"/>
      <c r="N312" s="25"/>
      <c r="P312" s="37"/>
    </row>
    <row r="313" spans="1:16" s="39" customFormat="1">
      <c r="A313" s="47"/>
      <c r="B313" s="25"/>
      <c r="C313" s="340"/>
      <c r="D313" s="340"/>
      <c r="E313" s="340"/>
      <c r="F313" s="25"/>
      <c r="G313" s="25"/>
      <c r="H313" s="25"/>
      <c r="I313" s="25"/>
      <c r="J313" s="25"/>
      <c r="K313" s="25"/>
      <c r="L313" s="25"/>
      <c r="M313" s="25"/>
      <c r="N313" s="25"/>
      <c r="P313" s="37"/>
    </row>
    <row r="314" spans="1:16" s="39" customFormat="1">
      <c r="A314" s="47"/>
      <c r="B314" s="25"/>
      <c r="C314" s="340"/>
      <c r="D314" s="340"/>
      <c r="E314" s="340"/>
      <c r="F314" s="25"/>
      <c r="G314" s="25"/>
      <c r="H314" s="25"/>
      <c r="I314" s="25"/>
      <c r="J314" s="25"/>
      <c r="K314" s="25"/>
      <c r="L314" s="25"/>
      <c r="M314" s="25"/>
      <c r="N314" s="25"/>
      <c r="P314" s="37"/>
    </row>
    <row r="315" spans="1:16" s="39" customFormat="1">
      <c r="A315" s="47"/>
      <c r="B315" s="25"/>
      <c r="C315" s="340"/>
      <c r="D315" s="340"/>
      <c r="E315" s="340"/>
      <c r="F315" s="25"/>
      <c r="G315" s="25"/>
      <c r="H315" s="25"/>
      <c r="I315" s="25"/>
      <c r="J315" s="25"/>
      <c r="K315" s="25"/>
      <c r="L315" s="25"/>
      <c r="M315" s="25"/>
      <c r="N315" s="25"/>
      <c r="P315" s="37"/>
    </row>
    <row r="316" spans="1:16" s="39" customFormat="1">
      <c r="A316" s="47"/>
      <c r="B316" s="25"/>
      <c r="C316" s="340"/>
      <c r="D316" s="340"/>
      <c r="E316" s="340"/>
      <c r="F316" s="25"/>
      <c r="G316" s="25"/>
      <c r="H316" s="25"/>
      <c r="I316" s="25"/>
      <c r="J316" s="25"/>
      <c r="K316" s="25"/>
      <c r="L316" s="25"/>
      <c r="M316" s="25"/>
      <c r="N316" s="25"/>
      <c r="P316" s="37"/>
    </row>
    <row r="317" spans="1:16" s="39" customFormat="1">
      <c r="A317" s="47"/>
      <c r="B317" s="25"/>
      <c r="C317" s="340"/>
      <c r="D317" s="340"/>
      <c r="E317" s="340"/>
      <c r="F317" s="25"/>
      <c r="G317" s="25"/>
      <c r="H317" s="25"/>
      <c r="I317" s="25"/>
      <c r="J317" s="25"/>
      <c r="K317" s="25"/>
      <c r="L317" s="25"/>
      <c r="M317" s="25"/>
      <c r="N317" s="25"/>
      <c r="P317" s="37"/>
    </row>
    <row r="318" spans="1:16" s="39" customFormat="1">
      <c r="A318" s="47"/>
      <c r="B318" s="25"/>
      <c r="C318" s="340"/>
      <c r="D318" s="340"/>
      <c r="E318" s="340"/>
      <c r="F318" s="25"/>
      <c r="G318" s="25"/>
      <c r="H318" s="25"/>
      <c r="I318" s="25"/>
      <c r="J318" s="25"/>
      <c r="K318" s="25"/>
      <c r="L318" s="25"/>
      <c r="M318" s="25"/>
      <c r="N318" s="25"/>
      <c r="P318" s="37"/>
    </row>
    <row r="319" spans="1:16" s="39" customFormat="1">
      <c r="A319" s="47"/>
      <c r="B319" s="25"/>
      <c r="C319" s="340"/>
      <c r="D319" s="340"/>
      <c r="E319" s="340"/>
      <c r="F319" s="25"/>
      <c r="G319" s="25"/>
      <c r="H319" s="25"/>
      <c r="I319" s="25"/>
      <c r="J319" s="25"/>
      <c r="K319" s="25"/>
      <c r="L319" s="25"/>
      <c r="M319" s="25"/>
      <c r="N319" s="25"/>
      <c r="P319" s="37"/>
    </row>
    <row r="320" spans="1:16" s="39" customFormat="1">
      <c r="A320" s="47"/>
      <c r="B320" s="25"/>
      <c r="C320" s="340"/>
      <c r="D320" s="340"/>
      <c r="E320" s="340"/>
      <c r="F320" s="25"/>
      <c r="G320" s="25"/>
      <c r="H320" s="25"/>
      <c r="I320" s="25"/>
      <c r="J320" s="25"/>
      <c r="K320" s="25"/>
      <c r="L320" s="25"/>
      <c r="M320" s="25"/>
      <c r="N320" s="25"/>
      <c r="P320" s="37"/>
    </row>
    <row r="321" spans="1:16" s="39" customFormat="1">
      <c r="A321" s="47"/>
      <c r="B321" s="25"/>
      <c r="C321" s="340"/>
      <c r="D321" s="340"/>
      <c r="E321" s="340"/>
      <c r="F321" s="25"/>
      <c r="G321" s="25"/>
      <c r="H321" s="25"/>
      <c r="I321" s="25"/>
      <c r="J321" s="25"/>
      <c r="K321" s="25"/>
      <c r="L321" s="25"/>
      <c r="M321" s="25"/>
      <c r="N321" s="25"/>
      <c r="P321" s="37"/>
    </row>
    <row r="322" spans="1:16" s="39" customFormat="1">
      <c r="A322" s="47"/>
      <c r="B322" s="25"/>
      <c r="C322" s="340"/>
      <c r="D322" s="340"/>
      <c r="E322" s="340"/>
      <c r="F322" s="25"/>
      <c r="G322" s="25"/>
      <c r="H322" s="25"/>
      <c r="I322" s="25"/>
      <c r="J322" s="25"/>
      <c r="K322" s="25"/>
      <c r="L322" s="25"/>
      <c r="M322" s="25"/>
      <c r="N322" s="25"/>
      <c r="P322" s="37"/>
    </row>
    <row r="323" spans="1:16" s="39" customFormat="1">
      <c r="A323" s="47"/>
      <c r="B323" s="25"/>
      <c r="C323" s="340"/>
      <c r="D323" s="340"/>
      <c r="E323" s="340"/>
      <c r="F323" s="25"/>
      <c r="G323" s="25"/>
      <c r="H323" s="25"/>
      <c r="I323" s="25"/>
      <c r="J323" s="25"/>
      <c r="K323" s="25"/>
      <c r="L323" s="25"/>
      <c r="M323" s="25"/>
      <c r="N323" s="25"/>
      <c r="P323" s="37"/>
    </row>
    <row r="324" spans="1:16" s="39" customFormat="1">
      <c r="A324" s="47"/>
      <c r="B324" s="25"/>
      <c r="C324" s="340"/>
      <c r="D324" s="340"/>
      <c r="E324" s="340"/>
      <c r="F324" s="25"/>
      <c r="G324" s="25"/>
      <c r="H324" s="25"/>
      <c r="I324" s="25"/>
      <c r="J324" s="25"/>
      <c r="K324" s="25"/>
      <c r="L324" s="25"/>
      <c r="M324" s="25"/>
      <c r="N324" s="25"/>
      <c r="P324" s="37"/>
    </row>
    <row r="325" spans="1:16" s="39" customFormat="1">
      <c r="A325" s="47"/>
      <c r="B325" s="25"/>
      <c r="C325" s="340"/>
      <c r="D325" s="340"/>
      <c r="E325" s="340"/>
      <c r="F325" s="25"/>
      <c r="G325" s="25"/>
      <c r="H325" s="25"/>
      <c r="I325" s="25"/>
      <c r="J325" s="25"/>
      <c r="K325" s="25"/>
      <c r="L325" s="25"/>
      <c r="M325" s="25"/>
      <c r="N325" s="25"/>
      <c r="P325" s="37"/>
    </row>
    <row r="326" spans="1:16" s="39" customFormat="1">
      <c r="A326" s="47"/>
      <c r="B326" s="25"/>
      <c r="C326" s="340"/>
      <c r="D326" s="340"/>
      <c r="E326" s="340"/>
      <c r="F326" s="25"/>
      <c r="G326" s="25"/>
      <c r="H326" s="25"/>
      <c r="I326" s="25"/>
      <c r="J326" s="25"/>
      <c r="K326" s="25"/>
      <c r="L326" s="25"/>
      <c r="M326" s="25"/>
      <c r="N326" s="25"/>
      <c r="P326" s="37"/>
    </row>
    <row r="327" spans="1:16" s="39" customFormat="1">
      <c r="A327" s="47"/>
      <c r="B327" s="25"/>
      <c r="C327" s="340"/>
      <c r="D327" s="340"/>
      <c r="E327" s="340"/>
      <c r="F327" s="25"/>
      <c r="G327" s="25"/>
      <c r="H327" s="25"/>
      <c r="I327" s="25"/>
      <c r="J327" s="25"/>
      <c r="K327" s="25"/>
      <c r="L327" s="25"/>
      <c r="M327" s="25"/>
      <c r="N327" s="25"/>
      <c r="P327" s="37"/>
    </row>
    <row r="328" spans="1:16" s="39" customFormat="1">
      <c r="A328" s="47"/>
      <c r="B328" s="25"/>
      <c r="C328" s="340"/>
      <c r="D328" s="340"/>
      <c r="E328" s="340"/>
      <c r="F328" s="25"/>
      <c r="G328" s="25"/>
      <c r="H328" s="25"/>
      <c r="I328" s="25"/>
      <c r="J328" s="25"/>
      <c r="K328" s="25"/>
      <c r="L328" s="25"/>
      <c r="M328" s="25"/>
      <c r="N328" s="25"/>
      <c r="P328" s="37"/>
    </row>
    <row r="329" spans="1:16" s="39" customFormat="1">
      <c r="A329" s="47"/>
      <c r="B329" s="25"/>
      <c r="C329" s="340"/>
      <c r="D329" s="340"/>
      <c r="E329" s="340"/>
      <c r="F329" s="25"/>
      <c r="G329" s="25"/>
      <c r="H329" s="25"/>
      <c r="I329" s="25"/>
      <c r="J329" s="25"/>
      <c r="K329" s="25"/>
      <c r="L329" s="25"/>
      <c r="M329" s="25"/>
      <c r="N329" s="25"/>
      <c r="P329" s="37"/>
    </row>
    <row r="330" spans="1:16" s="39" customFormat="1">
      <c r="A330" s="47"/>
      <c r="B330" s="25"/>
      <c r="C330" s="340"/>
      <c r="D330" s="340"/>
      <c r="E330" s="340"/>
      <c r="F330" s="25"/>
      <c r="G330" s="25"/>
      <c r="H330" s="25"/>
      <c r="I330" s="25"/>
      <c r="J330" s="25"/>
      <c r="K330" s="25"/>
      <c r="L330" s="25"/>
      <c r="M330" s="25"/>
      <c r="N330" s="25"/>
      <c r="P330" s="37"/>
    </row>
    <row r="331" spans="1:16" s="39" customFormat="1">
      <c r="A331" s="47"/>
      <c r="B331" s="25"/>
      <c r="C331" s="340"/>
      <c r="D331" s="340"/>
      <c r="E331" s="340"/>
      <c r="F331" s="25"/>
      <c r="G331" s="25"/>
      <c r="H331" s="25"/>
      <c r="I331" s="25"/>
      <c r="J331" s="25"/>
      <c r="K331" s="25"/>
      <c r="L331" s="25"/>
      <c r="M331" s="25"/>
      <c r="N331" s="25"/>
      <c r="P331" s="37"/>
    </row>
    <row r="332" spans="1:16" s="39" customFormat="1">
      <c r="A332" s="47"/>
      <c r="B332" s="25"/>
      <c r="C332" s="340"/>
      <c r="D332" s="340"/>
      <c r="E332" s="340"/>
      <c r="F332" s="25"/>
      <c r="G332" s="25"/>
      <c r="H332" s="25"/>
      <c r="I332" s="25"/>
      <c r="J332" s="25"/>
      <c r="K332" s="25"/>
      <c r="L332" s="25"/>
      <c r="M332" s="25"/>
      <c r="N332" s="25"/>
      <c r="P332" s="37"/>
    </row>
    <row r="333" spans="1:16" s="39" customFormat="1">
      <c r="A333" s="47"/>
      <c r="B333" s="25"/>
      <c r="C333" s="340"/>
      <c r="D333" s="340"/>
      <c r="E333" s="340"/>
      <c r="F333" s="25"/>
      <c r="G333" s="25"/>
      <c r="H333" s="25"/>
      <c r="I333" s="25"/>
      <c r="J333" s="25"/>
      <c r="K333" s="25"/>
      <c r="L333" s="25"/>
      <c r="M333" s="25"/>
      <c r="N333" s="25"/>
      <c r="P333" s="37"/>
    </row>
    <row r="334" spans="1:16" s="39" customFormat="1">
      <c r="A334" s="47"/>
      <c r="B334" s="25"/>
      <c r="C334" s="340"/>
      <c r="D334" s="340"/>
      <c r="E334" s="340"/>
      <c r="F334" s="25"/>
      <c r="G334" s="25"/>
      <c r="H334" s="25"/>
      <c r="I334" s="25"/>
      <c r="J334" s="25"/>
      <c r="K334" s="25"/>
      <c r="L334" s="25"/>
      <c r="M334" s="25"/>
      <c r="N334" s="25"/>
      <c r="P334" s="37"/>
    </row>
    <row r="335" spans="1:16" s="39" customFormat="1">
      <c r="A335" s="47"/>
      <c r="B335" s="25"/>
      <c r="C335" s="340"/>
      <c r="D335" s="340"/>
      <c r="E335" s="340"/>
      <c r="F335" s="25"/>
      <c r="G335" s="25"/>
      <c r="H335" s="25"/>
      <c r="I335" s="25"/>
      <c r="J335" s="25"/>
      <c r="K335" s="25"/>
      <c r="L335" s="25"/>
      <c r="M335" s="25"/>
      <c r="N335" s="25"/>
      <c r="P335" s="37"/>
    </row>
    <row r="336" spans="1:16" s="39" customFormat="1">
      <c r="A336" s="47"/>
      <c r="B336" s="25"/>
      <c r="C336" s="340"/>
      <c r="D336" s="340"/>
      <c r="E336" s="340"/>
      <c r="F336" s="25"/>
      <c r="G336" s="25"/>
      <c r="H336" s="25"/>
      <c r="I336" s="25"/>
      <c r="J336" s="25"/>
      <c r="K336" s="25"/>
      <c r="L336" s="25"/>
      <c r="M336" s="25"/>
      <c r="N336" s="25"/>
      <c r="P336" s="37"/>
    </row>
    <row r="337" spans="1:16" s="39" customFormat="1">
      <c r="A337" s="47"/>
      <c r="B337" s="25"/>
      <c r="C337" s="340"/>
      <c r="D337" s="340"/>
      <c r="E337" s="340"/>
      <c r="F337" s="25"/>
      <c r="G337" s="25"/>
      <c r="H337" s="25"/>
      <c r="I337" s="25"/>
      <c r="J337" s="25"/>
      <c r="K337" s="25"/>
      <c r="L337" s="25"/>
      <c r="M337" s="25"/>
      <c r="N337" s="25"/>
      <c r="P337" s="37"/>
    </row>
    <row r="338" spans="1:16" s="39" customFormat="1">
      <c r="A338" s="47"/>
      <c r="B338" s="25"/>
      <c r="C338" s="340"/>
      <c r="D338" s="340"/>
      <c r="E338" s="340"/>
      <c r="F338" s="25"/>
      <c r="G338" s="25"/>
      <c r="H338" s="25"/>
      <c r="I338" s="25"/>
      <c r="J338" s="25"/>
      <c r="K338" s="25"/>
      <c r="L338" s="25"/>
      <c r="M338" s="25"/>
      <c r="N338" s="25"/>
      <c r="P338" s="37"/>
    </row>
    <row r="339" spans="1:16" s="39" customFormat="1">
      <c r="A339" s="47"/>
      <c r="B339" s="25"/>
      <c r="C339" s="340"/>
      <c r="D339" s="340"/>
      <c r="E339" s="340"/>
      <c r="F339" s="25"/>
      <c r="G339" s="25"/>
      <c r="H339" s="25"/>
      <c r="I339" s="25"/>
      <c r="J339" s="25"/>
      <c r="K339" s="25"/>
      <c r="L339" s="25"/>
      <c r="M339" s="25"/>
      <c r="N339" s="25"/>
      <c r="P339" s="37"/>
    </row>
    <row r="340" spans="1:16" s="39" customFormat="1">
      <c r="A340" s="47"/>
      <c r="B340" s="25"/>
      <c r="C340" s="340"/>
      <c r="D340" s="340"/>
      <c r="E340" s="340"/>
      <c r="F340" s="25"/>
      <c r="G340" s="25"/>
      <c r="H340" s="25"/>
      <c r="I340" s="25"/>
      <c r="J340" s="25"/>
      <c r="K340" s="25"/>
      <c r="L340" s="25"/>
      <c r="M340" s="25"/>
      <c r="N340" s="25"/>
      <c r="P340" s="37"/>
    </row>
    <row r="341" spans="1:16" s="39" customFormat="1">
      <c r="A341" s="47"/>
      <c r="B341" s="25"/>
      <c r="C341" s="340"/>
      <c r="D341" s="340"/>
      <c r="E341" s="340"/>
      <c r="F341" s="25"/>
      <c r="G341" s="25"/>
      <c r="H341" s="25"/>
      <c r="I341" s="25"/>
      <c r="J341" s="25"/>
      <c r="K341" s="25"/>
      <c r="L341" s="25"/>
      <c r="M341" s="25"/>
      <c r="N341" s="25"/>
      <c r="P341" s="37"/>
    </row>
    <row r="342" spans="1:16" s="39" customFormat="1">
      <c r="A342" s="47"/>
      <c r="B342" s="25"/>
      <c r="C342" s="340"/>
      <c r="D342" s="340"/>
      <c r="E342" s="340"/>
      <c r="F342" s="25"/>
      <c r="G342" s="25"/>
      <c r="H342" s="25"/>
      <c r="I342" s="25"/>
      <c r="J342" s="25"/>
      <c r="K342" s="25"/>
      <c r="L342" s="25"/>
      <c r="M342" s="25"/>
      <c r="N342" s="25"/>
      <c r="P342" s="37"/>
    </row>
    <row r="343" spans="1:16" s="39" customFormat="1">
      <c r="A343" s="47"/>
      <c r="B343" s="25"/>
      <c r="C343" s="340"/>
      <c r="D343" s="340"/>
      <c r="E343" s="340"/>
      <c r="F343" s="25"/>
      <c r="G343" s="25"/>
      <c r="H343" s="25"/>
      <c r="I343" s="25"/>
      <c r="J343" s="25"/>
      <c r="K343" s="25"/>
      <c r="L343" s="25"/>
      <c r="M343" s="25"/>
      <c r="N343" s="25"/>
      <c r="P343" s="37"/>
    </row>
    <row r="344" spans="1:16" s="39" customFormat="1">
      <c r="A344" s="47"/>
      <c r="B344" s="25"/>
      <c r="C344" s="340"/>
      <c r="D344" s="340"/>
      <c r="E344" s="340"/>
      <c r="F344" s="25"/>
      <c r="G344" s="25"/>
      <c r="H344" s="25"/>
      <c r="I344" s="25"/>
      <c r="J344" s="25"/>
      <c r="K344" s="25"/>
      <c r="L344" s="25"/>
      <c r="M344" s="25"/>
      <c r="N344" s="25"/>
      <c r="P344" s="37"/>
    </row>
    <row r="345" spans="1:16" s="39" customFormat="1">
      <c r="A345" s="47"/>
      <c r="B345" s="25"/>
      <c r="C345" s="340"/>
      <c r="D345" s="340"/>
      <c r="E345" s="340"/>
      <c r="F345" s="25"/>
      <c r="G345" s="25"/>
      <c r="H345" s="25"/>
      <c r="I345" s="25"/>
      <c r="J345" s="25"/>
      <c r="K345" s="25"/>
      <c r="L345" s="25"/>
      <c r="M345" s="25"/>
      <c r="N345" s="25"/>
      <c r="P345" s="37"/>
    </row>
    <row r="346" spans="1:16" s="39" customFormat="1">
      <c r="A346" s="47"/>
      <c r="B346" s="25"/>
      <c r="C346" s="340"/>
      <c r="D346" s="340"/>
      <c r="E346" s="340"/>
      <c r="F346" s="25"/>
      <c r="G346" s="25"/>
      <c r="H346" s="25"/>
      <c r="I346" s="25"/>
      <c r="J346" s="25"/>
      <c r="K346" s="25"/>
      <c r="L346" s="25"/>
      <c r="M346" s="25"/>
      <c r="N346" s="25"/>
      <c r="P346" s="37"/>
    </row>
    <row r="347" spans="1:16" s="39" customFormat="1">
      <c r="A347" s="47"/>
      <c r="B347" s="25"/>
      <c r="C347" s="340"/>
      <c r="D347" s="340"/>
      <c r="E347" s="340"/>
      <c r="F347" s="25"/>
      <c r="G347" s="25"/>
      <c r="H347" s="25"/>
      <c r="I347" s="25"/>
      <c r="J347" s="25"/>
      <c r="K347" s="25"/>
      <c r="L347" s="25"/>
      <c r="M347" s="25"/>
      <c r="N347" s="25"/>
      <c r="P347" s="37"/>
    </row>
    <row r="348" spans="1:16" s="39" customFormat="1">
      <c r="A348" s="47"/>
      <c r="B348" s="25"/>
      <c r="C348" s="340"/>
      <c r="D348" s="340"/>
      <c r="E348" s="340"/>
      <c r="F348" s="25"/>
      <c r="G348" s="25"/>
      <c r="H348" s="25"/>
      <c r="I348" s="25"/>
      <c r="J348" s="25"/>
      <c r="K348" s="25"/>
      <c r="L348" s="25"/>
      <c r="M348" s="25"/>
      <c r="N348" s="25"/>
      <c r="P348" s="37"/>
    </row>
    <row r="349" spans="1:16" s="39" customFormat="1">
      <c r="A349" s="47"/>
      <c r="B349" s="25"/>
      <c r="C349" s="340"/>
      <c r="D349" s="340"/>
      <c r="E349" s="340"/>
      <c r="F349" s="25"/>
      <c r="G349" s="25"/>
      <c r="H349" s="25"/>
      <c r="I349" s="25"/>
      <c r="J349" s="25"/>
      <c r="K349" s="25"/>
      <c r="L349" s="25"/>
      <c r="M349" s="25"/>
      <c r="N349" s="25"/>
      <c r="P349" s="37"/>
    </row>
    <row r="350" spans="1:16" s="39" customFormat="1">
      <c r="A350" s="47"/>
      <c r="B350" s="25"/>
      <c r="C350" s="340"/>
      <c r="D350" s="340"/>
      <c r="E350" s="340"/>
      <c r="F350" s="25"/>
      <c r="G350" s="25"/>
      <c r="H350" s="25"/>
      <c r="I350" s="25"/>
      <c r="J350" s="25"/>
      <c r="K350" s="25"/>
      <c r="L350" s="25"/>
      <c r="M350" s="25"/>
      <c r="N350" s="25"/>
      <c r="P350" s="37"/>
    </row>
    <row r="351" spans="1:16" s="39" customFormat="1">
      <c r="A351" s="47"/>
      <c r="B351" s="25"/>
      <c r="C351" s="340"/>
      <c r="D351" s="340"/>
      <c r="E351" s="340"/>
      <c r="F351" s="25"/>
      <c r="G351" s="25"/>
      <c r="H351" s="25"/>
      <c r="I351" s="25"/>
      <c r="J351" s="25"/>
      <c r="K351" s="25"/>
      <c r="L351" s="25"/>
      <c r="M351" s="25"/>
      <c r="N351" s="25"/>
      <c r="P351" s="37"/>
    </row>
    <row r="352" spans="1:16" s="39" customFormat="1">
      <c r="A352" s="47"/>
      <c r="B352" s="25"/>
      <c r="C352" s="340"/>
      <c r="D352" s="340"/>
      <c r="E352" s="340"/>
      <c r="F352" s="25"/>
      <c r="G352" s="25"/>
      <c r="H352" s="25"/>
      <c r="I352" s="25"/>
      <c r="J352" s="25"/>
      <c r="K352" s="25"/>
      <c r="L352" s="25"/>
      <c r="M352" s="25"/>
      <c r="N352" s="25"/>
      <c r="P352" s="37"/>
    </row>
    <row r="353" spans="1:16" s="39" customFormat="1">
      <c r="A353" s="47"/>
      <c r="B353" s="25"/>
      <c r="C353" s="340"/>
      <c r="D353" s="340"/>
      <c r="E353" s="340"/>
      <c r="F353" s="25"/>
      <c r="G353" s="25"/>
      <c r="H353" s="25"/>
      <c r="I353" s="25"/>
      <c r="J353" s="25"/>
      <c r="K353" s="25"/>
      <c r="L353" s="25"/>
      <c r="M353" s="25"/>
      <c r="N353" s="25"/>
      <c r="P353" s="37"/>
    </row>
    <row r="354" spans="1:16" s="39" customFormat="1">
      <c r="A354" s="47"/>
      <c r="B354" s="25"/>
      <c r="C354" s="340"/>
      <c r="D354" s="340"/>
      <c r="E354" s="340"/>
      <c r="F354" s="25"/>
      <c r="G354" s="25"/>
      <c r="H354" s="25"/>
      <c r="I354" s="25"/>
      <c r="J354" s="25"/>
      <c r="K354" s="25"/>
      <c r="L354" s="25"/>
      <c r="M354" s="25"/>
      <c r="N354" s="25"/>
      <c r="P354" s="37"/>
    </row>
    <row r="355" spans="1:16" s="39" customFormat="1">
      <c r="A355" s="47"/>
      <c r="B355" s="25"/>
      <c r="C355" s="340"/>
      <c r="D355" s="340"/>
      <c r="E355" s="340"/>
      <c r="F355" s="25"/>
      <c r="G355" s="25"/>
      <c r="H355" s="25"/>
      <c r="I355" s="25"/>
      <c r="J355" s="25"/>
      <c r="K355" s="25"/>
      <c r="L355" s="25"/>
      <c r="M355" s="25"/>
      <c r="N355" s="25"/>
      <c r="P355" s="37"/>
    </row>
    <row r="356" spans="1:16" s="39" customFormat="1">
      <c r="A356" s="47"/>
      <c r="B356" s="25"/>
      <c r="C356" s="340"/>
      <c r="D356" s="340"/>
      <c r="E356" s="340"/>
      <c r="F356" s="25"/>
      <c r="G356" s="25"/>
      <c r="H356" s="25"/>
      <c r="I356" s="25"/>
      <c r="J356" s="25"/>
      <c r="K356" s="25"/>
      <c r="L356" s="25"/>
      <c r="M356" s="25"/>
      <c r="N356" s="25"/>
      <c r="P356" s="37"/>
    </row>
    <row r="357" spans="1:16" s="39" customFormat="1">
      <c r="A357" s="47"/>
      <c r="B357" s="25"/>
      <c r="C357" s="340"/>
      <c r="D357" s="340"/>
      <c r="E357" s="340"/>
      <c r="F357" s="25"/>
      <c r="G357" s="25"/>
      <c r="H357" s="25"/>
      <c r="I357" s="25"/>
      <c r="J357" s="25"/>
      <c r="K357" s="25"/>
      <c r="L357" s="25"/>
      <c r="M357" s="25"/>
      <c r="N357" s="25"/>
      <c r="P357" s="37"/>
    </row>
    <row r="358" spans="1:16" s="39" customFormat="1">
      <c r="A358" s="47"/>
      <c r="B358" s="25"/>
      <c r="C358" s="340"/>
      <c r="D358" s="340"/>
      <c r="E358" s="340"/>
      <c r="F358" s="25"/>
      <c r="G358" s="25"/>
      <c r="H358" s="25"/>
      <c r="I358" s="25"/>
      <c r="J358" s="25"/>
      <c r="K358" s="25"/>
      <c r="L358" s="25"/>
      <c r="M358" s="25"/>
      <c r="N358" s="25"/>
      <c r="P358" s="37"/>
    </row>
    <row r="359" spans="1:16" s="39" customFormat="1">
      <c r="A359" s="47"/>
      <c r="B359" s="25"/>
      <c r="C359" s="340"/>
      <c r="D359" s="340"/>
      <c r="E359" s="340"/>
      <c r="F359" s="25"/>
      <c r="G359" s="25"/>
      <c r="H359" s="25"/>
      <c r="I359" s="25"/>
      <c r="J359" s="25"/>
      <c r="K359" s="25"/>
      <c r="L359" s="25"/>
      <c r="M359" s="25"/>
      <c r="N359" s="25"/>
      <c r="P359" s="37"/>
    </row>
    <row r="360" spans="1:16" s="39" customFormat="1">
      <c r="A360" s="47"/>
      <c r="B360" s="25"/>
      <c r="C360" s="340"/>
      <c r="D360" s="340"/>
      <c r="E360" s="340"/>
      <c r="F360" s="25"/>
      <c r="G360" s="25"/>
      <c r="H360" s="25"/>
      <c r="I360" s="25"/>
      <c r="J360" s="25"/>
      <c r="K360" s="25"/>
      <c r="L360" s="25"/>
      <c r="M360" s="25"/>
      <c r="N360" s="25"/>
      <c r="P360" s="37"/>
    </row>
    <row r="361" spans="1:16" s="39" customFormat="1">
      <c r="A361" s="47"/>
      <c r="B361" s="25"/>
      <c r="C361" s="340"/>
      <c r="D361" s="340"/>
      <c r="E361" s="340"/>
      <c r="F361" s="25"/>
      <c r="G361" s="25"/>
      <c r="H361" s="25"/>
      <c r="I361" s="25"/>
      <c r="J361" s="25"/>
      <c r="K361" s="25"/>
      <c r="L361" s="25"/>
      <c r="M361" s="25"/>
      <c r="N361" s="25"/>
      <c r="P361" s="37"/>
    </row>
    <row r="362" spans="1:16" s="39" customFormat="1">
      <c r="A362" s="47"/>
      <c r="B362" s="25"/>
      <c r="C362" s="340"/>
      <c r="D362" s="340"/>
      <c r="E362" s="340"/>
      <c r="F362" s="25"/>
      <c r="G362" s="25"/>
      <c r="H362" s="25"/>
      <c r="I362" s="25"/>
      <c r="J362" s="25"/>
      <c r="K362" s="25"/>
      <c r="L362" s="25"/>
      <c r="M362" s="25"/>
      <c r="N362" s="25"/>
      <c r="P362" s="37"/>
    </row>
    <row r="363" spans="1:16" s="39" customFormat="1">
      <c r="A363" s="47"/>
      <c r="B363" s="25"/>
      <c r="C363" s="340"/>
      <c r="D363" s="340"/>
      <c r="E363" s="340"/>
      <c r="F363" s="25"/>
      <c r="G363" s="25"/>
      <c r="H363" s="25"/>
      <c r="I363" s="25"/>
      <c r="J363" s="25"/>
      <c r="K363" s="25"/>
      <c r="L363" s="25"/>
      <c r="M363" s="25"/>
      <c r="N363" s="25"/>
      <c r="P363" s="37"/>
    </row>
    <row r="364" spans="1:16" s="39" customFormat="1">
      <c r="A364" s="47"/>
      <c r="B364" s="25"/>
      <c r="C364" s="340"/>
      <c r="D364" s="340"/>
      <c r="E364" s="340"/>
      <c r="F364" s="25"/>
      <c r="G364" s="25"/>
      <c r="H364" s="25"/>
      <c r="I364" s="25"/>
      <c r="J364" s="25"/>
      <c r="K364" s="25"/>
      <c r="L364" s="25"/>
      <c r="M364" s="25"/>
      <c r="N364" s="25"/>
      <c r="P364" s="37"/>
    </row>
    <row r="365" spans="1:16" s="39" customFormat="1">
      <c r="A365" s="47"/>
      <c r="B365" s="25"/>
      <c r="C365" s="340"/>
      <c r="D365" s="340"/>
      <c r="E365" s="340"/>
      <c r="F365" s="25"/>
      <c r="G365" s="25"/>
      <c r="H365" s="25"/>
      <c r="I365" s="25"/>
      <c r="J365" s="25"/>
      <c r="K365" s="25"/>
      <c r="L365" s="25"/>
      <c r="M365" s="25"/>
      <c r="N365" s="25"/>
      <c r="P365" s="37"/>
    </row>
    <row r="366" spans="1:16" s="39" customFormat="1">
      <c r="A366" s="47"/>
      <c r="B366" s="25"/>
      <c r="C366" s="340"/>
      <c r="D366" s="340"/>
      <c r="E366" s="340"/>
      <c r="F366" s="25"/>
      <c r="G366" s="25"/>
      <c r="H366" s="25"/>
      <c r="I366" s="25"/>
      <c r="J366" s="25"/>
      <c r="K366" s="25"/>
      <c r="L366" s="25"/>
      <c r="M366" s="25"/>
      <c r="N366" s="25"/>
      <c r="P366" s="37"/>
    </row>
    <row r="367" spans="1:16" s="39" customFormat="1">
      <c r="A367" s="47"/>
      <c r="B367" s="25"/>
      <c r="C367" s="340"/>
      <c r="D367" s="340"/>
      <c r="E367" s="340"/>
      <c r="F367" s="25"/>
      <c r="G367" s="25"/>
      <c r="H367" s="25"/>
      <c r="I367" s="25"/>
      <c r="J367" s="25"/>
      <c r="K367" s="25"/>
      <c r="L367" s="25"/>
      <c r="M367" s="25"/>
      <c r="N367" s="25"/>
      <c r="P367" s="37"/>
    </row>
    <row r="368" spans="1:16" s="39" customFormat="1">
      <c r="A368" s="47"/>
      <c r="B368" s="25"/>
      <c r="C368" s="340"/>
      <c r="D368" s="340"/>
      <c r="E368" s="340"/>
      <c r="F368" s="25"/>
      <c r="G368" s="25"/>
      <c r="H368" s="25"/>
      <c r="I368" s="25"/>
      <c r="J368" s="25"/>
      <c r="K368" s="25"/>
      <c r="L368" s="25"/>
      <c r="M368" s="25"/>
      <c r="N368" s="25"/>
      <c r="P368" s="37"/>
    </row>
    <row r="369" spans="1:16" s="39" customFormat="1">
      <c r="A369" s="47"/>
      <c r="B369" s="25"/>
      <c r="C369" s="340"/>
      <c r="D369" s="340"/>
      <c r="E369" s="340"/>
      <c r="F369" s="25"/>
      <c r="G369" s="25"/>
      <c r="H369" s="25"/>
      <c r="I369" s="25"/>
      <c r="J369" s="25"/>
      <c r="K369" s="25"/>
      <c r="L369" s="25"/>
      <c r="M369" s="25"/>
      <c r="N369" s="25"/>
      <c r="P369" s="37"/>
    </row>
    <row r="370" spans="1:16" s="39" customFormat="1">
      <c r="A370" s="47"/>
      <c r="B370" s="25"/>
      <c r="C370" s="340"/>
      <c r="D370" s="340"/>
      <c r="E370" s="340"/>
      <c r="F370" s="25"/>
      <c r="G370" s="25"/>
      <c r="H370" s="25"/>
      <c r="I370" s="25"/>
      <c r="J370" s="25"/>
      <c r="K370" s="25"/>
      <c r="L370" s="25"/>
      <c r="M370" s="25"/>
      <c r="N370" s="25"/>
      <c r="P370" s="37"/>
    </row>
    <row r="371" spans="1:16" s="39" customFormat="1">
      <c r="A371" s="47"/>
      <c r="B371" s="25"/>
      <c r="C371" s="340"/>
      <c r="D371" s="340"/>
      <c r="E371" s="340"/>
      <c r="F371" s="25"/>
      <c r="G371" s="25"/>
      <c r="H371" s="25"/>
      <c r="I371" s="25"/>
      <c r="J371" s="25"/>
      <c r="K371" s="25"/>
      <c r="L371" s="25"/>
      <c r="M371" s="25"/>
      <c r="N371" s="25"/>
      <c r="P371" s="37"/>
    </row>
    <row r="372" spans="1:16" s="39" customFormat="1">
      <c r="A372" s="47"/>
      <c r="B372" s="25"/>
      <c r="C372" s="340"/>
      <c r="D372" s="340"/>
      <c r="E372" s="340"/>
      <c r="F372" s="25"/>
      <c r="G372" s="25"/>
      <c r="H372" s="25"/>
      <c r="I372" s="25"/>
      <c r="J372" s="25"/>
      <c r="K372" s="25"/>
      <c r="L372" s="25"/>
      <c r="M372" s="25"/>
      <c r="N372" s="25"/>
      <c r="P372" s="37"/>
    </row>
    <row r="373" spans="1:16" s="39" customFormat="1">
      <c r="A373" s="47"/>
      <c r="B373" s="25"/>
      <c r="C373" s="340"/>
      <c r="D373" s="340"/>
      <c r="E373" s="340"/>
      <c r="F373" s="25"/>
      <c r="G373" s="25"/>
      <c r="H373" s="25"/>
      <c r="I373" s="25"/>
      <c r="J373" s="25"/>
      <c r="K373" s="25"/>
      <c r="L373" s="25"/>
      <c r="M373" s="25"/>
      <c r="N373" s="25"/>
      <c r="P373" s="37"/>
    </row>
    <row r="374" spans="1:16" s="39" customFormat="1">
      <c r="A374" s="44"/>
      <c r="B374" s="25"/>
      <c r="C374" s="340"/>
      <c r="D374" s="340"/>
      <c r="E374" s="340"/>
      <c r="F374" s="25"/>
      <c r="G374" s="25"/>
      <c r="H374" s="25"/>
      <c r="I374" s="25"/>
      <c r="J374" s="25"/>
      <c r="K374" s="25"/>
      <c r="L374" s="25"/>
      <c r="M374" s="25"/>
      <c r="N374" s="25"/>
      <c r="P374" s="37"/>
    </row>
  </sheetData>
  <mergeCells count="18">
    <mergeCell ref="C5:I6"/>
    <mergeCell ref="H7:I7"/>
    <mergeCell ref="P35:P37"/>
    <mergeCell ref="A1:B1"/>
    <mergeCell ref="A2:O2"/>
    <mergeCell ref="A3:O3"/>
    <mergeCell ref="A4:O4"/>
    <mergeCell ref="A5:A8"/>
    <mergeCell ref="B5:B8"/>
    <mergeCell ref="J5:L6"/>
    <mergeCell ref="M5:M8"/>
    <mergeCell ref="N5:N8"/>
    <mergeCell ref="O5:O8"/>
    <mergeCell ref="C7:C8"/>
    <mergeCell ref="F7:G7"/>
    <mergeCell ref="J7:J8"/>
    <mergeCell ref="K7:L7"/>
    <mergeCell ref="D7:E7"/>
  </mergeCells>
  <pageMargins left="0.60433070899999997" right="0.23622047244094499" top="0.47244094488188998" bottom="0.47244094488188998" header="0.31496062992126" footer="0.31496062992126"/>
  <pageSetup paperSize="8" fitToHeight="0" orientation="landscape" r:id="rId1"/>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5.6"/>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RowHeight="15.6"/>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6"/>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6"/>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5.6"/>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M3"/>
  <sheetViews>
    <sheetView tabSelected="1" workbookViewId="0">
      <selection activeCell="O7" sqref="O7"/>
    </sheetView>
  </sheetViews>
  <sheetFormatPr defaultRowHeight="15.6"/>
  <sheetData>
    <row r="1" spans="1:13" ht="138.75" customHeight="1"/>
    <row r="2" spans="1:13" ht="20.399999999999999">
      <c r="A2" s="654" t="s">
        <v>513</v>
      </c>
      <c r="B2" s="654"/>
      <c r="C2" s="654"/>
      <c r="D2" s="654"/>
      <c r="E2" s="654"/>
      <c r="F2" s="654"/>
      <c r="G2" s="654"/>
      <c r="H2" s="654"/>
      <c r="I2" s="654"/>
      <c r="J2" s="654"/>
      <c r="K2" s="654"/>
      <c r="L2" s="654"/>
      <c r="M2" s="654"/>
    </row>
    <row r="3" spans="1:13" ht="18">
      <c r="A3" s="653" t="s">
        <v>514</v>
      </c>
      <c r="B3" s="653"/>
      <c r="C3" s="653"/>
      <c r="D3" s="653"/>
      <c r="E3" s="653"/>
      <c r="F3" s="653"/>
      <c r="G3" s="653"/>
      <c r="H3" s="653"/>
      <c r="I3" s="653"/>
      <c r="J3" s="653"/>
      <c r="K3" s="653"/>
      <c r="L3" s="653"/>
      <c r="M3" s="653"/>
    </row>
  </sheetData>
  <mergeCells count="2">
    <mergeCell ref="A3:M3"/>
    <mergeCell ref="A2:M2"/>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pageSetUpPr fitToPage="1"/>
  </sheetPr>
  <dimension ref="A1:V353"/>
  <sheetViews>
    <sheetView view="pageBreakPreview" topLeftCell="C1" zoomScale="80" zoomScaleNormal="80" zoomScaleSheetLayoutView="80" workbookViewId="0">
      <selection activeCell="T1" sqref="T1:Y1048576"/>
    </sheetView>
  </sheetViews>
  <sheetFormatPr defaultRowHeight="15.6"/>
  <cols>
    <col min="1" max="1" width="8.69921875" style="44" customWidth="1"/>
    <col min="2" max="2" width="64.19921875" style="36" customWidth="1"/>
    <col min="3" max="4" width="14.5" style="38" customWidth="1"/>
    <col min="5" max="5" width="16.5" style="38" customWidth="1"/>
    <col min="6" max="7" width="12.5" style="38" customWidth="1"/>
    <col min="8" max="8" width="13.19921875" style="38" customWidth="1"/>
    <col min="9" max="9" width="13" style="38" customWidth="1"/>
    <col min="10" max="10" width="15.8984375" style="39" customWidth="1"/>
    <col min="11" max="15" width="15.8984375" style="39" hidden="1" customWidth="1"/>
    <col min="16" max="16" width="15" style="25" hidden="1" customWidth="1"/>
    <col min="17" max="18" width="12.19921875" style="25" hidden="1" customWidth="1"/>
    <col min="19" max="19" width="0" style="25" hidden="1" customWidth="1"/>
    <col min="20" max="25" width="9.19921875" style="25" customWidth="1"/>
    <col min="26" max="246" width="9" style="25"/>
    <col min="247" max="247" width="6.19921875" style="25" customWidth="1"/>
    <col min="248" max="248" width="40.3984375" style="25" customWidth="1"/>
    <col min="249" max="249" width="12.5" style="25" customWidth="1"/>
    <col min="250" max="262" width="0" style="25" hidden="1" customWidth="1"/>
    <col min="263" max="264" width="16" style="25" customWidth="1"/>
    <col min="265" max="266" width="13.8984375" style="25" customWidth="1"/>
    <col min="267" max="267" width="11.09765625" style="25" customWidth="1"/>
    <col min="268" max="268" width="11.19921875" style="25" customWidth="1"/>
    <col min="269" max="269" width="11.69921875" style="25" bestFit="1" customWidth="1"/>
    <col min="270" max="502" width="9" style="25"/>
    <col min="503" max="503" width="6.19921875" style="25" customWidth="1"/>
    <col min="504" max="504" width="40.3984375" style="25" customWidth="1"/>
    <col min="505" max="505" width="12.5" style="25" customWidth="1"/>
    <col min="506" max="518" width="0" style="25" hidden="1" customWidth="1"/>
    <col min="519" max="520" width="16" style="25" customWidth="1"/>
    <col min="521" max="522" width="13.8984375" style="25" customWidth="1"/>
    <col min="523" max="523" width="11.09765625" style="25" customWidth="1"/>
    <col min="524" max="524" width="11.19921875" style="25" customWidth="1"/>
    <col min="525" max="525" width="11.69921875" style="25" bestFit="1" customWidth="1"/>
    <col min="526" max="758" width="9" style="25"/>
    <col min="759" max="759" width="6.19921875" style="25" customWidth="1"/>
    <col min="760" max="760" width="40.3984375" style="25" customWidth="1"/>
    <col min="761" max="761" width="12.5" style="25" customWidth="1"/>
    <col min="762" max="774" width="0" style="25" hidden="1" customWidth="1"/>
    <col min="775" max="776" width="16" style="25" customWidth="1"/>
    <col min="777" max="778" width="13.8984375" style="25" customWidth="1"/>
    <col min="779" max="779" width="11.09765625" style="25" customWidth="1"/>
    <col min="780" max="780" width="11.19921875" style="25" customWidth="1"/>
    <col min="781" max="781" width="11.69921875" style="25" bestFit="1" customWidth="1"/>
    <col min="782" max="1014" width="9" style="25"/>
    <col min="1015" max="1015" width="6.19921875" style="25" customWidth="1"/>
    <col min="1016" max="1016" width="40.3984375" style="25" customWidth="1"/>
    <col min="1017" max="1017" width="12.5" style="25" customWidth="1"/>
    <col min="1018" max="1030" width="0" style="25" hidden="1" customWidth="1"/>
    <col min="1031" max="1032" width="16" style="25" customWidth="1"/>
    <col min="1033" max="1034" width="13.8984375" style="25" customWidth="1"/>
    <col min="1035" max="1035" width="11.09765625" style="25" customWidth="1"/>
    <col min="1036" max="1036" width="11.19921875" style="25" customWidth="1"/>
    <col min="1037" max="1037" width="11.69921875" style="25" bestFit="1" customWidth="1"/>
    <col min="1038" max="1270" width="9" style="25"/>
    <col min="1271" max="1271" width="6.19921875" style="25" customWidth="1"/>
    <col min="1272" max="1272" width="40.3984375" style="25" customWidth="1"/>
    <col min="1273" max="1273" width="12.5" style="25" customWidth="1"/>
    <col min="1274" max="1286" width="0" style="25" hidden="1" customWidth="1"/>
    <col min="1287" max="1288" width="16" style="25" customWidth="1"/>
    <col min="1289" max="1290" width="13.8984375" style="25" customWidth="1"/>
    <col min="1291" max="1291" width="11.09765625" style="25" customWidth="1"/>
    <col min="1292" max="1292" width="11.19921875" style="25" customWidth="1"/>
    <col min="1293" max="1293" width="11.69921875" style="25" bestFit="1" customWidth="1"/>
    <col min="1294" max="1526" width="9" style="25"/>
    <col min="1527" max="1527" width="6.19921875" style="25" customWidth="1"/>
    <col min="1528" max="1528" width="40.3984375" style="25" customWidth="1"/>
    <col min="1529" max="1529" width="12.5" style="25" customWidth="1"/>
    <col min="1530" max="1542" width="0" style="25" hidden="1" customWidth="1"/>
    <col min="1543" max="1544" width="16" style="25" customWidth="1"/>
    <col min="1545" max="1546" width="13.8984375" style="25" customWidth="1"/>
    <col min="1547" max="1547" width="11.09765625" style="25" customWidth="1"/>
    <col min="1548" max="1548" width="11.19921875" style="25" customWidth="1"/>
    <col min="1549" max="1549" width="11.69921875" style="25" bestFit="1" customWidth="1"/>
    <col min="1550" max="1782" width="9" style="25"/>
    <col min="1783" max="1783" width="6.19921875" style="25" customWidth="1"/>
    <col min="1784" max="1784" width="40.3984375" style="25" customWidth="1"/>
    <col min="1785" max="1785" width="12.5" style="25" customWidth="1"/>
    <col min="1786" max="1798" width="0" style="25" hidden="1" customWidth="1"/>
    <col min="1799" max="1800" width="16" style="25" customWidth="1"/>
    <col min="1801" max="1802" width="13.8984375" style="25" customWidth="1"/>
    <col min="1803" max="1803" width="11.09765625" style="25" customWidth="1"/>
    <col min="1804" max="1804" width="11.19921875" style="25" customWidth="1"/>
    <col min="1805" max="1805" width="11.69921875" style="25" bestFit="1" customWidth="1"/>
    <col min="1806" max="2038" width="9" style="25"/>
    <col min="2039" max="2039" width="6.19921875" style="25" customWidth="1"/>
    <col min="2040" max="2040" width="40.3984375" style="25" customWidth="1"/>
    <col min="2041" max="2041" width="12.5" style="25" customWidth="1"/>
    <col min="2042" max="2054" width="0" style="25" hidden="1" customWidth="1"/>
    <col min="2055" max="2056" width="16" style="25" customWidth="1"/>
    <col min="2057" max="2058" width="13.8984375" style="25" customWidth="1"/>
    <col min="2059" max="2059" width="11.09765625" style="25" customWidth="1"/>
    <col min="2060" max="2060" width="11.19921875" style="25" customWidth="1"/>
    <col min="2061" max="2061" width="11.69921875" style="25" bestFit="1" customWidth="1"/>
    <col min="2062" max="2294" width="9" style="25"/>
    <col min="2295" max="2295" width="6.19921875" style="25" customWidth="1"/>
    <col min="2296" max="2296" width="40.3984375" style="25" customWidth="1"/>
    <col min="2297" max="2297" width="12.5" style="25" customWidth="1"/>
    <col min="2298" max="2310" width="0" style="25" hidden="1" customWidth="1"/>
    <col min="2311" max="2312" width="16" style="25" customWidth="1"/>
    <col min="2313" max="2314" width="13.8984375" style="25" customWidth="1"/>
    <col min="2315" max="2315" width="11.09765625" style="25" customWidth="1"/>
    <col min="2316" max="2316" width="11.19921875" style="25" customWidth="1"/>
    <col min="2317" max="2317" width="11.69921875" style="25" bestFit="1" customWidth="1"/>
    <col min="2318" max="2550" width="9" style="25"/>
    <col min="2551" max="2551" width="6.19921875" style="25" customWidth="1"/>
    <col min="2552" max="2552" width="40.3984375" style="25" customWidth="1"/>
    <col min="2553" max="2553" width="12.5" style="25" customWidth="1"/>
    <col min="2554" max="2566" width="0" style="25" hidden="1" customWidth="1"/>
    <col min="2567" max="2568" width="16" style="25" customWidth="1"/>
    <col min="2569" max="2570" width="13.8984375" style="25" customWidth="1"/>
    <col min="2571" max="2571" width="11.09765625" style="25" customWidth="1"/>
    <col min="2572" max="2572" width="11.19921875" style="25" customWidth="1"/>
    <col min="2573" max="2573" width="11.69921875" style="25" bestFit="1" customWidth="1"/>
    <col min="2574" max="2806" width="9" style="25"/>
    <col min="2807" max="2807" width="6.19921875" style="25" customWidth="1"/>
    <col min="2808" max="2808" width="40.3984375" style="25" customWidth="1"/>
    <col min="2809" max="2809" width="12.5" style="25" customWidth="1"/>
    <col min="2810" max="2822" width="0" style="25" hidden="1" customWidth="1"/>
    <col min="2823" max="2824" width="16" style="25" customWidth="1"/>
    <col min="2825" max="2826" width="13.8984375" style="25" customWidth="1"/>
    <col min="2827" max="2827" width="11.09765625" style="25" customWidth="1"/>
    <col min="2828" max="2828" width="11.19921875" style="25" customWidth="1"/>
    <col min="2829" max="2829" width="11.69921875" style="25" bestFit="1" customWidth="1"/>
    <col min="2830" max="3062" width="9" style="25"/>
    <col min="3063" max="3063" width="6.19921875" style="25" customWidth="1"/>
    <col min="3064" max="3064" width="40.3984375" style="25" customWidth="1"/>
    <col min="3065" max="3065" width="12.5" style="25" customWidth="1"/>
    <col min="3066" max="3078" width="0" style="25" hidden="1" customWidth="1"/>
    <col min="3079" max="3080" width="16" style="25" customWidth="1"/>
    <col min="3081" max="3082" width="13.8984375" style="25" customWidth="1"/>
    <col min="3083" max="3083" width="11.09765625" style="25" customWidth="1"/>
    <col min="3084" max="3084" width="11.19921875" style="25" customWidth="1"/>
    <col min="3085" max="3085" width="11.69921875" style="25" bestFit="1" customWidth="1"/>
    <col min="3086" max="3318" width="9" style="25"/>
    <col min="3319" max="3319" width="6.19921875" style="25" customWidth="1"/>
    <col min="3320" max="3320" width="40.3984375" style="25" customWidth="1"/>
    <col min="3321" max="3321" width="12.5" style="25" customWidth="1"/>
    <col min="3322" max="3334" width="0" style="25" hidden="1" customWidth="1"/>
    <col min="3335" max="3336" width="16" style="25" customWidth="1"/>
    <col min="3337" max="3338" width="13.8984375" style="25" customWidth="1"/>
    <col min="3339" max="3339" width="11.09765625" style="25" customWidth="1"/>
    <col min="3340" max="3340" width="11.19921875" style="25" customWidth="1"/>
    <col min="3341" max="3341" width="11.69921875" style="25" bestFit="1" customWidth="1"/>
    <col min="3342" max="3574" width="9" style="25"/>
    <col min="3575" max="3575" width="6.19921875" style="25" customWidth="1"/>
    <col min="3576" max="3576" width="40.3984375" style="25" customWidth="1"/>
    <col min="3577" max="3577" width="12.5" style="25" customWidth="1"/>
    <col min="3578" max="3590" width="0" style="25" hidden="1" customWidth="1"/>
    <col min="3591" max="3592" width="16" style="25" customWidth="1"/>
    <col min="3593" max="3594" width="13.8984375" style="25" customWidth="1"/>
    <col min="3595" max="3595" width="11.09765625" style="25" customWidth="1"/>
    <col min="3596" max="3596" width="11.19921875" style="25" customWidth="1"/>
    <col min="3597" max="3597" width="11.69921875" style="25" bestFit="1" customWidth="1"/>
    <col min="3598" max="3830" width="9" style="25"/>
    <col min="3831" max="3831" width="6.19921875" style="25" customWidth="1"/>
    <col min="3832" max="3832" width="40.3984375" style="25" customWidth="1"/>
    <col min="3833" max="3833" width="12.5" style="25" customWidth="1"/>
    <col min="3834" max="3846" width="0" style="25" hidden="1" customWidth="1"/>
    <col min="3847" max="3848" width="16" style="25" customWidth="1"/>
    <col min="3849" max="3850" width="13.8984375" style="25" customWidth="1"/>
    <col min="3851" max="3851" width="11.09765625" style="25" customWidth="1"/>
    <col min="3852" max="3852" width="11.19921875" style="25" customWidth="1"/>
    <col min="3853" max="3853" width="11.69921875" style="25" bestFit="1" customWidth="1"/>
    <col min="3854" max="4086" width="9" style="25"/>
    <col min="4087" max="4087" width="6.19921875" style="25" customWidth="1"/>
    <col min="4088" max="4088" width="40.3984375" style="25" customWidth="1"/>
    <col min="4089" max="4089" width="12.5" style="25" customWidth="1"/>
    <col min="4090" max="4102" width="0" style="25" hidden="1" customWidth="1"/>
    <col min="4103" max="4104" width="16" style="25" customWidth="1"/>
    <col min="4105" max="4106" width="13.8984375" style="25" customWidth="1"/>
    <col min="4107" max="4107" width="11.09765625" style="25" customWidth="1"/>
    <col min="4108" max="4108" width="11.19921875" style="25" customWidth="1"/>
    <col min="4109" max="4109" width="11.69921875" style="25" bestFit="1" customWidth="1"/>
    <col min="4110" max="4342" width="9" style="25"/>
    <col min="4343" max="4343" width="6.19921875" style="25" customWidth="1"/>
    <col min="4344" max="4344" width="40.3984375" style="25" customWidth="1"/>
    <col min="4345" max="4345" width="12.5" style="25" customWidth="1"/>
    <col min="4346" max="4358" width="0" style="25" hidden="1" customWidth="1"/>
    <col min="4359" max="4360" width="16" style="25" customWidth="1"/>
    <col min="4361" max="4362" width="13.8984375" style="25" customWidth="1"/>
    <col min="4363" max="4363" width="11.09765625" style="25" customWidth="1"/>
    <col min="4364" max="4364" width="11.19921875" style="25" customWidth="1"/>
    <col min="4365" max="4365" width="11.69921875" style="25" bestFit="1" customWidth="1"/>
    <col min="4366" max="4598" width="9" style="25"/>
    <col min="4599" max="4599" width="6.19921875" style="25" customWidth="1"/>
    <col min="4600" max="4600" width="40.3984375" style="25" customWidth="1"/>
    <col min="4601" max="4601" width="12.5" style="25" customWidth="1"/>
    <col min="4602" max="4614" width="0" style="25" hidden="1" customWidth="1"/>
    <col min="4615" max="4616" width="16" style="25" customWidth="1"/>
    <col min="4617" max="4618" width="13.8984375" style="25" customWidth="1"/>
    <col min="4619" max="4619" width="11.09765625" style="25" customWidth="1"/>
    <col min="4620" max="4620" width="11.19921875" style="25" customWidth="1"/>
    <col min="4621" max="4621" width="11.69921875" style="25" bestFit="1" customWidth="1"/>
    <col min="4622" max="4854" width="9" style="25"/>
    <col min="4855" max="4855" width="6.19921875" style="25" customWidth="1"/>
    <col min="4856" max="4856" width="40.3984375" style="25" customWidth="1"/>
    <col min="4857" max="4857" width="12.5" style="25" customWidth="1"/>
    <col min="4858" max="4870" width="0" style="25" hidden="1" customWidth="1"/>
    <col min="4871" max="4872" width="16" style="25" customWidth="1"/>
    <col min="4873" max="4874" width="13.8984375" style="25" customWidth="1"/>
    <col min="4875" max="4875" width="11.09765625" style="25" customWidth="1"/>
    <col min="4876" max="4876" width="11.19921875" style="25" customWidth="1"/>
    <col min="4877" max="4877" width="11.69921875" style="25" bestFit="1" customWidth="1"/>
    <col min="4878" max="5110" width="9" style="25"/>
    <col min="5111" max="5111" width="6.19921875" style="25" customWidth="1"/>
    <col min="5112" max="5112" width="40.3984375" style="25" customWidth="1"/>
    <col min="5113" max="5113" width="12.5" style="25" customWidth="1"/>
    <col min="5114" max="5126" width="0" style="25" hidden="1" customWidth="1"/>
    <col min="5127" max="5128" width="16" style="25" customWidth="1"/>
    <col min="5129" max="5130" width="13.8984375" style="25" customWidth="1"/>
    <col min="5131" max="5131" width="11.09765625" style="25" customWidth="1"/>
    <col min="5132" max="5132" width="11.19921875" style="25" customWidth="1"/>
    <col min="5133" max="5133" width="11.69921875" style="25" bestFit="1" customWidth="1"/>
    <col min="5134" max="5366" width="9" style="25"/>
    <col min="5367" max="5367" width="6.19921875" style="25" customWidth="1"/>
    <col min="5368" max="5368" width="40.3984375" style="25" customWidth="1"/>
    <col min="5369" max="5369" width="12.5" style="25" customWidth="1"/>
    <col min="5370" max="5382" width="0" style="25" hidden="1" customWidth="1"/>
    <col min="5383" max="5384" width="16" style="25" customWidth="1"/>
    <col min="5385" max="5386" width="13.8984375" style="25" customWidth="1"/>
    <col min="5387" max="5387" width="11.09765625" style="25" customWidth="1"/>
    <col min="5388" max="5388" width="11.19921875" style="25" customWidth="1"/>
    <col min="5389" max="5389" width="11.69921875" style="25" bestFit="1" customWidth="1"/>
    <col min="5390" max="5622" width="9" style="25"/>
    <col min="5623" max="5623" width="6.19921875" style="25" customWidth="1"/>
    <col min="5624" max="5624" width="40.3984375" style="25" customWidth="1"/>
    <col min="5625" max="5625" width="12.5" style="25" customWidth="1"/>
    <col min="5626" max="5638" width="0" style="25" hidden="1" customWidth="1"/>
    <col min="5639" max="5640" width="16" style="25" customWidth="1"/>
    <col min="5641" max="5642" width="13.8984375" style="25" customWidth="1"/>
    <col min="5643" max="5643" width="11.09765625" style="25" customWidth="1"/>
    <col min="5644" max="5644" width="11.19921875" style="25" customWidth="1"/>
    <col min="5645" max="5645" width="11.69921875" style="25" bestFit="1" customWidth="1"/>
    <col min="5646" max="5878" width="9" style="25"/>
    <col min="5879" max="5879" width="6.19921875" style="25" customWidth="1"/>
    <col min="5880" max="5880" width="40.3984375" style="25" customWidth="1"/>
    <col min="5881" max="5881" width="12.5" style="25" customWidth="1"/>
    <col min="5882" max="5894" width="0" style="25" hidden="1" customWidth="1"/>
    <col min="5895" max="5896" width="16" style="25" customWidth="1"/>
    <col min="5897" max="5898" width="13.8984375" style="25" customWidth="1"/>
    <col min="5899" max="5899" width="11.09765625" style="25" customWidth="1"/>
    <col min="5900" max="5900" width="11.19921875" style="25" customWidth="1"/>
    <col min="5901" max="5901" width="11.69921875" style="25" bestFit="1" customWidth="1"/>
    <col min="5902" max="6134" width="9" style="25"/>
    <col min="6135" max="6135" width="6.19921875" style="25" customWidth="1"/>
    <col min="6136" max="6136" width="40.3984375" style="25" customWidth="1"/>
    <col min="6137" max="6137" width="12.5" style="25" customWidth="1"/>
    <col min="6138" max="6150" width="0" style="25" hidden="1" customWidth="1"/>
    <col min="6151" max="6152" width="16" style="25" customWidth="1"/>
    <col min="6153" max="6154" width="13.8984375" style="25" customWidth="1"/>
    <col min="6155" max="6155" width="11.09765625" style="25" customWidth="1"/>
    <col min="6156" max="6156" width="11.19921875" style="25" customWidth="1"/>
    <col min="6157" max="6157" width="11.69921875" style="25" bestFit="1" customWidth="1"/>
    <col min="6158" max="6390" width="9" style="25"/>
    <col min="6391" max="6391" width="6.19921875" style="25" customWidth="1"/>
    <col min="6392" max="6392" width="40.3984375" style="25" customWidth="1"/>
    <col min="6393" max="6393" width="12.5" style="25" customWidth="1"/>
    <col min="6394" max="6406" width="0" style="25" hidden="1" customWidth="1"/>
    <col min="6407" max="6408" width="16" style="25" customWidth="1"/>
    <col min="6409" max="6410" width="13.8984375" style="25" customWidth="1"/>
    <col min="6411" max="6411" width="11.09765625" style="25" customWidth="1"/>
    <col min="6412" max="6412" width="11.19921875" style="25" customWidth="1"/>
    <col min="6413" max="6413" width="11.69921875" style="25" bestFit="1" customWidth="1"/>
    <col min="6414" max="6646" width="9" style="25"/>
    <col min="6647" max="6647" width="6.19921875" style="25" customWidth="1"/>
    <col min="6648" max="6648" width="40.3984375" style="25" customWidth="1"/>
    <col min="6649" max="6649" width="12.5" style="25" customWidth="1"/>
    <col min="6650" max="6662" width="0" style="25" hidden="1" customWidth="1"/>
    <col min="6663" max="6664" width="16" style="25" customWidth="1"/>
    <col min="6665" max="6666" width="13.8984375" style="25" customWidth="1"/>
    <col min="6667" max="6667" width="11.09765625" style="25" customWidth="1"/>
    <col min="6668" max="6668" width="11.19921875" style="25" customWidth="1"/>
    <col min="6669" max="6669" width="11.69921875" style="25" bestFit="1" customWidth="1"/>
    <col min="6670" max="6902" width="9" style="25"/>
    <col min="6903" max="6903" width="6.19921875" style="25" customWidth="1"/>
    <col min="6904" max="6904" width="40.3984375" style="25" customWidth="1"/>
    <col min="6905" max="6905" width="12.5" style="25" customWidth="1"/>
    <col min="6906" max="6918" width="0" style="25" hidden="1" customWidth="1"/>
    <col min="6919" max="6920" width="16" style="25" customWidth="1"/>
    <col min="6921" max="6922" width="13.8984375" style="25" customWidth="1"/>
    <col min="6923" max="6923" width="11.09765625" style="25" customWidth="1"/>
    <col min="6924" max="6924" width="11.19921875" style="25" customWidth="1"/>
    <col min="6925" max="6925" width="11.69921875" style="25" bestFit="1" customWidth="1"/>
    <col min="6926" max="7158" width="9" style="25"/>
    <col min="7159" max="7159" width="6.19921875" style="25" customWidth="1"/>
    <col min="7160" max="7160" width="40.3984375" style="25" customWidth="1"/>
    <col min="7161" max="7161" width="12.5" style="25" customWidth="1"/>
    <col min="7162" max="7174" width="0" style="25" hidden="1" customWidth="1"/>
    <col min="7175" max="7176" width="16" style="25" customWidth="1"/>
    <col min="7177" max="7178" width="13.8984375" style="25" customWidth="1"/>
    <col min="7179" max="7179" width="11.09765625" style="25" customWidth="1"/>
    <col min="7180" max="7180" width="11.19921875" style="25" customWidth="1"/>
    <col min="7181" max="7181" width="11.69921875" style="25" bestFit="1" customWidth="1"/>
    <col min="7182" max="7414" width="9" style="25"/>
    <col min="7415" max="7415" width="6.19921875" style="25" customWidth="1"/>
    <col min="7416" max="7416" width="40.3984375" style="25" customWidth="1"/>
    <col min="7417" max="7417" width="12.5" style="25" customWidth="1"/>
    <col min="7418" max="7430" width="0" style="25" hidden="1" customWidth="1"/>
    <col min="7431" max="7432" width="16" style="25" customWidth="1"/>
    <col min="7433" max="7434" width="13.8984375" style="25" customWidth="1"/>
    <col min="7435" max="7435" width="11.09765625" style="25" customWidth="1"/>
    <col min="7436" max="7436" width="11.19921875" style="25" customWidth="1"/>
    <col min="7437" max="7437" width="11.69921875" style="25" bestFit="1" customWidth="1"/>
    <col min="7438" max="7670" width="9" style="25"/>
    <col min="7671" max="7671" width="6.19921875" style="25" customWidth="1"/>
    <col min="7672" max="7672" width="40.3984375" style="25" customWidth="1"/>
    <col min="7673" max="7673" width="12.5" style="25" customWidth="1"/>
    <col min="7674" max="7686" width="0" style="25" hidden="1" customWidth="1"/>
    <col min="7687" max="7688" width="16" style="25" customWidth="1"/>
    <col min="7689" max="7690" width="13.8984375" style="25" customWidth="1"/>
    <col min="7691" max="7691" width="11.09765625" style="25" customWidth="1"/>
    <col min="7692" max="7692" width="11.19921875" style="25" customWidth="1"/>
    <col min="7693" max="7693" width="11.69921875" style="25" bestFit="1" customWidth="1"/>
    <col min="7694" max="7926" width="9" style="25"/>
    <col min="7927" max="7927" width="6.19921875" style="25" customWidth="1"/>
    <col min="7928" max="7928" width="40.3984375" style="25" customWidth="1"/>
    <col min="7929" max="7929" width="12.5" style="25" customWidth="1"/>
    <col min="7930" max="7942" width="0" style="25" hidden="1" customWidth="1"/>
    <col min="7943" max="7944" width="16" style="25" customWidth="1"/>
    <col min="7945" max="7946" width="13.8984375" style="25" customWidth="1"/>
    <col min="7947" max="7947" width="11.09765625" style="25" customWidth="1"/>
    <col min="7948" max="7948" width="11.19921875" style="25" customWidth="1"/>
    <col min="7949" max="7949" width="11.69921875" style="25" bestFit="1" customWidth="1"/>
    <col min="7950" max="8182" width="9" style="25"/>
    <col min="8183" max="8183" width="6.19921875" style="25" customWidth="1"/>
    <col min="8184" max="8184" width="40.3984375" style="25" customWidth="1"/>
    <col min="8185" max="8185" width="12.5" style="25" customWidth="1"/>
    <col min="8186" max="8198" width="0" style="25" hidden="1" customWidth="1"/>
    <col min="8199" max="8200" width="16" style="25" customWidth="1"/>
    <col min="8201" max="8202" width="13.8984375" style="25" customWidth="1"/>
    <col min="8203" max="8203" width="11.09765625" style="25" customWidth="1"/>
    <col min="8204" max="8204" width="11.19921875" style="25" customWidth="1"/>
    <col min="8205" max="8205" width="11.69921875" style="25" bestFit="1" customWidth="1"/>
    <col min="8206" max="8438" width="9" style="25"/>
    <col min="8439" max="8439" width="6.19921875" style="25" customWidth="1"/>
    <col min="8440" max="8440" width="40.3984375" style="25" customWidth="1"/>
    <col min="8441" max="8441" width="12.5" style="25" customWidth="1"/>
    <col min="8442" max="8454" width="0" style="25" hidden="1" customWidth="1"/>
    <col min="8455" max="8456" width="16" style="25" customWidth="1"/>
    <col min="8457" max="8458" width="13.8984375" style="25" customWidth="1"/>
    <col min="8459" max="8459" width="11.09765625" style="25" customWidth="1"/>
    <col min="8460" max="8460" width="11.19921875" style="25" customWidth="1"/>
    <col min="8461" max="8461" width="11.69921875" style="25" bestFit="1" customWidth="1"/>
    <col min="8462" max="8694" width="9" style="25"/>
    <col min="8695" max="8695" width="6.19921875" style="25" customWidth="1"/>
    <col min="8696" max="8696" width="40.3984375" style="25" customWidth="1"/>
    <col min="8697" max="8697" width="12.5" style="25" customWidth="1"/>
    <col min="8698" max="8710" width="0" style="25" hidden="1" customWidth="1"/>
    <col min="8711" max="8712" width="16" style="25" customWidth="1"/>
    <col min="8713" max="8714" width="13.8984375" style="25" customWidth="1"/>
    <col min="8715" max="8715" width="11.09765625" style="25" customWidth="1"/>
    <col min="8716" max="8716" width="11.19921875" style="25" customWidth="1"/>
    <col min="8717" max="8717" width="11.69921875" style="25" bestFit="1" customWidth="1"/>
    <col min="8718" max="8950" width="9" style="25"/>
    <col min="8951" max="8951" width="6.19921875" style="25" customWidth="1"/>
    <col min="8952" max="8952" width="40.3984375" style="25" customWidth="1"/>
    <col min="8953" max="8953" width="12.5" style="25" customWidth="1"/>
    <col min="8954" max="8966" width="0" style="25" hidden="1" customWidth="1"/>
    <col min="8967" max="8968" width="16" style="25" customWidth="1"/>
    <col min="8969" max="8970" width="13.8984375" style="25" customWidth="1"/>
    <col min="8971" max="8971" width="11.09765625" style="25" customWidth="1"/>
    <col min="8972" max="8972" width="11.19921875" style="25" customWidth="1"/>
    <col min="8973" max="8973" width="11.69921875" style="25" bestFit="1" customWidth="1"/>
    <col min="8974" max="9206" width="9" style="25"/>
    <col min="9207" max="9207" width="6.19921875" style="25" customWidth="1"/>
    <col min="9208" max="9208" width="40.3984375" style="25" customWidth="1"/>
    <col min="9209" max="9209" width="12.5" style="25" customWidth="1"/>
    <col min="9210" max="9222" width="0" style="25" hidden="1" customWidth="1"/>
    <col min="9223" max="9224" width="16" style="25" customWidth="1"/>
    <col min="9225" max="9226" width="13.8984375" style="25" customWidth="1"/>
    <col min="9227" max="9227" width="11.09765625" style="25" customWidth="1"/>
    <col min="9228" max="9228" width="11.19921875" style="25" customWidth="1"/>
    <col min="9229" max="9229" width="11.69921875" style="25" bestFit="1" customWidth="1"/>
    <col min="9230" max="9462" width="9" style="25"/>
    <col min="9463" max="9463" width="6.19921875" style="25" customWidth="1"/>
    <col min="9464" max="9464" width="40.3984375" style="25" customWidth="1"/>
    <col min="9465" max="9465" width="12.5" style="25" customWidth="1"/>
    <col min="9466" max="9478" width="0" style="25" hidden="1" customWidth="1"/>
    <col min="9479" max="9480" width="16" style="25" customWidth="1"/>
    <col min="9481" max="9482" width="13.8984375" style="25" customWidth="1"/>
    <col min="9483" max="9483" width="11.09765625" style="25" customWidth="1"/>
    <col min="9484" max="9484" width="11.19921875" style="25" customWidth="1"/>
    <col min="9485" max="9485" width="11.69921875" style="25" bestFit="1" customWidth="1"/>
    <col min="9486" max="9718" width="9" style="25"/>
    <col min="9719" max="9719" width="6.19921875" style="25" customWidth="1"/>
    <col min="9720" max="9720" width="40.3984375" style="25" customWidth="1"/>
    <col min="9721" max="9721" width="12.5" style="25" customWidth="1"/>
    <col min="9722" max="9734" width="0" style="25" hidden="1" customWidth="1"/>
    <col min="9735" max="9736" width="16" style="25" customWidth="1"/>
    <col min="9737" max="9738" width="13.8984375" style="25" customWidth="1"/>
    <col min="9739" max="9739" width="11.09765625" style="25" customWidth="1"/>
    <col min="9740" max="9740" width="11.19921875" style="25" customWidth="1"/>
    <col min="9741" max="9741" width="11.69921875" style="25" bestFit="1" customWidth="1"/>
    <col min="9742" max="9974" width="9" style="25"/>
    <col min="9975" max="9975" width="6.19921875" style="25" customWidth="1"/>
    <col min="9976" max="9976" width="40.3984375" style="25" customWidth="1"/>
    <col min="9977" max="9977" width="12.5" style="25" customWidth="1"/>
    <col min="9978" max="9990" width="0" style="25" hidden="1" customWidth="1"/>
    <col min="9991" max="9992" width="16" style="25" customWidth="1"/>
    <col min="9993" max="9994" width="13.8984375" style="25" customWidth="1"/>
    <col min="9995" max="9995" width="11.09765625" style="25" customWidth="1"/>
    <col min="9996" max="9996" width="11.19921875" style="25" customWidth="1"/>
    <col min="9997" max="9997" width="11.69921875" style="25" bestFit="1" customWidth="1"/>
    <col min="9998" max="10230" width="9" style="25"/>
    <col min="10231" max="10231" width="6.19921875" style="25" customWidth="1"/>
    <col min="10232" max="10232" width="40.3984375" style="25" customWidth="1"/>
    <col min="10233" max="10233" width="12.5" style="25" customWidth="1"/>
    <col min="10234" max="10246" width="0" style="25" hidden="1" customWidth="1"/>
    <col min="10247" max="10248" width="16" style="25" customWidth="1"/>
    <col min="10249" max="10250" width="13.8984375" style="25" customWidth="1"/>
    <col min="10251" max="10251" width="11.09765625" style="25" customWidth="1"/>
    <col min="10252" max="10252" width="11.19921875" style="25" customWidth="1"/>
    <col min="10253" max="10253" width="11.69921875" style="25" bestFit="1" customWidth="1"/>
    <col min="10254" max="10486" width="9" style="25"/>
    <col min="10487" max="10487" width="6.19921875" style="25" customWidth="1"/>
    <col min="10488" max="10488" width="40.3984375" style="25" customWidth="1"/>
    <col min="10489" max="10489" width="12.5" style="25" customWidth="1"/>
    <col min="10490" max="10502" width="0" style="25" hidden="1" customWidth="1"/>
    <col min="10503" max="10504" width="16" style="25" customWidth="1"/>
    <col min="10505" max="10506" width="13.8984375" style="25" customWidth="1"/>
    <col min="10507" max="10507" width="11.09765625" style="25" customWidth="1"/>
    <col min="10508" max="10508" width="11.19921875" style="25" customWidth="1"/>
    <col min="10509" max="10509" width="11.69921875" style="25" bestFit="1" customWidth="1"/>
    <col min="10510" max="10742" width="9" style="25"/>
    <col min="10743" max="10743" width="6.19921875" style="25" customWidth="1"/>
    <col min="10744" max="10744" width="40.3984375" style="25" customWidth="1"/>
    <col min="10745" max="10745" width="12.5" style="25" customWidth="1"/>
    <col min="10746" max="10758" width="0" style="25" hidden="1" customWidth="1"/>
    <col min="10759" max="10760" width="16" style="25" customWidth="1"/>
    <col min="10761" max="10762" width="13.8984375" style="25" customWidth="1"/>
    <col min="10763" max="10763" width="11.09765625" style="25" customWidth="1"/>
    <col min="10764" max="10764" width="11.19921875" style="25" customWidth="1"/>
    <col min="10765" max="10765" width="11.69921875" style="25" bestFit="1" customWidth="1"/>
    <col min="10766" max="10998" width="9" style="25"/>
    <col min="10999" max="10999" width="6.19921875" style="25" customWidth="1"/>
    <col min="11000" max="11000" width="40.3984375" style="25" customWidth="1"/>
    <col min="11001" max="11001" width="12.5" style="25" customWidth="1"/>
    <col min="11002" max="11014" width="0" style="25" hidden="1" customWidth="1"/>
    <col min="11015" max="11016" width="16" style="25" customWidth="1"/>
    <col min="11017" max="11018" width="13.8984375" style="25" customWidth="1"/>
    <col min="11019" max="11019" width="11.09765625" style="25" customWidth="1"/>
    <col min="11020" max="11020" width="11.19921875" style="25" customWidth="1"/>
    <col min="11021" max="11021" width="11.69921875" style="25" bestFit="1" customWidth="1"/>
    <col min="11022" max="11254" width="9" style="25"/>
    <col min="11255" max="11255" width="6.19921875" style="25" customWidth="1"/>
    <col min="11256" max="11256" width="40.3984375" style="25" customWidth="1"/>
    <col min="11257" max="11257" width="12.5" style="25" customWidth="1"/>
    <col min="11258" max="11270" width="0" style="25" hidden="1" customWidth="1"/>
    <col min="11271" max="11272" width="16" style="25" customWidth="1"/>
    <col min="11273" max="11274" width="13.8984375" style="25" customWidth="1"/>
    <col min="11275" max="11275" width="11.09765625" style="25" customWidth="1"/>
    <col min="11276" max="11276" width="11.19921875" style="25" customWidth="1"/>
    <col min="11277" max="11277" width="11.69921875" style="25" bestFit="1" customWidth="1"/>
    <col min="11278" max="11510" width="9" style="25"/>
    <col min="11511" max="11511" width="6.19921875" style="25" customWidth="1"/>
    <col min="11512" max="11512" width="40.3984375" style="25" customWidth="1"/>
    <col min="11513" max="11513" width="12.5" style="25" customWidth="1"/>
    <col min="11514" max="11526" width="0" style="25" hidden="1" customWidth="1"/>
    <col min="11527" max="11528" width="16" style="25" customWidth="1"/>
    <col min="11529" max="11530" width="13.8984375" style="25" customWidth="1"/>
    <col min="11531" max="11531" width="11.09765625" style="25" customWidth="1"/>
    <col min="11532" max="11532" width="11.19921875" style="25" customWidth="1"/>
    <col min="11533" max="11533" width="11.69921875" style="25" bestFit="1" customWidth="1"/>
    <col min="11534" max="11766" width="9" style="25"/>
    <col min="11767" max="11767" width="6.19921875" style="25" customWidth="1"/>
    <col min="11768" max="11768" width="40.3984375" style="25" customWidth="1"/>
    <col min="11769" max="11769" width="12.5" style="25" customWidth="1"/>
    <col min="11770" max="11782" width="0" style="25" hidden="1" customWidth="1"/>
    <col min="11783" max="11784" width="16" style="25" customWidth="1"/>
    <col min="11785" max="11786" width="13.8984375" style="25" customWidth="1"/>
    <col min="11787" max="11787" width="11.09765625" style="25" customWidth="1"/>
    <col min="11788" max="11788" width="11.19921875" style="25" customWidth="1"/>
    <col min="11789" max="11789" width="11.69921875" style="25" bestFit="1" customWidth="1"/>
    <col min="11790" max="12022" width="9" style="25"/>
    <col min="12023" max="12023" width="6.19921875" style="25" customWidth="1"/>
    <col min="12024" max="12024" width="40.3984375" style="25" customWidth="1"/>
    <col min="12025" max="12025" width="12.5" style="25" customWidth="1"/>
    <col min="12026" max="12038" width="0" style="25" hidden="1" customWidth="1"/>
    <col min="12039" max="12040" width="16" style="25" customWidth="1"/>
    <col min="12041" max="12042" width="13.8984375" style="25" customWidth="1"/>
    <col min="12043" max="12043" width="11.09765625" style="25" customWidth="1"/>
    <col min="12044" max="12044" width="11.19921875" style="25" customWidth="1"/>
    <col min="12045" max="12045" width="11.69921875" style="25" bestFit="1" customWidth="1"/>
    <col min="12046" max="12278" width="9" style="25"/>
    <col min="12279" max="12279" width="6.19921875" style="25" customWidth="1"/>
    <col min="12280" max="12280" width="40.3984375" style="25" customWidth="1"/>
    <col min="12281" max="12281" width="12.5" style="25" customWidth="1"/>
    <col min="12282" max="12294" width="0" style="25" hidden="1" customWidth="1"/>
    <col min="12295" max="12296" width="16" style="25" customWidth="1"/>
    <col min="12297" max="12298" width="13.8984375" style="25" customWidth="1"/>
    <col min="12299" max="12299" width="11.09765625" style="25" customWidth="1"/>
    <col min="12300" max="12300" width="11.19921875" style="25" customWidth="1"/>
    <col min="12301" max="12301" width="11.69921875" style="25" bestFit="1" customWidth="1"/>
    <col min="12302" max="12534" width="9" style="25"/>
    <col min="12535" max="12535" width="6.19921875" style="25" customWidth="1"/>
    <col min="12536" max="12536" width="40.3984375" style="25" customWidth="1"/>
    <col min="12537" max="12537" width="12.5" style="25" customWidth="1"/>
    <col min="12538" max="12550" width="0" style="25" hidden="1" customWidth="1"/>
    <col min="12551" max="12552" width="16" style="25" customWidth="1"/>
    <col min="12553" max="12554" width="13.8984375" style="25" customWidth="1"/>
    <col min="12555" max="12555" width="11.09765625" style="25" customWidth="1"/>
    <col min="12556" max="12556" width="11.19921875" style="25" customWidth="1"/>
    <col min="12557" max="12557" width="11.69921875" style="25" bestFit="1" customWidth="1"/>
    <col min="12558" max="12790" width="9" style="25"/>
    <col min="12791" max="12791" width="6.19921875" style="25" customWidth="1"/>
    <col min="12792" max="12792" width="40.3984375" style="25" customWidth="1"/>
    <col min="12793" max="12793" width="12.5" style="25" customWidth="1"/>
    <col min="12794" max="12806" width="0" style="25" hidden="1" customWidth="1"/>
    <col min="12807" max="12808" width="16" style="25" customWidth="1"/>
    <col min="12809" max="12810" width="13.8984375" style="25" customWidth="1"/>
    <col min="12811" max="12811" width="11.09765625" style="25" customWidth="1"/>
    <col min="12812" max="12812" width="11.19921875" style="25" customWidth="1"/>
    <col min="12813" max="12813" width="11.69921875" style="25" bestFit="1" customWidth="1"/>
    <col min="12814" max="13046" width="9" style="25"/>
    <col min="13047" max="13047" width="6.19921875" style="25" customWidth="1"/>
    <col min="13048" max="13048" width="40.3984375" style="25" customWidth="1"/>
    <col min="13049" max="13049" width="12.5" style="25" customWidth="1"/>
    <col min="13050" max="13062" width="0" style="25" hidden="1" customWidth="1"/>
    <col min="13063" max="13064" width="16" style="25" customWidth="1"/>
    <col min="13065" max="13066" width="13.8984375" style="25" customWidth="1"/>
    <col min="13067" max="13067" width="11.09765625" style="25" customWidth="1"/>
    <col min="13068" max="13068" width="11.19921875" style="25" customWidth="1"/>
    <col min="13069" max="13069" width="11.69921875" style="25" bestFit="1" customWidth="1"/>
    <col min="13070" max="13302" width="9" style="25"/>
    <col min="13303" max="13303" width="6.19921875" style="25" customWidth="1"/>
    <col min="13304" max="13304" width="40.3984375" style="25" customWidth="1"/>
    <col min="13305" max="13305" width="12.5" style="25" customWidth="1"/>
    <col min="13306" max="13318" width="0" style="25" hidden="1" customWidth="1"/>
    <col min="13319" max="13320" width="16" style="25" customWidth="1"/>
    <col min="13321" max="13322" width="13.8984375" style="25" customWidth="1"/>
    <col min="13323" max="13323" width="11.09765625" style="25" customWidth="1"/>
    <col min="13324" max="13324" width="11.19921875" style="25" customWidth="1"/>
    <col min="13325" max="13325" width="11.69921875" style="25" bestFit="1" customWidth="1"/>
    <col min="13326" max="13558" width="9" style="25"/>
    <col min="13559" max="13559" width="6.19921875" style="25" customWidth="1"/>
    <col min="13560" max="13560" width="40.3984375" style="25" customWidth="1"/>
    <col min="13561" max="13561" width="12.5" style="25" customWidth="1"/>
    <col min="13562" max="13574" width="0" style="25" hidden="1" customWidth="1"/>
    <col min="13575" max="13576" width="16" style="25" customWidth="1"/>
    <col min="13577" max="13578" width="13.8984375" style="25" customWidth="1"/>
    <col min="13579" max="13579" width="11.09765625" style="25" customWidth="1"/>
    <col min="13580" max="13580" width="11.19921875" style="25" customWidth="1"/>
    <col min="13581" max="13581" width="11.69921875" style="25" bestFit="1" customWidth="1"/>
    <col min="13582" max="13814" width="9" style="25"/>
    <col min="13815" max="13815" width="6.19921875" style="25" customWidth="1"/>
    <col min="13816" max="13816" width="40.3984375" style="25" customWidth="1"/>
    <col min="13817" max="13817" width="12.5" style="25" customWidth="1"/>
    <col min="13818" max="13830" width="0" style="25" hidden="1" customWidth="1"/>
    <col min="13831" max="13832" width="16" style="25" customWidth="1"/>
    <col min="13833" max="13834" width="13.8984375" style="25" customWidth="1"/>
    <col min="13835" max="13835" width="11.09765625" style="25" customWidth="1"/>
    <col min="13836" max="13836" width="11.19921875" style="25" customWidth="1"/>
    <col min="13837" max="13837" width="11.69921875" style="25" bestFit="1" customWidth="1"/>
    <col min="13838" max="14070" width="9" style="25"/>
    <col min="14071" max="14071" width="6.19921875" style="25" customWidth="1"/>
    <col min="14072" max="14072" width="40.3984375" style="25" customWidth="1"/>
    <col min="14073" max="14073" width="12.5" style="25" customWidth="1"/>
    <col min="14074" max="14086" width="0" style="25" hidden="1" customWidth="1"/>
    <col min="14087" max="14088" width="16" style="25" customWidth="1"/>
    <col min="14089" max="14090" width="13.8984375" style="25" customWidth="1"/>
    <col min="14091" max="14091" width="11.09765625" style="25" customWidth="1"/>
    <col min="14092" max="14092" width="11.19921875" style="25" customWidth="1"/>
    <col min="14093" max="14093" width="11.69921875" style="25" bestFit="1" customWidth="1"/>
    <col min="14094" max="14326" width="9" style="25"/>
    <col min="14327" max="14327" width="6.19921875" style="25" customWidth="1"/>
    <col min="14328" max="14328" width="40.3984375" style="25" customWidth="1"/>
    <col min="14329" max="14329" width="12.5" style="25" customWidth="1"/>
    <col min="14330" max="14342" width="0" style="25" hidden="1" customWidth="1"/>
    <col min="14343" max="14344" width="16" style="25" customWidth="1"/>
    <col min="14345" max="14346" width="13.8984375" style="25" customWidth="1"/>
    <col min="14347" max="14347" width="11.09765625" style="25" customWidth="1"/>
    <col min="14348" max="14348" width="11.19921875" style="25" customWidth="1"/>
    <col min="14349" max="14349" width="11.69921875" style="25" bestFit="1" customWidth="1"/>
    <col min="14350" max="14582" width="9" style="25"/>
    <col min="14583" max="14583" width="6.19921875" style="25" customWidth="1"/>
    <col min="14584" max="14584" width="40.3984375" style="25" customWidth="1"/>
    <col min="14585" max="14585" width="12.5" style="25" customWidth="1"/>
    <col min="14586" max="14598" width="0" style="25" hidden="1" customWidth="1"/>
    <col min="14599" max="14600" width="16" style="25" customWidth="1"/>
    <col min="14601" max="14602" width="13.8984375" style="25" customWidth="1"/>
    <col min="14603" max="14603" width="11.09765625" style="25" customWidth="1"/>
    <col min="14604" max="14604" width="11.19921875" style="25" customWidth="1"/>
    <col min="14605" max="14605" width="11.69921875" style="25" bestFit="1" customWidth="1"/>
    <col min="14606" max="14838" width="9" style="25"/>
    <col min="14839" max="14839" width="6.19921875" style="25" customWidth="1"/>
    <col min="14840" max="14840" width="40.3984375" style="25" customWidth="1"/>
    <col min="14841" max="14841" width="12.5" style="25" customWidth="1"/>
    <col min="14842" max="14854" width="0" style="25" hidden="1" customWidth="1"/>
    <col min="14855" max="14856" width="16" style="25" customWidth="1"/>
    <col min="14857" max="14858" width="13.8984375" style="25" customWidth="1"/>
    <col min="14859" max="14859" width="11.09765625" style="25" customWidth="1"/>
    <col min="14860" max="14860" width="11.19921875" style="25" customWidth="1"/>
    <col min="14861" max="14861" width="11.69921875" style="25" bestFit="1" customWidth="1"/>
    <col min="14862" max="15094" width="9" style="25"/>
    <col min="15095" max="15095" width="6.19921875" style="25" customWidth="1"/>
    <col min="15096" max="15096" width="40.3984375" style="25" customWidth="1"/>
    <col min="15097" max="15097" width="12.5" style="25" customWidth="1"/>
    <col min="15098" max="15110" width="0" style="25" hidden="1" customWidth="1"/>
    <col min="15111" max="15112" width="16" style="25" customWidth="1"/>
    <col min="15113" max="15114" width="13.8984375" style="25" customWidth="1"/>
    <col min="15115" max="15115" width="11.09765625" style="25" customWidth="1"/>
    <col min="15116" max="15116" width="11.19921875" style="25" customWidth="1"/>
    <col min="15117" max="15117" width="11.69921875" style="25" bestFit="1" customWidth="1"/>
    <col min="15118" max="15350" width="9" style="25"/>
    <col min="15351" max="15351" width="6.19921875" style="25" customWidth="1"/>
    <col min="15352" max="15352" width="40.3984375" style="25" customWidth="1"/>
    <col min="15353" max="15353" width="12.5" style="25" customWidth="1"/>
    <col min="15354" max="15366" width="0" style="25" hidden="1" customWidth="1"/>
    <col min="15367" max="15368" width="16" style="25" customWidth="1"/>
    <col min="15369" max="15370" width="13.8984375" style="25" customWidth="1"/>
    <col min="15371" max="15371" width="11.09765625" style="25" customWidth="1"/>
    <col min="15372" max="15372" width="11.19921875" style="25" customWidth="1"/>
    <col min="15373" max="15373" width="11.69921875" style="25" bestFit="1" customWidth="1"/>
    <col min="15374" max="15606" width="9" style="25"/>
    <col min="15607" max="15607" width="6.19921875" style="25" customWidth="1"/>
    <col min="15608" max="15608" width="40.3984375" style="25" customWidth="1"/>
    <col min="15609" max="15609" width="12.5" style="25" customWidth="1"/>
    <col min="15610" max="15622" width="0" style="25" hidden="1" customWidth="1"/>
    <col min="15623" max="15624" width="16" style="25" customWidth="1"/>
    <col min="15625" max="15626" width="13.8984375" style="25" customWidth="1"/>
    <col min="15627" max="15627" width="11.09765625" style="25" customWidth="1"/>
    <col min="15628" max="15628" width="11.19921875" style="25" customWidth="1"/>
    <col min="15629" max="15629" width="11.69921875" style="25" bestFit="1" customWidth="1"/>
    <col min="15630" max="15862" width="9" style="25"/>
    <col min="15863" max="15863" width="6.19921875" style="25" customWidth="1"/>
    <col min="15864" max="15864" width="40.3984375" style="25" customWidth="1"/>
    <col min="15865" max="15865" width="12.5" style="25" customWidth="1"/>
    <col min="15866" max="15878" width="0" style="25" hidden="1" customWidth="1"/>
    <col min="15879" max="15880" width="16" style="25" customWidth="1"/>
    <col min="15881" max="15882" width="13.8984375" style="25" customWidth="1"/>
    <col min="15883" max="15883" width="11.09765625" style="25" customWidth="1"/>
    <col min="15884" max="15884" width="11.19921875" style="25" customWidth="1"/>
    <col min="15885" max="15885" width="11.69921875" style="25" bestFit="1" customWidth="1"/>
    <col min="15886" max="16118" width="9" style="25"/>
    <col min="16119" max="16119" width="6.19921875" style="25" customWidth="1"/>
    <col min="16120" max="16120" width="40.3984375" style="25" customWidth="1"/>
    <col min="16121" max="16121" width="12.5" style="25" customWidth="1"/>
    <col min="16122" max="16134" width="0" style="25" hidden="1" customWidth="1"/>
    <col min="16135" max="16136" width="16" style="25" customWidth="1"/>
    <col min="16137" max="16138" width="13.8984375" style="25" customWidth="1"/>
    <col min="16139" max="16139" width="11.09765625" style="25" customWidth="1"/>
    <col min="16140" max="16140" width="11.19921875" style="25" customWidth="1"/>
    <col min="16141" max="16141" width="11.69921875" style="25" bestFit="1" customWidth="1"/>
    <col min="16142" max="16384" width="9" style="25"/>
  </cols>
  <sheetData>
    <row r="1" spans="1:22">
      <c r="A1" s="12" t="s">
        <v>468</v>
      </c>
      <c r="B1" s="24"/>
      <c r="C1" s="24"/>
      <c r="D1" s="24"/>
      <c r="E1" s="24"/>
      <c r="F1" s="24"/>
      <c r="G1" s="24"/>
      <c r="H1" s="24"/>
      <c r="I1" s="24"/>
      <c r="J1" s="24"/>
      <c r="K1" s="24"/>
      <c r="L1" s="24"/>
      <c r="M1" s="24"/>
      <c r="N1" s="24"/>
      <c r="O1" s="24"/>
    </row>
    <row r="2" spans="1:22">
      <c r="A2" s="661" t="s">
        <v>437</v>
      </c>
      <c r="B2" s="661"/>
      <c r="C2" s="661"/>
      <c r="D2" s="661"/>
      <c r="E2" s="661"/>
      <c r="F2" s="661"/>
      <c r="G2" s="661"/>
      <c r="H2" s="661"/>
      <c r="I2" s="661"/>
      <c r="J2" s="661"/>
      <c r="K2" s="444"/>
      <c r="L2" s="444"/>
      <c r="M2" s="444"/>
      <c r="N2" s="444"/>
      <c r="O2" s="444"/>
    </row>
    <row r="3" spans="1:22">
      <c r="A3" s="662" t="s">
        <v>512</v>
      </c>
      <c r="B3" s="662"/>
      <c r="C3" s="662"/>
      <c r="D3" s="662"/>
      <c r="E3" s="662"/>
      <c r="F3" s="662"/>
      <c r="G3" s="662"/>
      <c r="H3" s="662"/>
      <c r="I3" s="662"/>
      <c r="J3" s="662"/>
      <c r="K3" s="445"/>
      <c r="L3" s="445"/>
      <c r="M3" s="445"/>
      <c r="N3" s="445"/>
      <c r="O3" s="445"/>
    </row>
    <row r="4" spans="1:22">
      <c r="A4" s="663" t="s">
        <v>44</v>
      </c>
      <c r="B4" s="663"/>
      <c r="C4" s="663"/>
      <c r="D4" s="663"/>
      <c r="E4" s="663"/>
      <c r="F4" s="663"/>
      <c r="G4" s="663"/>
      <c r="H4" s="663"/>
      <c r="I4" s="663"/>
      <c r="J4" s="663"/>
      <c r="K4" s="447"/>
      <c r="L4" s="447"/>
      <c r="M4" s="447"/>
      <c r="N4" s="447"/>
      <c r="O4" s="447"/>
    </row>
    <row r="5" spans="1:22" s="26" customFormat="1" ht="18.75" customHeight="1">
      <c r="A5" s="664" t="s">
        <v>0</v>
      </c>
      <c r="B5" s="665" t="s">
        <v>80</v>
      </c>
      <c r="C5" s="658" t="s">
        <v>45</v>
      </c>
      <c r="D5" s="658" t="s">
        <v>360</v>
      </c>
      <c r="E5" s="658" t="s">
        <v>359</v>
      </c>
      <c r="F5" s="658" t="s">
        <v>361</v>
      </c>
      <c r="G5" s="658" t="s">
        <v>327</v>
      </c>
      <c r="H5" s="658" t="s">
        <v>286</v>
      </c>
      <c r="I5" s="658" t="s">
        <v>336</v>
      </c>
      <c r="J5" s="665" t="s">
        <v>8</v>
      </c>
    </row>
    <row r="6" spans="1:22" s="26" customFormat="1" ht="15.75" customHeight="1">
      <c r="A6" s="664"/>
      <c r="B6" s="665"/>
      <c r="C6" s="659"/>
      <c r="D6" s="659"/>
      <c r="E6" s="659"/>
      <c r="F6" s="659"/>
      <c r="G6" s="659"/>
      <c r="H6" s="659"/>
      <c r="I6" s="659"/>
      <c r="J6" s="665"/>
    </row>
    <row r="7" spans="1:22" s="26" customFormat="1" ht="15.75" customHeight="1">
      <c r="A7" s="664"/>
      <c r="B7" s="665"/>
      <c r="C7" s="659"/>
      <c r="D7" s="659"/>
      <c r="E7" s="659"/>
      <c r="F7" s="659"/>
      <c r="G7" s="659"/>
      <c r="H7" s="659"/>
      <c r="I7" s="659"/>
      <c r="J7" s="665"/>
    </row>
    <row r="8" spans="1:22" s="26" customFormat="1" ht="24.75" customHeight="1">
      <c r="A8" s="664"/>
      <c r="B8" s="665"/>
      <c r="C8" s="660"/>
      <c r="D8" s="660"/>
      <c r="E8" s="660"/>
      <c r="F8" s="660"/>
      <c r="G8" s="660"/>
      <c r="H8" s="660"/>
      <c r="I8" s="660"/>
      <c r="J8" s="665"/>
      <c r="L8" s="26">
        <f>+C12+C17+C21+C26</f>
        <v>226780.772</v>
      </c>
      <c r="M8" s="26">
        <f t="shared" ref="M8:P8" si="0">+D12+D17+D21+D26</f>
        <v>166750.28328999999</v>
      </c>
      <c r="N8" s="26">
        <f>+E12+E17+E21+E26</f>
        <v>183929.84</v>
      </c>
      <c r="O8" s="26">
        <f t="shared" si="0"/>
        <v>3.0100079951219207</v>
      </c>
      <c r="P8" s="26">
        <f t="shared" si="0"/>
        <v>3.0700147457848694</v>
      </c>
      <c r="Q8" s="26">
        <f>+H12+H17+H21+H26</f>
        <v>184679.76200000002</v>
      </c>
      <c r="R8" s="632">
        <f>+Q8/L8*100</f>
        <v>81.435370543672022</v>
      </c>
    </row>
    <row r="9" spans="1:22" s="29" customFormat="1" ht="17.25" customHeight="1">
      <c r="A9" s="27">
        <v>1</v>
      </c>
      <c r="B9" s="28">
        <v>2</v>
      </c>
      <c r="C9" s="27">
        <v>3</v>
      </c>
      <c r="D9" s="27">
        <v>4</v>
      </c>
      <c r="E9" s="27">
        <v>5</v>
      </c>
      <c r="F9" s="28">
        <v>6</v>
      </c>
      <c r="G9" s="27">
        <v>7</v>
      </c>
      <c r="H9" s="27">
        <v>8</v>
      </c>
      <c r="I9" s="27"/>
      <c r="J9" s="28">
        <v>9</v>
      </c>
      <c r="K9" s="448"/>
      <c r="L9" s="448"/>
      <c r="M9" s="448"/>
      <c r="N9" s="448"/>
      <c r="O9" s="448"/>
      <c r="Q9" s="26"/>
      <c r="T9" s="634"/>
    </row>
    <row r="10" spans="1:22" s="135" customFormat="1" ht="27.75" customHeight="1">
      <c r="A10" s="132"/>
      <c r="B10" s="133" t="s">
        <v>157</v>
      </c>
      <c r="C10" s="134">
        <f>C12+C15+C17+C21+C22+C26</f>
        <v>279168.272</v>
      </c>
      <c r="D10" s="134">
        <f>D12+D15+D17+D21+D22+D26</f>
        <v>208305.58328999998</v>
      </c>
      <c r="E10" s="134">
        <f>E12+E15+E17+E21+E22+E26</f>
        <v>226657.34</v>
      </c>
      <c r="F10" s="155">
        <f>+D10/C10</f>
        <v>0.74616496279347955</v>
      </c>
      <c r="G10" s="155">
        <f>+E10/C10</f>
        <v>0.81190222075093121</v>
      </c>
      <c r="H10" s="134">
        <f t="shared" ref="H10" si="1">H12+H15+H17+H21+H22+H26</f>
        <v>227407.26200000002</v>
      </c>
      <c r="I10" s="155">
        <f t="shared" ref="I10:I31" si="2">H10/C10</f>
        <v>0.8145884930648567</v>
      </c>
      <c r="J10" s="156"/>
      <c r="K10" s="134">
        <f>+C10-H10</f>
        <v>51761.00999999998</v>
      </c>
      <c r="L10" s="134">
        <f>+D10-H10</f>
        <v>-19101.678710000037</v>
      </c>
      <c r="M10" s="134"/>
      <c r="N10" s="134"/>
      <c r="O10" s="134"/>
      <c r="P10" s="134"/>
      <c r="Q10" s="429"/>
    </row>
    <row r="11" spans="1:22" s="33" customFormat="1" ht="31.5" hidden="1" customHeight="1">
      <c r="A11" s="446" t="s">
        <v>23</v>
      </c>
      <c r="B11" s="31" t="s">
        <v>84</v>
      </c>
      <c r="C11" s="32">
        <f>SUM(C12:C16)</f>
        <v>126180.78200000001</v>
      </c>
      <c r="D11" s="32"/>
      <c r="E11" s="32">
        <f>SUM(E12:E16)</f>
        <v>125548.62000000001</v>
      </c>
      <c r="F11" s="136" t="e">
        <f>#REF!/C11</f>
        <v>#REF!</v>
      </c>
      <c r="G11" s="136">
        <f t="shared" ref="G11:G31" si="3">E11/C11</f>
        <v>0.99499002946423332</v>
      </c>
      <c r="H11" s="32">
        <f>SUM(H12:H16)</f>
        <v>125567.69400000002</v>
      </c>
      <c r="I11" s="155">
        <f t="shared" si="2"/>
        <v>0.99514119352977237</v>
      </c>
      <c r="J11" s="32" t="s">
        <v>244</v>
      </c>
      <c r="K11" s="134">
        <f t="shared" ref="K11:K31" si="4">+C11-H11</f>
        <v>613.08799999998882</v>
      </c>
      <c r="L11" s="134">
        <f t="shared" ref="L11:L31" si="5">+D11-H11</f>
        <v>-125567.69400000002</v>
      </c>
      <c r="M11" s="134"/>
      <c r="N11" s="134"/>
      <c r="O11" s="134"/>
      <c r="P11" s="134"/>
      <c r="Q11" s="26"/>
    </row>
    <row r="12" spans="1:22" s="413" customFormat="1" ht="28.5" customHeight="1">
      <c r="A12" s="8" t="s">
        <v>23</v>
      </c>
      <c r="B12" s="421" t="s">
        <v>290</v>
      </c>
      <c r="C12" s="422">
        <f>C13+C14</f>
        <v>43084.391000000003</v>
      </c>
      <c r="D12" s="422">
        <f>D13+D14</f>
        <v>55099.720999999998</v>
      </c>
      <c r="E12" s="422">
        <f>E13+E14</f>
        <v>42968.310000000005</v>
      </c>
      <c r="F12" s="423">
        <f>+D12/C12</f>
        <v>1.2788789564183463</v>
      </c>
      <c r="G12" s="423">
        <f t="shared" si="3"/>
        <v>0.99730572958545483</v>
      </c>
      <c r="H12" s="422">
        <f>H13+H14</f>
        <v>42977.847000000009</v>
      </c>
      <c r="I12" s="419">
        <f t="shared" si="2"/>
        <v>0.99752708585343597</v>
      </c>
      <c r="J12" s="424"/>
      <c r="K12" s="134">
        <f t="shared" si="4"/>
        <v>106.54399999999441</v>
      </c>
      <c r="L12" s="134">
        <f t="shared" si="5"/>
        <v>12121.873999999989</v>
      </c>
      <c r="M12" s="134"/>
      <c r="N12" s="134"/>
      <c r="O12" s="134"/>
      <c r="P12" s="134"/>
      <c r="Q12" s="425"/>
      <c r="V12" s="636"/>
    </row>
    <row r="13" spans="1:22" s="435" customFormat="1" ht="28.5" customHeight="1">
      <c r="A13" s="10">
        <v>1</v>
      </c>
      <c r="B13" s="9" t="s">
        <v>243</v>
      </c>
      <c r="C13" s="449">
        <f>'02-CĐNS(TỈNH Q.LÝ)'!E13</f>
        <v>20850.391000000007</v>
      </c>
      <c r="D13" s="449">
        <f>'02-CĐNS(TỈNH Q.LÝ)'!I13</f>
        <v>13686.165000000001</v>
      </c>
      <c r="E13" s="449">
        <f>'02-CĐNS(TỈNH Q.LÝ)'!K13</f>
        <v>20734.310000000005</v>
      </c>
      <c r="F13" s="420">
        <f>D13/C13</f>
        <v>0.65639848192774886</v>
      </c>
      <c r="G13" s="420">
        <f t="shared" si="3"/>
        <v>0.99443267035136163</v>
      </c>
      <c r="H13" s="449">
        <f>+'02-CĐNS(TỈNH Q.LÝ)'!M13</f>
        <v>20743.847000000005</v>
      </c>
      <c r="I13" s="414">
        <f t="shared" si="2"/>
        <v>0.99489007184565503</v>
      </c>
      <c r="J13" s="424" t="s">
        <v>48</v>
      </c>
      <c r="K13" s="134">
        <f t="shared" si="4"/>
        <v>106.54400000000169</v>
      </c>
      <c r="L13" s="134">
        <f t="shared" si="5"/>
        <v>-7057.6820000000043</v>
      </c>
      <c r="M13" s="134"/>
      <c r="N13" s="134"/>
      <c r="O13" s="134"/>
      <c r="P13" s="134"/>
      <c r="Q13" s="433">
        <f>H12+H15+H17+H21</f>
        <v>128346.64000000001</v>
      </c>
      <c r="R13" s="432"/>
    </row>
    <row r="14" spans="1:22" s="434" customFormat="1" ht="28.5" customHeight="1">
      <c r="A14" s="80">
        <v>2</v>
      </c>
      <c r="B14" s="9" t="s">
        <v>83</v>
      </c>
      <c r="C14" s="416">
        <f>'03-CĐNS(HUYỆN Q.LÝ)'!F9</f>
        <v>22234</v>
      </c>
      <c r="D14" s="416">
        <f>'03-CĐNS(HUYỆN Q.LÝ)'!G9</f>
        <v>41413.555999999997</v>
      </c>
      <c r="E14" s="416">
        <f>'03-CĐNS(HUYỆN Q.LÝ)'!I9</f>
        <v>22234</v>
      </c>
      <c r="F14" s="420">
        <f>D14/C14</f>
        <v>1.8626228299001528</v>
      </c>
      <c r="G14" s="420">
        <f t="shared" si="3"/>
        <v>1</v>
      </c>
      <c r="H14" s="449">
        <f>+'03-CĐNS(HUYỆN Q.LÝ)'!K9</f>
        <v>22234</v>
      </c>
      <c r="I14" s="414">
        <f t="shared" si="2"/>
        <v>1</v>
      </c>
      <c r="J14" s="10" t="s">
        <v>95</v>
      </c>
      <c r="K14" s="134">
        <f t="shared" si="4"/>
        <v>0</v>
      </c>
      <c r="L14" s="134">
        <f t="shared" si="5"/>
        <v>19179.555999999997</v>
      </c>
      <c r="M14" s="134"/>
      <c r="N14" s="134"/>
      <c r="O14" s="134"/>
      <c r="P14" s="134"/>
      <c r="Q14" s="433">
        <f>C13+C14+C16</f>
        <v>63090.391000000003</v>
      </c>
      <c r="R14" s="441">
        <f>132.781/170.415</f>
        <v>0.77916263239738293</v>
      </c>
    </row>
    <row r="15" spans="1:22" s="426" customFormat="1" ht="28.5" customHeight="1">
      <c r="A15" s="17" t="s">
        <v>46</v>
      </c>
      <c r="B15" s="113" t="s">
        <v>289</v>
      </c>
      <c r="C15" s="422">
        <f>C16</f>
        <v>20006</v>
      </c>
      <c r="D15" s="422">
        <f>D16</f>
        <v>18633.8</v>
      </c>
      <c r="E15" s="422">
        <f>E16</f>
        <v>19806</v>
      </c>
      <c r="F15" s="423">
        <f>+D15/C15</f>
        <v>0.93141057682695183</v>
      </c>
      <c r="G15" s="423">
        <f t="shared" si="3"/>
        <v>0.9900029991002699</v>
      </c>
      <c r="H15" s="422">
        <f>H16</f>
        <v>19806</v>
      </c>
      <c r="I15" s="419">
        <f t="shared" si="2"/>
        <v>0.9900029991002699</v>
      </c>
      <c r="J15" s="422"/>
      <c r="K15" s="134">
        <f t="shared" si="4"/>
        <v>200</v>
      </c>
      <c r="L15" s="134">
        <f t="shared" si="5"/>
        <v>-1172.2000000000007</v>
      </c>
      <c r="M15" s="134"/>
      <c r="N15" s="134"/>
      <c r="O15" s="134"/>
      <c r="P15" s="134"/>
      <c r="Q15" s="425"/>
    </row>
    <row r="16" spans="1:22" s="434" customFormat="1" ht="27.75" customHeight="1">
      <c r="A16" s="80">
        <v>1</v>
      </c>
      <c r="B16" s="450" t="str">
        <f>B15</f>
        <v xml:space="preserve">Vốn ngân sách trung ương </v>
      </c>
      <c r="C16" s="416">
        <f>'02-CĐNS(TỈNH Q.LÝ)'!E9</f>
        <v>20006</v>
      </c>
      <c r="D16" s="416">
        <f>'02-CĐNS(TỈNH Q.LÝ)'!I9</f>
        <v>18633.8</v>
      </c>
      <c r="E16" s="416">
        <f>'02-CĐNS(TỈNH Q.LÝ)'!K9</f>
        <v>19806</v>
      </c>
      <c r="F16" s="420">
        <f>D16/C16</f>
        <v>0.93141057682695183</v>
      </c>
      <c r="G16" s="420">
        <f t="shared" si="3"/>
        <v>0.9900029991002699</v>
      </c>
      <c r="H16" s="449">
        <f>'02-CĐNS(TỈNH Q.LÝ)'!M9</f>
        <v>19806</v>
      </c>
      <c r="I16" s="414">
        <f t="shared" si="2"/>
        <v>0.9900029991002699</v>
      </c>
      <c r="J16" s="10" t="s">
        <v>48</v>
      </c>
      <c r="K16" s="134">
        <f t="shared" si="4"/>
        <v>200</v>
      </c>
      <c r="L16" s="134">
        <f t="shared" si="5"/>
        <v>-1172.2000000000007</v>
      </c>
      <c r="M16" s="134"/>
      <c r="N16" s="134"/>
      <c r="O16" s="134"/>
      <c r="P16" s="134"/>
      <c r="Q16" s="433"/>
    </row>
    <row r="17" spans="1:17" s="426" customFormat="1" ht="31.5" customHeight="1">
      <c r="A17" s="17" t="s">
        <v>94</v>
      </c>
      <c r="B17" s="427" t="s">
        <v>349</v>
      </c>
      <c r="C17" s="412">
        <f>SUM(C18:C20)</f>
        <v>87246.146999999997</v>
      </c>
      <c r="D17" s="412">
        <f>SUM(D18:D20)</f>
        <v>25322.5</v>
      </c>
      <c r="E17" s="412">
        <f>SUM(E18:E20)</f>
        <v>56143.415999999997</v>
      </c>
      <c r="F17" s="423">
        <f>+D17/C17</f>
        <v>0.29024204358273842</v>
      </c>
      <c r="G17" s="423">
        <f t="shared" si="3"/>
        <v>0.64350596479635946</v>
      </c>
      <c r="H17" s="412">
        <f>SUM(H18:H20)</f>
        <v>56883.801000000007</v>
      </c>
      <c r="I17" s="419">
        <f t="shared" si="2"/>
        <v>0.65199212751481173</v>
      </c>
      <c r="J17" s="10"/>
      <c r="K17" s="134">
        <f t="shared" si="4"/>
        <v>30362.34599999999</v>
      </c>
      <c r="L17" s="134">
        <f t="shared" si="5"/>
        <v>-31561.301000000007</v>
      </c>
      <c r="M17" s="134"/>
      <c r="N17" s="134"/>
      <c r="O17" s="134"/>
      <c r="P17" s="134"/>
      <c r="Q17" s="425"/>
    </row>
    <row r="18" spans="1:17" s="434" customFormat="1" ht="25.5" customHeight="1">
      <c r="A18" s="80">
        <v>1</v>
      </c>
      <c r="B18" s="9" t="s">
        <v>287</v>
      </c>
      <c r="C18" s="416">
        <f>'04-VỐN ĐTPT CTMT'!E9</f>
        <v>28336</v>
      </c>
      <c r="D18" s="416">
        <f>'04-VỐN ĐTPT CTMT'!I9</f>
        <v>20941.5</v>
      </c>
      <c r="E18" s="416">
        <f>'04-VỐN ĐTPT CTMT'!K9</f>
        <v>22616.47</v>
      </c>
      <c r="F18" s="420">
        <f>D18/C18</f>
        <v>0.73904220779220775</v>
      </c>
      <c r="G18" s="420">
        <f t="shared" si="3"/>
        <v>0.79815323263692828</v>
      </c>
      <c r="H18" s="428">
        <f>'04-VỐN ĐTPT CTMT'!M9</f>
        <v>22760.47</v>
      </c>
      <c r="I18" s="414">
        <f t="shared" si="2"/>
        <v>0.80323510728402037</v>
      </c>
      <c r="J18" s="655" t="s">
        <v>96</v>
      </c>
      <c r="K18" s="134">
        <f t="shared" si="4"/>
        <v>5575.5299999999988</v>
      </c>
      <c r="L18" s="134">
        <f t="shared" si="5"/>
        <v>-1818.9700000000012</v>
      </c>
      <c r="M18" s="134"/>
      <c r="N18" s="134"/>
      <c r="O18" s="134"/>
      <c r="P18" s="134"/>
      <c r="Q18" s="433"/>
    </row>
    <row r="19" spans="1:17" s="431" customFormat="1" ht="37.5" customHeight="1" thickBot="1">
      <c r="A19" s="418" t="s">
        <v>51</v>
      </c>
      <c r="B19" s="415" t="s">
        <v>348</v>
      </c>
      <c r="C19" s="416">
        <f>'04-VỐN ĐTPT CTMT'!E25</f>
        <v>1221.1469999999999</v>
      </c>
      <c r="D19" s="416">
        <f>'04-VỐN ĐTPT CTMT'!I25</f>
        <v>0</v>
      </c>
      <c r="E19" s="416">
        <f>'04-VỐN ĐTPT CTMT'!K25</f>
        <v>624.76199999999994</v>
      </c>
      <c r="F19" s="420">
        <f>D19/C19</f>
        <v>0</v>
      </c>
      <c r="G19" s="420">
        <f t="shared" si="3"/>
        <v>0.51161899427341673</v>
      </c>
      <c r="H19" s="416">
        <f>'04-VỐN ĐTPT CTMT'!M25</f>
        <v>1221.1469999999999</v>
      </c>
      <c r="I19" s="414">
        <f t="shared" si="2"/>
        <v>1</v>
      </c>
      <c r="J19" s="656"/>
      <c r="K19" s="134">
        <f t="shared" si="4"/>
        <v>0</v>
      </c>
      <c r="L19" s="134">
        <f t="shared" si="5"/>
        <v>-1221.1469999999999</v>
      </c>
      <c r="M19" s="134"/>
      <c r="N19" s="134"/>
      <c r="O19" s="134"/>
      <c r="P19" s="134"/>
      <c r="Q19" s="433">
        <f>H15+H17</f>
        <v>76689.801000000007</v>
      </c>
    </row>
    <row r="20" spans="1:17" s="431" customFormat="1" ht="35.25" customHeight="1" thickBot="1">
      <c r="A20" s="418" t="s">
        <v>52</v>
      </c>
      <c r="B20" s="415" t="s">
        <v>288</v>
      </c>
      <c r="C20" s="416">
        <f>'04-VỐN ĐTPT CTMT'!E35</f>
        <v>57689</v>
      </c>
      <c r="D20" s="416">
        <f>'04-VỐN ĐTPT CTMT'!I35</f>
        <v>4381</v>
      </c>
      <c r="E20" s="416">
        <f>'04-VỐN ĐTPT CTMT'!K35</f>
        <v>32902.184000000001</v>
      </c>
      <c r="F20" s="420">
        <f>D20/C20</f>
        <v>7.5941687323406545E-2</v>
      </c>
      <c r="G20" s="420">
        <f t="shared" si="3"/>
        <v>0.57033722200072801</v>
      </c>
      <c r="H20" s="416">
        <f>'04-VỐN ĐTPT CTMT'!M35</f>
        <v>32902.184000000001</v>
      </c>
      <c r="I20" s="414">
        <f t="shared" si="2"/>
        <v>0.57033722200072801</v>
      </c>
      <c r="J20" s="657"/>
      <c r="K20" s="134">
        <f t="shared" si="4"/>
        <v>24786.815999999999</v>
      </c>
      <c r="L20" s="134">
        <f t="shared" si="5"/>
        <v>-28521.184000000001</v>
      </c>
      <c r="M20" s="134"/>
      <c r="N20" s="134"/>
      <c r="O20" s="134"/>
      <c r="P20" s="134"/>
      <c r="Q20" s="438">
        <v>1256</v>
      </c>
    </row>
    <row r="21" spans="1:17" s="417" customFormat="1" ht="35.25" customHeight="1" thickBot="1">
      <c r="A21" s="17" t="s">
        <v>423</v>
      </c>
      <c r="B21" s="427" t="s">
        <v>429</v>
      </c>
      <c r="C21" s="412">
        <f>'05-VỐN ĐẤU GIÁ'!E9</f>
        <v>20078.991999999998</v>
      </c>
      <c r="D21" s="412">
        <f>'05-VỐN ĐẤU GIÁ'!H9</f>
        <v>8458.6880000000001</v>
      </c>
      <c r="E21" s="412">
        <f>'05-VỐN ĐẤU GIÁ'!J9</f>
        <v>8678.9920000000002</v>
      </c>
      <c r="F21" s="423">
        <f t="shared" ref="F21:F26" si="6">+D21/C21</f>
        <v>0.4212705498363663</v>
      </c>
      <c r="G21" s="423">
        <f t="shared" si="3"/>
        <v>0.43224241535630875</v>
      </c>
      <c r="H21" s="412">
        <f>'05-VỐN ĐẤU GIÁ'!L9</f>
        <v>8678.9920000000002</v>
      </c>
      <c r="I21" s="419">
        <f t="shared" si="2"/>
        <v>0.43224241535630875</v>
      </c>
      <c r="J21" s="10" t="s">
        <v>202</v>
      </c>
      <c r="K21" s="134">
        <f t="shared" si="4"/>
        <v>11399.999999999998</v>
      </c>
      <c r="L21" s="134">
        <f t="shared" si="5"/>
        <v>-220.30400000000009</v>
      </c>
      <c r="M21" s="134"/>
      <c r="N21" s="134"/>
      <c r="O21" s="134"/>
      <c r="P21" s="134">
        <f>E21/C21</f>
        <v>0.43224241535630875</v>
      </c>
      <c r="Q21" s="439">
        <v>32902</v>
      </c>
    </row>
    <row r="22" spans="1:17" s="417" customFormat="1" ht="27.75" customHeight="1" thickBot="1">
      <c r="A22" s="17" t="s">
        <v>425</v>
      </c>
      <c r="B22" s="427" t="s">
        <v>424</v>
      </c>
      <c r="C22" s="412">
        <f>C23+C24+C25</f>
        <v>32381.5</v>
      </c>
      <c r="D22" s="412">
        <f t="shared" ref="D22:H22" si="7">D23+D24+D25</f>
        <v>22921.5</v>
      </c>
      <c r="E22" s="412">
        <f t="shared" si="7"/>
        <v>22921.5</v>
      </c>
      <c r="F22" s="423">
        <f t="shared" si="6"/>
        <v>0.70785788181523401</v>
      </c>
      <c r="G22" s="423">
        <f t="shared" si="3"/>
        <v>0.70785788181523401</v>
      </c>
      <c r="H22" s="412">
        <f t="shared" si="7"/>
        <v>22921.5</v>
      </c>
      <c r="I22" s="419">
        <f t="shared" si="2"/>
        <v>0.70785788181523401</v>
      </c>
      <c r="J22" s="10"/>
      <c r="K22" s="134">
        <f t="shared" si="4"/>
        <v>9460</v>
      </c>
      <c r="L22" s="134">
        <f t="shared" si="5"/>
        <v>0</v>
      </c>
      <c r="M22" s="134"/>
      <c r="N22" s="134"/>
      <c r="O22" s="134"/>
      <c r="P22" s="134"/>
      <c r="Q22" s="439">
        <v>22760</v>
      </c>
    </row>
    <row r="23" spans="1:17" s="417" customFormat="1" ht="27" customHeight="1" thickBot="1">
      <c r="A23" s="80">
        <v>1</v>
      </c>
      <c r="B23" s="9" t="s">
        <v>287</v>
      </c>
      <c r="C23" s="416">
        <f>'8-VỐN S.NGHIỆP CTMT'!C11</f>
        <v>430.5</v>
      </c>
      <c r="D23" s="416">
        <f>E23</f>
        <v>430.5</v>
      </c>
      <c r="E23" s="416">
        <f>'8-VỐN S.NGHIỆP CTMT'!J11</f>
        <v>430.5</v>
      </c>
      <c r="F23" s="420">
        <f t="shared" si="6"/>
        <v>1</v>
      </c>
      <c r="G23" s="420">
        <f t="shared" si="3"/>
        <v>1</v>
      </c>
      <c r="H23" s="428">
        <f>D23</f>
        <v>430.5</v>
      </c>
      <c r="I23" s="414">
        <f t="shared" si="2"/>
        <v>1</v>
      </c>
      <c r="J23" s="655" t="s">
        <v>431</v>
      </c>
      <c r="K23" s="134">
        <f t="shared" si="4"/>
        <v>0</v>
      </c>
      <c r="L23" s="134">
        <f t="shared" si="5"/>
        <v>0</v>
      </c>
      <c r="M23" s="134"/>
      <c r="N23" s="134"/>
      <c r="O23" s="134"/>
      <c r="P23" s="134"/>
      <c r="Q23" s="440">
        <v>20006</v>
      </c>
    </row>
    <row r="24" spans="1:17" s="417" customFormat="1" ht="31.2">
      <c r="A24" s="418" t="s">
        <v>51</v>
      </c>
      <c r="B24" s="415" t="s">
        <v>348</v>
      </c>
      <c r="C24" s="416">
        <f>'8-VỐN S.NGHIỆP CTMT'!C14</f>
        <v>18886</v>
      </c>
      <c r="D24" s="416">
        <f t="shared" ref="D24:D25" si="8">E24</f>
        <v>10904</v>
      </c>
      <c r="E24" s="416">
        <f>'8-VỐN S.NGHIỆP CTMT'!J14</f>
        <v>10904</v>
      </c>
      <c r="F24" s="420">
        <f t="shared" si="6"/>
        <v>0.57735889018320452</v>
      </c>
      <c r="G24" s="420">
        <f t="shared" si="3"/>
        <v>0.57735889018320452</v>
      </c>
      <c r="H24" s="428">
        <f>D24</f>
        <v>10904</v>
      </c>
      <c r="I24" s="414">
        <f t="shared" si="2"/>
        <v>0.57735889018320452</v>
      </c>
      <c r="J24" s="656"/>
      <c r="K24" s="134">
        <f t="shared" si="4"/>
        <v>7982</v>
      </c>
      <c r="L24" s="134">
        <f t="shared" si="5"/>
        <v>0</v>
      </c>
      <c r="M24" s="134"/>
      <c r="N24" s="134"/>
      <c r="O24" s="134"/>
      <c r="P24" s="134"/>
    </row>
    <row r="25" spans="1:17" s="417" customFormat="1" ht="25.5" customHeight="1">
      <c r="A25" s="418" t="s">
        <v>52</v>
      </c>
      <c r="B25" s="415" t="s">
        <v>288</v>
      </c>
      <c r="C25" s="416">
        <f>'8-VỐN S.NGHIỆP CTMT'!C32</f>
        <v>13065</v>
      </c>
      <c r="D25" s="416">
        <f t="shared" si="8"/>
        <v>11587</v>
      </c>
      <c r="E25" s="416">
        <f>'8-VỐN S.NGHIỆP CTMT'!J32</f>
        <v>11587</v>
      </c>
      <c r="F25" s="420">
        <f t="shared" si="6"/>
        <v>0.88687332567929578</v>
      </c>
      <c r="G25" s="420">
        <f t="shared" si="3"/>
        <v>0.88687332567929578</v>
      </c>
      <c r="H25" s="428">
        <f>D25</f>
        <v>11587</v>
      </c>
      <c r="I25" s="414">
        <f t="shared" si="2"/>
        <v>0.88687332567929578</v>
      </c>
      <c r="J25" s="657"/>
      <c r="K25" s="134">
        <f t="shared" si="4"/>
        <v>1478</v>
      </c>
      <c r="L25" s="134">
        <f t="shared" si="5"/>
        <v>0</v>
      </c>
      <c r="M25" s="134"/>
      <c r="N25" s="134"/>
      <c r="O25" s="134"/>
      <c r="P25" s="134"/>
    </row>
    <row r="26" spans="1:17" s="417" customFormat="1" ht="25.5" customHeight="1">
      <c r="A26" s="17" t="s">
        <v>428</v>
      </c>
      <c r="B26" s="427" t="s">
        <v>478</v>
      </c>
      <c r="C26" s="412">
        <f>SUM(C27:C32)</f>
        <v>76371.242000000013</v>
      </c>
      <c r="D26" s="412">
        <f>SUM(D27:D32)</f>
        <v>77869.374290000007</v>
      </c>
      <c r="E26" s="412">
        <f>SUM(E27:E32)</f>
        <v>76139.122000000003</v>
      </c>
      <c r="F26" s="423">
        <f t="shared" si="6"/>
        <v>1.0196164452844696</v>
      </c>
      <c r="G26" s="423">
        <f t="shared" si="3"/>
        <v>0.99696063604674634</v>
      </c>
      <c r="H26" s="412">
        <f>SUM(H27:H32)</f>
        <v>76139.122000000003</v>
      </c>
      <c r="I26" s="419">
        <f t="shared" si="2"/>
        <v>0.99696063604674634</v>
      </c>
      <c r="J26" s="10"/>
      <c r="K26" s="134">
        <f t="shared" si="4"/>
        <v>232.1200000000099</v>
      </c>
      <c r="L26" s="134">
        <f t="shared" si="5"/>
        <v>1730.252290000004</v>
      </c>
      <c r="M26" s="134"/>
      <c r="N26" s="134"/>
      <c r="O26" s="134"/>
      <c r="P26" s="134"/>
    </row>
    <row r="27" spans="1:17" s="417" customFormat="1" ht="25.5" customHeight="1">
      <c r="A27" s="80">
        <v>1</v>
      </c>
      <c r="B27" s="359" t="s">
        <v>99</v>
      </c>
      <c r="C27" s="416">
        <f>'06-S.NGHIỆP KINH TẾ'!E9</f>
        <v>22726.725000000006</v>
      </c>
      <c r="D27" s="416">
        <f>'06-S.NGHIỆP KINH TẾ'!M9</f>
        <v>22118.022290000001</v>
      </c>
      <c r="E27" s="416">
        <f>'06-S.NGHIỆP KINH TẾ'!P9</f>
        <v>22503.036000000004</v>
      </c>
      <c r="F27" s="420">
        <f>D27/C27</f>
        <v>0.97321643527608992</v>
      </c>
      <c r="G27" s="420">
        <f t="shared" si="3"/>
        <v>0.99015744679446771</v>
      </c>
      <c r="H27" s="428">
        <f>E27</f>
        <v>22503.036000000004</v>
      </c>
      <c r="I27" s="414">
        <f t="shared" si="2"/>
        <v>0.99015744679446771</v>
      </c>
      <c r="J27" s="655" t="s">
        <v>430</v>
      </c>
      <c r="K27" s="134">
        <f t="shared" si="4"/>
        <v>223.68900000000212</v>
      </c>
      <c r="L27" s="134">
        <f t="shared" si="5"/>
        <v>-385.0137100000029</v>
      </c>
      <c r="M27" s="134"/>
      <c r="N27" s="134"/>
      <c r="O27" s="134"/>
      <c r="P27" s="134"/>
    </row>
    <row r="28" spans="1:17" s="417" customFormat="1" ht="25.5" customHeight="1">
      <c r="A28" s="80">
        <v>2</v>
      </c>
      <c r="B28" s="359" t="s">
        <v>130</v>
      </c>
      <c r="C28" s="416">
        <f>'06-S.NGHIỆP KINH TẾ'!E51</f>
        <v>12275.417000000001</v>
      </c>
      <c r="D28" s="416">
        <f>'06-S.NGHIỆP KINH TẾ'!M51</f>
        <v>10224.819</v>
      </c>
      <c r="E28" s="416">
        <f>'06-S.NGHIỆP KINH TẾ'!P51</f>
        <v>12275.417000000001</v>
      </c>
      <c r="F28" s="420">
        <f>D28/C28</f>
        <v>0.83295084802414443</v>
      </c>
      <c r="G28" s="420">
        <f t="shared" si="3"/>
        <v>1</v>
      </c>
      <c r="H28" s="428">
        <f t="shared" ref="H28:H31" si="9">E28</f>
        <v>12275.417000000001</v>
      </c>
      <c r="I28" s="414">
        <f t="shared" si="2"/>
        <v>1</v>
      </c>
      <c r="J28" s="656"/>
      <c r="K28" s="134">
        <f t="shared" si="4"/>
        <v>0</v>
      </c>
      <c r="L28" s="134">
        <f t="shared" si="5"/>
        <v>-2050.5980000000018</v>
      </c>
      <c r="M28" s="134"/>
      <c r="N28" s="134"/>
      <c r="O28" s="134"/>
      <c r="P28" s="134"/>
    </row>
    <row r="29" spans="1:17" s="417" customFormat="1" ht="25.5" customHeight="1">
      <c r="A29" s="80">
        <v>3</v>
      </c>
      <c r="B29" s="359" t="s">
        <v>139</v>
      </c>
      <c r="C29" s="416">
        <f>'06-S.NGHIỆP KINH TẾ'!E72</f>
        <v>13513.3</v>
      </c>
      <c r="D29" s="416">
        <f>'06-S.NGHIỆP KINH TẾ'!M72</f>
        <v>10802.921999999999</v>
      </c>
      <c r="E29" s="416">
        <f>'06-S.NGHIỆP KINH TẾ'!P72</f>
        <v>13504.868999999999</v>
      </c>
      <c r="F29" s="420">
        <f>D29/C29</f>
        <v>0.79942885897597171</v>
      </c>
      <c r="G29" s="420">
        <f t="shared" si="3"/>
        <v>0.99937609614231904</v>
      </c>
      <c r="H29" s="428">
        <f t="shared" si="9"/>
        <v>13504.868999999999</v>
      </c>
      <c r="I29" s="414">
        <f t="shared" si="2"/>
        <v>0.99937609614231904</v>
      </c>
      <c r="J29" s="656"/>
      <c r="K29" s="134">
        <f t="shared" si="4"/>
        <v>8.4310000000004948</v>
      </c>
      <c r="L29" s="134">
        <f t="shared" si="5"/>
        <v>-2701.9470000000001</v>
      </c>
      <c r="M29" s="134"/>
      <c r="N29" s="134"/>
      <c r="O29" s="134"/>
      <c r="P29" s="134"/>
    </row>
    <row r="30" spans="1:17" s="426" customFormat="1" ht="25.5" customHeight="1">
      <c r="A30" s="418" t="s">
        <v>53</v>
      </c>
      <c r="B30" s="415" t="s">
        <v>427</v>
      </c>
      <c r="C30" s="416">
        <f>'06-S.NGHIỆP KINH TẾ'!E96</f>
        <v>2537</v>
      </c>
      <c r="D30" s="416">
        <f>'06-S.NGHIỆP KINH TẾ'!M96</f>
        <v>0</v>
      </c>
      <c r="E30" s="416">
        <f>'06-S.NGHIỆP KINH TẾ'!P96</f>
        <v>2537</v>
      </c>
      <c r="F30" s="420">
        <f>D30/C30</f>
        <v>0</v>
      </c>
      <c r="G30" s="420">
        <f t="shared" si="3"/>
        <v>1</v>
      </c>
      <c r="H30" s="428">
        <f t="shared" si="9"/>
        <v>2537</v>
      </c>
      <c r="I30" s="414">
        <f t="shared" si="2"/>
        <v>1</v>
      </c>
      <c r="J30" s="657"/>
      <c r="K30" s="134">
        <f t="shared" si="4"/>
        <v>0</v>
      </c>
      <c r="L30" s="134">
        <f t="shared" si="5"/>
        <v>-2537</v>
      </c>
      <c r="M30" s="134"/>
      <c r="N30" s="134"/>
      <c r="O30" s="134"/>
      <c r="P30" s="134"/>
    </row>
    <row r="31" spans="1:17" s="426" customFormat="1" ht="25.5" customHeight="1">
      <c r="A31" s="418" t="s">
        <v>88</v>
      </c>
      <c r="B31" s="415" t="s">
        <v>426</v>
      </c>
      <c r="C31" s="416">
        <f>'7-VỐN S.NGHIỆP GD'!E8</f>
        <v>25318.799999999999</v>
      </c>
      <c r="D31" s="416">
        <f>'7-VỐN S.NGHIỆP GD'!H8</f>
        <v>34723.610999999997</v>
      </c>
      <c r="E31" s="416">
        <f>'7-VỐN S.NGHIỆP GD'!M8</f>
        <v>25318.799999999999</v>
      </c>
      <c r="F31" s="420">
        <f>D31/C31</f>
        <v>1.3714556377079481</v>
      </c>
      <c r="G31" s="420">
        <f t="shared" si="3"/>
        <v>1</v>
      </c>
      <c r="H31" s="428">
        <f t="shared" si="9"/>
        <v>25318.799999999999</v>
      </c>
      <c r="I31" s="414">
        <f t="shared" si="2"/>
        <v>1</v>
      </c>
      <c r="J31" s="10" t="s">
        <v>432</v>
      </c>
      <c r="K31" s="134">
        <f t="shared" si="4"/>
        <v>0</v>
      </c>
      <c r="L31" s="134">
        <f t="shared" si="5"/>
        <v>9404.8109999999979</v>
      </c>
      <c r="M31" s="134"/>
      <c r="N31" s="134"/>
      <c r="O31" s="134"/>
      <c r="P31" s="134"/>
    </row>
    <row r="32" spans="1:17" s="426" customFormat="1" ht="9" customHeight="1" thickBot="1">
      <c r="A32" s="607"/>
      <c r="B32" s="608"/>
      <c r="C32" s="609"/>
      <c r="D32" s="609"/>
      <c r="E32" s="609"/>
      <c r="F32" s="610"/>
      <c r="G32" s="610"/>
      <c r="H32" s="609"/>
      <c r="I32" s="611"/>
      <c r="J32" s="545"/>
      <c r="K32" s="134"/>
      <c r="L32" s="134"/>
      <c r="M32" s="134"/>
      <c r="N32" s="134"/>
      <c r="O32" s="134"/>
      <c r="P32" s="134"/>
    </row>
    <row r="33" spans="1:15" ht="16.2" thickTop="1">
      <c r="A33" s="35"/>
      <c r="B33" s="40"/>
      <c r="C33" s="42"/>
      <c r="D33" s="42"/>
      <c r="E33" s="42"/>
      <c r="F33" s="42"/>
      <c r="G33" s="42"/>
      <c r="H33" s="42"/>
      <c r="I33" s="42"/>
      <c r="J33" s="43"/>
      <c r="K33" s="43"/>
      <c r="L33" s="43"/>
      <c r="M33" s="43"/>
      <c r="N33" s="43"/>
      <c r="O33" s="43"/>
    </row>
    <row r="34" spans="1:15">
      <c r="A34" s="35"/>
      <c r="B34" s="40"/>
      <c r="C34" s="42"/>
      <c r="D34" s="42"/>
      <c r="E34" s="42"/>
      <c r="F34" s="42"/>
      <c r="G34" s="42"/>
      <c r="H34" s="42"/>
      <c r="I34" s="42"/>
      <c r="J34" s="43"/>
      <c r="K34" s="43"/>
      <c r="L34" s="43"/>
      <c r="M34" s="43"/>
      <c r="N34" s="43"/>
      <c r="O34" s="43"/>
    </row>
    <row r="35" spans="1:15">
      <c r="A35" s="35"/>
      <c r="B35" s="40"/>
      <c r="C35" s="42"/>
      <c r="D35" s="42"/>
      <c r="E35" s="42"/>
      <c r="F35" s="42"/>
      <c r="G35" s="42"/>
      <c r="H35" s="42"/>
      <c r="I35" s="42"/>
      <c r="J35" s="43"/>
      <c r="K35" s="43"/>
      <c r="L35" s="43"/>
      <c r="M35" s="43"/>
      <c r="N35" s="43"/>
      <c r="O35" s="43"/>
    </row>
    <row r="36" spans="1:15">
      <c r="A36" s="35"/>
      <c r="B36" s="40"/>
      <c r="C36" s="42"/>
      <c r="D36" s="42"/>
      <c r="E36" s="42"/>
      <c r="F36" s="42"/>
      <c r="G36" s="42"/>
      <c r="H36" s="42"/>
      <c r="I36" s="42"/>
      <c r="J36" s="43"/>
      <c r="K36" s="43"/>
      <c r="L36" s="43"/>
      <c r="M36" s="43"/>
      <c r="N36" s="43"/>
      <c r="O36" s="43"/>
    </row>
    <row r="37" spans="1:15">
      <c r="A37" s="35"/>
      <c r="B37" s="40"/>
      <c r="C37" s="42"/>
      <c r="D37" s="42"/>
      <c r="E37" s="42"/>
      <c r="F37" s="42"/>
      <c r="G37" s="42"/>
      <c r="H37" s="42"/>
      <c r="I37" s="42"/>
      <c r="J37" s="43"/>
      <c r="K37" s="43"/>
      <c r="L37" s="43"/>
      <c r="M37" s="43"/>
      <c r="N37" s="43"/>
      <c r="O37" s="43"/>
    </row>
    <row r="38" spans="1:15">
      <c r="A38" s="35"/>
      <c r="B38" s="40"/>
      <c r="C38" s="42"/>
      <c r="D38" s="42"/>
      <c r="E38" s="42"/>
      <c r="F38" s="42"/>
      <c r="G38" s="42"/>
      <c r="H38" s="42"/>
      <c r="I38" s="42"/>
      <c r="J38" s="43"/>
      <c r="K38" s="43"/>
      <c r="L38" s="43"/>
      <c r="M38" s="43"/>
      <c r="N38" s="43"/>
      <c r="O38" s="43"/>
    </row>
    <row r="39" spans="1:15">
      <c r="A39" s="35"/>
      <c r="B39" s="40"/>
      <c r="C39" s="42"/>
      <c r="D39" s="42"/>
      <c r="E39" s="42"/>
      <c r="F39" s="42"/>
      <c r="G39" s="42"/>
      <c r="H39" s="42"/>
      <c r="I39" s="42"/>
      <c r="J39" s="43"/>
      <c r="K39" s="43"/>
      <c r="L39" s="43"/>
      <c r="M39" s="43"/>
      <c r="N39" s="43"/>
      <c r="O39" s="43"/>
    </row>
    <row r="40" spans="1:15">
      <c r="A40" s="35"/>
      <c r="B40" s="40"/>
      <c r="C40" s="42"/>
      <c r="D40" s="42"/>
      <c r="E40" s="42"/>
      <c r="F40" s="42"/>
      <c r="G40" s="42"/>
      <c r="H40" s="42"/>
      <c r="I40" s="42"/>
      <c r="J40" s="43"/>
      <c r="K40" s="43"/>
      <c r="L40" s="43"/>
      <c r="M40" s="43"/>
      <c r="N40" s="43"/>
      <c r="O40" s="43"/>
    </row>
    <row r="41" spans="1:15">
      <c r="A41" s="35"/>
      <c r="B41" s="40"/>
      <c r="C41" s="42"/>
      <c r="D41" s="42"/>
      <c r="E41" s="42"/>
      <c r="F41" s="42"/>
      <c r="G41" s="42"/>
      <c r="H41" s="42"/>
      <c r="I41" s="42"/>
      <c r="J41" s="43"/>
      <c r="K41" s="43"/>
      <c r="L41" s="43"/>
      <c r="M41" s="43"/>
      <c r="N41" s="43"/>
      <c r="O41" s="43"/>
    </row>
    <row r="42" spans="1:15">
      <c r="B42" s="45"/>
      <c r="C42" s="42"/>
      <c r="D42" s="42"/>
      <c r="E42" s="42"/>
      <c r="F42" s="42"/>
      <c r="G42" s="42"/>
      <c r="H42" s="42"/>
      <c r="I42" s="42"/>
      <c r="J42" s="43"/>
      <c r="K42" s="43"/>
      <c r="L42" s="43"/>
      <c r="M42" s="43"/>
      <c r="N42" s="43"/>
      <c r="O42" s="43"/>
    </row>
    <row r="43" spans="1:15">
      <c r="B43" s="46"/>
      <c r="C43" s="46"/>
      <c r="D43" s="319"/>
      <c r="E43" s="46"/>
      <c r="F43" s="46"/>
      <c r="G43" s="46"/>
      <c r="H43" s="137"/>
      <c r="I43" s="137"/>
    </row>
    <row r="44" spans="1:15">
      <c r="A44" s="47"/>
    </row>
    <row r="45" spans="1:15">
      <c r="A45" s="47"/>
      <c r="B45" s="25"/>
      <c r="C45" s="25"/>
      <c r="D45" s="25"/>
      <c r="E45" s="25"/>
      <c r="F45" s="25"/>
      <c r="G45" s="25"/>
      <c r="H45" s="25"/>
      <c r="I45" s="25"/>
    </row>
    <row r="46" spans="1:15">
      <c r="A46" s="47"/>
      <c r="B46" s="25"/>
      <c r="C46" s="25"/>
      <c r="D46" s="25"/>
      <c r="E46" s="25"/>
      <c r="F46" s="25"/>
      <c r="G46" s="25"/>
      <c r="H46" s="25"/>
      <c r="I46" s="25"/>
    </row>
    <row r="47" spans="1:15">
      <c r="A47" s="47"/>
      <c r="B47" s="25"/>
      <c r="C47" s="25"/>
      <c r="D47" s="25"/>
      <c r="E47" s="25"/>
      <c r="F47" s="25"/>
      <c r="G47" s="25"/>
      <c r="H47" s="25"/>
      <c r="I47" s="25"/>
    </row>
    <row r="48" spans="1:15" s="39" customFormat="1">
      <c r="A48" s="47"/>
      <c r="B48" s="25"/>
      <c r="C48" s="25"/>
      <c r="D48" s="25"/>
      <c r="E48" s="25"/>
      <c r="F48" s="25"/>
      <c r="G48" s="25"/>
      <c r="H48" s="25"/>
      <c r="I48" s="25"/>
    </row>
    <row r="49" spans="1:9" s="39" customFormat="1">
      <c r="A49" s="47"/>
      <c r="B49" s="25"/>
      <c r="C49" s="25"/>
      <c r="D49" s="25"/>
      <c r="E49" s="25"/>
      <c r="F49" s="25"/>
      <c r="G49" s="25"/>
      <c r="H49" s="25"/>
      <c r="I49" s="25"/>
    </row>
    <row r="50" spans="1:9" s="39" customFormat="1">
      <c r="A50" s="47"/>
      <c r="B50" s="25"/>
      <c r="C50" s="25"/>
      <c r="D50" s="25"/>
      <c r="E50" s="25"/>
      <c r="F50" s="25"/>
      <c r="G50" s="25"/>
      <c r="H50" s="25"/>
      <c r="I50" s="25"/>
    </row>
    <row r="51" spans="1:9" s="39" customFormat="1">
      <c r="A51" s="47"/>
      <c r="B51" s="25"/>
      <c r="C51" s="25"/>
      <c r="D51" s="25"/>
      <c r="E51" s="25"/>
      <c r="F51" s="25"/>
      <c r="G51" s="25"/>
      <c r="H51" s="25"/>
      <c r="I51" s="25"/>
    </row>
    <row r="52" spans="1:9" s="39" customFormat="1">
      <c r="A52" s="47"/>
      <c r="B52" s="25"/>
      <c r="C52" s="25"/>
      <c r="D52" s="25"/>
      <c r="E52" s="25"/>
      <c r="F52" s="25"/>
      <c r="G52" s="25"/>
      <c r="H52" s="25"/>
      <c r="I52" s="25"/>
    </row>
    <row r="53" spans="1:9" s="39" customFormat="1">
      <c r="A53" s="47"/>
      <c r="B53" s="25"/>
      <c r="C53" s="25"/>
      <c r="D53" s="25"/>
      <c r="E53" s="25"/>
      <c r="F53" s="25"/>
      <c r="G53" s="25"/>
      <c r="H53" s="25"/>
      <c r="I53" s="25"/>
    </row>
    <row r="54" spans="1:9" s="39" customFormat="1">
      <c r="A54" s="47"/>
      <c r="B54" s="25"/>
      <c r="C54" s="25"/>
      <c r="D54" s="25"/>
      <c r="E54" s="25"/>
      <c r="F54" s="25"/>
      <c r="G54" s="25"/>
      <c r="H54" s="25"/>
      <c r="I54" s="25"/>
    </row>
    <row r="55" spans="1:9" s="39" customFormat="1">
      <c r="A55" s="47"/>
      <c r="B55" s="25"/>
      <c r="C55" s="25"/>
      <c r="D55" s="25"/>
      <c r="E55" s="25"/>
      <c r="F55" s="25"/>
      <c r="G55" s="25"/>
      <c r="H55" s="25"/>
      <c r="I55" s="25"/>
    </row>
    <row r="56" spans="1:9" s="39" customFormat="1">
      <c r="A56" s="47"/>
      <c r="B56" s="25"/>
      <c r="C56" s="25"/>
      <c r="D56" s="25"/>
      <c r="E56" s="25"/>
      <c r="F56" s="25"/>
      <c r="G56" s="25"/>
      <c r="H56" s="25"/>
      <c r="I56" s="25"/>
    </row>
    <row r="57" spans="1:9" s="39" customFormat="1">
      <c r="A57" s="47"/>
      <c r="B57" s="25"/>
      <c r="C57" s="25"/>
      <c r="D57" s="25"/>
      <c r="E57" s="25"/>
      <c r="F57" s="25"/>
      <c r="G57" s="25"/>
      <c r="H57" s="25"/>
      <c r="I57" s="25"/>
    </row>
    <row r="58" spans="1:9" s="39" customFormat="1">
      <c r="A58" s="47"/>
      <c r="B58" s="25"/>
      <c r="C58" s="25"/>
      <c r="D58" s="25"/>
      <c r="E58" s="25"/>
      <c r="F58" s="25"/>
      <c r="G58" s="25"/>
      <c r="H58" s="25"/>
      <c r="I58" s="25"/>
    </row>
    <row r="59" spans="1:9" s="39" customFormat="1">
      <c r="A59" s="47"/>
      <c r="B59" s="25"/>
      <c r="C59" s="25"/>
      <c r="D59" s="25"/>
      <c r="E59" s="25"/>
      <c r="F59" s="25"/>
      <c r="G59" s="25"/>
      <c r="H59" s="25"/>
      <c r="I59" s="25"/>
    </row>
    <row r="60" spans="1:9" s="39" customFormat="1">
      <c r="A60" s="47"/>
      <c r="B60" s="25"/>
      <c r="C60" s="25"/>
      <c r="D60" s="25"/>
      <c r="E60" s="25"/>
      <c r="F60" s="25"/>
      <c r="G60" s="25"/>
      <c r="H60" s="25"/>
      <c r="I60" s="25"/>
    </row>
    <row r="61" spans="1:9" s="39" customFormat="1">
      <c r="A61" s="47"/>
      <c r="B61" s="25"/>
      <c r="C61" s="25"/>
      <c r="D61" s="25"/>
      <c r="E61" s="25"/>
      <c r="F61" s="25"/>
      <c r="G61" s="25"/>
      <c r="H61" s="25"/>
      <c r="I61" s="25"/>
    </row>
    <row r="62" spans="1:9" s="39" customFormat="1">
      <c r="A62" s="47"/>
      <c r="B62" s="25"/>
      <c r="C62" s="25"/>
      <c r="D62" s="25"/>
      <c r="E62" s="25"/>
      <c r="F62" s="25"/>
      <c r="G62" s="25"/>
      <c r="H62" s="25"/>
      <c r="I62" s="25"/>
    </row>
    <row r="63" spans="1:9" s="39" customFormat="1">
      <c r="A63" s="47"/>
      <c r="B63" s="25"/>
      <c r="C63" s="25"/>
      <c r="D63" s="25"/>
      <c r="E63" s="25"/>
      <c r="F63" s="25"/>
      <c r="G63" s="25"/>
      <c r="H63" s="25"/>
      <c r="I63" s="25"/>
    </row>
    <row r="64" spans="1:9" s="39" customFormat="1">
      <c r="A64" s="47"/>
      <c r="B64" s="25"/>
      <c r="C64" s="25"/>
      <c r="D64" s="25"/>
      <c r="E64" s="25"/>
      <c r="F64" s="25"/>
      <c r="G64" s="25"/>
      <c r="H64" s="25"/>
      <c r="I64" s="25"/>
    </row>
    <row r="65" spans="1:9" s="39" customFormat="1">
      <c r="A65" s="47"/>
      <c r="B65" s="25"/>
      <c r="C65" s="25"/>
      <c r="D65" s="25"/>
      <c r="E65" s="25"/>
      <c r="F65" s="25"/>
      <c r="G65" s="25"/>
      <c r="H65" s="25"/>
      <c r="I65" s="25"/>
    </row>
    <row r="66" spans="1:9" s="39" customFormat="1">
      <c r="A66" s="47"/>
      <c r="B66" s="25"/>
      <c r="C66" s="25"/>
      <c r="D66" s="25"/>
      <c r="E66" s="25"/>
      <c r="F66" s="25"/>
      <c r="G66" s="25"/>
      <c r="H66" s="25"/>
      <c r="I66" s="25"/>
    </row>
    <row r="67" spans="1:9" s="39" customFormat="1">
      <c r="A67" s="47"/>
      <c r="B67" s="25"/>
      <c r="C67" s="25"/>
      <c r="D67" s="25"/>
      <c r="E67" s="25"/>
      <c r="F67" s="25"/>
      <c r="G67" s="25"/>
      <c r="H67" s="25"/>
      <c r="I67" s="25"/>
    </row>
    <row r="68" spans="1:9" s="39" customFormat="1">
      <c r="A68" s="47"/>
      <c r="B68" s="25"/>
      <c r="C68" s="25"/>
      <c r="D68" s="25"/>
      <c r="E68" s="25"/>
      <c r="F68" s="25"/>
      <c r="G68" s="25"/>
      <c r="H68" s="25"/>
      <c r="I68" s="25"/>
    </row>
    <row r="69" spans="1:9" s="39" customFormat="1">
      <c r="A69" s="47"/>
      <c r="B69" s="25"/>
      <c r="C69" s="25"/>
      <c r="D69" s="25"/>
      <c r="E69" s="25"/>
      <c r="F69" s="25"/>
      <c r="G69" s="25"/>
      <c r="H69" s="25"/>
      <c r="I69" s="25"/>
    </row>
    <row r="70" spans="1:9" s="39" customFormat="1">
      <c r="A70" s="47"/>
      <c r="B70" s="25"/>
      <c r="C70" s="25"/>
      <c r="D70" s="25"/>
      <c r="E70" s="25"/>
      <c r="F70" s="25"/>
      <c r="G70" s="25"/>
      <c r="H70" s="25"/>
      <c r="I70" s="25"/>
    </row>
    <row r="71" spans="1:9" s="39" customFormat="1">
      <c r="A71" s="47"/>
      <c r="B71" s="25"/>
      <c r="C71" s="25"/>
      <c r="D71" s="25"/>
      <c r="E71" s="25"/>
      <c r="F71" s="25"/>
      <c r="G71" s="25"/>
      <c r="H71" s="25"/>
      <c r="I71" s="25"/>
    </row>
    <row r="72" spans="1:9" s="39" customFormat="1">
      <c r="A72" s="47"/>
      <c r="B72" s="25"/>
      <c r="C72" s="25"/>
      <c r="D72" s="25"/>
      <c r="E72" s="25"/>
      <c r="F72" s="25"/>
      <c r="G72" s="25"/>
      <c r="H72" s="25"/>
      <c r="I72" s="25"/>
    </row>
    <row r="73" spans="1:9" s="39" customFormat="1">
      <c r="A73" s="47"/>
      <c r="B73" s="25"/>
      <c r="C73" s="25"/>
      <c r="D73" s="25"/>
      <c r="E73" s="25"/>
      <c r="F73" s="25"/>
      <c r="G73" s="25"/>
      <c r="H73" s="25"/>
      <c r="I73" s="25"/>
    </row>
    <row r="74" spans="1:9" s="39" customFormat="1">
      <c r="A74" s="47"/>
      <c r="B74" s="25"/>
      <c r="C74" s="25"/>
      <c r="D74" s="25"/>
      <c r="E74" s="25"/>
      <c r="F74" s="25"/>
      <c r="G74" s="25"/>
      <c r="H74" s="25"/>
      <c r="I74" s="25"/>
    </row>
    <row r="75" spans="1:9" s="39" customFormat="1">
      <c r="A75" s="47"/>
      <c r="B75" s="25"/>
      <c r="C75" s="25"/>
      <c r="D75" s="25"/>
      <c r="E75" s="25"/>
      <c r="F75" s="25"/>
      <c r="G75" s="25"/>
      <c r="H75" s="25"/>
      <c r="I75" s="25"/>
    </row>
    <row r="76" spans="1:9" s="39" customFormat="1">
      <c r="A76" s="47"/>
      <c r="B76" s="25"/>
      <c r="C76" s="25"/>
      <c r="D76" s="25"/>
      <c r="E76" s="25"/>
      <c r="F76" s="25"/>
      <c r="G76" s="25"/>
      <c r="H76" s="25"/>
      <c r="I76" s="25"/>
    </row>
    <row r="77" spans="1:9" s="39" customFormat="1">
      <c r="A77" s="47"/>
      <c r="B77" s="25"/>
      <c r="C77" s="25"/>
      <c r="D77" s="25"/>
      <c r="E77" s="25"/>
      <c r="F77" s="25"/>
      <c r="G77" s="25"/>
      <c r="H77" s="25"/>
      <c r="I77" s="25"/>
    </row>
    <row r="78" spans="1:9" s="39" customFormat="1">
      <c r="A78" s="47"/>
      <c r="B78" s="25"/>
      <c r="C78" s="25"/>
      <c r="D78" s="25"/>
      <c r="E78" s="25"/>
      <c r="F78" s="25"/>
      <c r="G78" s="25"/>
      <c r="H78" s="25"/>
      <c r="I78" s="25"/>
    </row>
    <row r="79" spans="1:9" s="39" customFormat="1">
      <c r="A79" s="47"/>
      <c r="B79" s="25"/>
      <c r="C79" s="25"/>
      <c r="D79" s="25"/>
      <c r="E79" s="25"/>
      <c r="F79" s="25"/>
      <c r="G79" s="25"/>
      <c r="H79" s="25"/>
      <c r="I79" s="25"/>
    </row>
    <row r="80" spans="1:9" s="39" customFormat="1">
      <c r="A80" s="47"/>
      <c r="B80" s="25"/>
      <c r="C80" s="25"/>
      <c r="D80" s="25"/>
      <c r="E80" s="25"/>
      <c r="F80" s="25"/>
      <c r="G80" s="25"/>
      <c r="H80" s="25"/>
      <c r="I80" s="25"/>
    </row>
    <row r="81" spans="1:9" s="39" customFormat="1">
      <c r="A81" s="47"/>
      <c r="B81" s="25"/>
      <c r="C81" s="25"/>
      <c r="D81" s="25"/>
      <c r="E81" s="25"/>
      <c r="F81" s="25"/>
      <c r="G81" s="25"/>
      <c r="H81" s="25"/>
      <c r="I81" s="25"/>
    </row>
    <row r="82" spans="1:9" s="39" customFormat="1">
      <c r="A82" s="47"/>
      <c r="B82" s="25"/>
      <c r="C82" s="25"/>
      <c r="D82" s="25"/>
      <c r="E82" s="25"/>
      <c r="F82" s="25"/>
      <c r="G82" s="25"/>
      <c r="H82" s="25"/>
      <c r="I82" s="25"/>
    </row>
    <row r="83" spans="1:9" s="39" customFormat="1">
      <c r="A83" s="47"/>
      <c r="B83" s="25"/>
      <c r="C83" s="25"/>
      <c r="D83" s="25"/>
      <c r="E83" s="25"/>
      <c r="F83" s="25"/>
      <c r="G83" s="25"/>
      <c r="H83" s="25"/>
      <c r="I83" s="25"/>
    </row>
    <row r="84" spans="1:9" s="39" customFormat="1">
      <c r="A84" s="47"/>
      <c r="B84" s="25"/>
      <c r="C84" s="25"/>
      <c r="D84" s="25"/>
      <c r="E84" s="25"/>
      <c r="F84" s="25"/>
      <c r="G84" s="25"/>
      <c r="H84" s="25"/>
      <c r="I84" s="25"/>
    </row>
    <row r="85" spans="1:9" s="39" customFormat="1">
      <c r="A85" s="47"/>
      <c r="B85" s="25"/>
      <c r="C85" s="25"/>
      <c r="D85" s="25"/>
      <c r="E85" s="25"/>
      <c r="F85" s="25"/>
      <c r="G85" s="25"/>
      <c r="H85" s="25"/>
      <c r="I85" s="25"/>
    </row>
    <row r="86" spans="1:9" s="39" customFormat="1">
      <c r="A86" s="47"/>
      <c r="B86" s="25"/>
      <c r="C86" s="25"/>
      <c r="D86" s="25"/>
      <c r="E86" s="25"/>
      <c r="F86" s="25"/>
      <c r="G86" s="25"/>
      <c r="H86" s="25"/>
      <c r="I86" s="25"/>
    </row>
    <row r="87" spans="1:9" s="39" customFormat="1">
      <c r="A87" s="47"/>
      <c r="B87" s="25"/>
      <c r="C87" s="25"/>
      <c r="D87" s="25"/>
      <c r="E87" s="25"/>
      <c r="F87" s="25"/>
      <c r="G87" s="25"/>
      <c r="H87" s="25"/>
      <c r="I87" s="25"/>
    </row>
    <row r="88" spans="1:9" s="39" customFormat="1">
      <c r="A88" s="47"/>
      <c r="B88" s="25"/>
      <c r="C88" s="25"/>
      <c r="D88" s="25"/>
      <c r="E88" s="25"/>
      <c r="F88" s="25"/>
      <c r="G88" s="25"/>
      <c r="H88" s="25"/>
      <c r="I88" s="25"/>
    </row>
    <row r="89" spans="1:9" s="39" customFormat="1">
      <c r="A89" s="47"/>
      <c r="B89" s="25"/>
      <c r="C89" s="25"/>
      <c r="D89" s="25"/>
      <c r="E89" s="25"/>
      <c r="F89" s="25"/>
      <c r="G89" s="25"/>
      <c r="H89" s="25"/>
      <c r="I89" s="25"/>
    </row>
    <row r="90" spans="1:9" s="39" customFormat="1">
      <c r="A90" s="47"/>
      <c r="B90" s="25"/>
      <c r="C90" s="25"/>
      <c r="D90" s="25"/>
      <c r="E90" s="25"/>
      <c r="F90" s="25"/>
      <c r="G90" s="25"/>
      <c r="H90" s="25"/>
      <c r="I90" s="25"/>
    </row>
    <row r="91" spans="1:9" s="39" customFormat="1">
      <c r="A91" s="47"/>
      <c r="B91" s="25"/>
      <c r="C91" s="25"/>
      <c r="D91" s="25"/>
      <c r="E91" s="25"/>
      <c r="F91" s="25"/>
      <c r="G91" s="25"/>
      <c r="H91" s="25"/>
      <c r="I91" s="25"/>
    </row>
    <row r="92" spans="1:9" s="39" customFormat="1">
      <c r="A92" s="47"/>
      <c r="B92" s="25"/>
      <c r="C92" s="25"/>
      <c r="D92" s="25"/>
      <c r="E92" s="25"/>
      <c r="F92" s="25"/>
      <c r="G92" s="25"/>
      <c r="H92" s="25"/>
      <c r="I92" s="25"/>
    </row>
    <row r="93" spans="1:9" s="39" customFormat="1">
      <c r="A93" s="47"/>
      <c r="B93" s="25"/>
      <c r="C93" s="25"/>
      <c r="D93" s="25"/>
      <c r="E93" s="25"/>
      <c r="F93" s="25"/>
      <c r="G93" s="25"/>
      <c r="H93" s="25"/>
      <c r="I93" s="25"/>
    </row>
    <row r="94" spans="1:9" s="39" customFormat="1">
      <c r="A94" s="47"/>
      <c r="B94" s="25"/>
      <c r="C94" s="25"/>
      <c r="D94" s="25"/>
      <c r="E94" s="25"/>
      <c r="F94" s="25"/>
      <c r="G94" s="25"/>
      <c r="H94" s="25"/>
      <c r="I94" s="25"/>
    </row>
    <row r="95" spans="1:9" s="39" customFormat="1">
      <c r="A95" s="47"/>
      <c r="B95" s="25"/>
      <c r="C95" s="25"/>
      <c r="D95" s="25"/>
      <c r="E95" s="25"/>
      <c r="F95" s="25"/>
      <c r="G95" s="25"/>
      <c r="H95" s="25"/>
      <c r="I95" s="25"/>
    </row>
    <row r="96" spans="1:9" s="39" customFormat="1">
      <c r="A96" s="47"/>
      <c r="B96" s="25"/>
      <c r="C96" s="25"/>
      <c r="D96" s="25"/>
      <c r="E96" s="25"/>
      <c r="F96" s="25"/>
      <c r="G96" s="25"/>
      <c r="H96" s="25"/>
      <c r="I96" s="25"/>
    </row>
    <row r="97" spans="1:9" s="39" customFormat="1">
      <c r="A97" s="47"/>
      <c r="B97" s="25"/>
      <c r="C97" s="25"/>
      <c r="D97" s="25"/>
      <c r="E97" s="25"/>
      <c r="F97" s="25"/>
      <c r="G97" s="25"/>
      <c r="H97" s="25"/>
      <c r="I97" s="25"/>
    </row>
    <row r="98" spans="1:9" s="39" customFormat="1">
      <c r="A98" s="47"/>
      <c r="B98" s="25"/>
      <c r="C98" s="25"/>
      <c r="D98" s="25"/>
      <c r="E98" s="25"/>
      <c r="F98" s="25"/>
      <c r="G98" s="25"/>
      <c r="H98" s="25"/>
      <c r="I98" s="25"/>
    </row>
    <row r="99" spans="1:9" s="39" customFormat="1">
      <c r="A99" s="47"/>
      <c r="B99" s="25"/>
      <c r="C99" s="25"/>
      <c r="D99" s="25"/>
      <c r="E99" s="25"/>
      <c r="F99" s="25"/>
      <c r="G99" s="25"/>
      <c r="H99" s="25"/>
      <c r="I99" s="25"/>
    </row>
    <row r="100" spans="1:9" s="39" customFormat="1">
      <c r="A100" s="47"/>
      <c r="B100" s="25"/>
      <c r="C100" s="25"/>
      <c r="D100" s="25"/>
      <c r="E100" s="25"/>
      <c r="F100" s="25"/>
      <c r="G100" s="25"/>
      <c r="H100" s="25"/>
      <c r="I100" s="25"/>
    </row>
    <row r="101" spans="1:9" s="39" customFormat="1">
      <c r="A101" s="47"/>
      <c r="B101" s="25"/>
      <c r="C101" s="25"/>
      <c r="D101" s="25"/>
      <c r="E101" s="25"/>
      <c r="F101" s="25"/>
      <c r="G101" s="25"/>
      <c r="H101" s="25"/>
      <c r="I101" s="25"/>
    </row>
    <row r="102" spans="1:9" s="39" customFormat="1">
      <c r="A102" s="47"/>
      <c r="B102" s="25"/>
      <c r="C102" s="25"/>
      <c r="D102" s="25"/>
      <c r="E102" s="25"/>
      <c r="F102" s="25"/>
      <c r="G102" s="25"/>
      <c r="H102" s="25"/>
      <c r="I102" s="25"/>
    </row>
    <row r="103" spans="1:9" s="39" customFormat="1">
      <c r="A103" s="47"/>
      <c r="B103" s="25"/>
      <c r="C103" s="25"/>
      <c r="D103" s="25"/>
      <c r="E103" s="25"/>
      <c r="F103" s="25"/>
      <c r="G103" s="25"/>
      <c r="H103" s="25"/>
      <c r="I103" s="25"/>
    </row>
    <row r="104" spans="1:9" s="39" customFormat="1">
      <c r="A104" s="47"/>
      <c r="B104" s="25"/>
      <c r="C104" s="25"/>
      <c r="D104" s="25"/>
      <c r="E104" s="25"/>
      <c r="F104" s="25"/>
      <c r="G104" s="25"/>
      <c r="H104" s="25"/>
      <c r="I104" s="25"/>
    </row>
    <row r="105" spans="1:9" s="39" customFormat="1">
      <c r="A105" s="47"/>
      <c r="B105" s="25"/>
      <c r="C105" s="25"/>
      <c r="D105" s="25"/>
      <c r="E105" s="25"/>
      <c r="F105" s="25"/>
      <c r="G105" s="25"/>
      <c r="H105" s="25"/>
      <c r="I105" s="25"/>
    </row>
    <row r="106" spans="1:9" s="39" customFormat="1">
      <c r="A106" s="47"/>
      <c r="B106" s="25"/>
      <c r="C106" s="25"/>
      <c r="D106" s="25"/>
      <c r="E106" s="25"/>
      <c r="F106" s="25"/>
      <c r="G106" s="25"/>
      <c r="H106" s="25"/>
      <c r="I106" s="25"/>
    </row>
    <row r="107" spans="1:9" s="39" customFormat="1">
      <c r="A107" s="47"/>
      <c r="B107" s="25"/>
      <c r="C107" s="25"/>
      <c r="D107" s="25"/>
      <c r="E107" s="25"/>
      <c r="F107" s="25"/>
      <c r="G107" s="25"/>
      <c r="H107" s="25"/>
      <c r="I107" s="25"/>
    </row>
    <row r="108" spans="1:9" s="39" customFormat="1">
      <c r="A108" s="47"/>
      <c r="B108" s="25"/>
      <c r="C108" s="25"/>
      <c r="D108" s="25"/>
      <c r="E108" s="25"/>
      <c r="F108" s="25"/>
      <c r="G108" s="25"/>
      <c r="H108" s="25"/>
      <c r="I108" s="25"/>
    </row>
    <row r="109" spans="1:9" s="39" customFormat="1">
      <c r="A109" s="47"/>
      <c r="B109" s="25"/>
      <c r="C109" s="25"/>
      <c r="D109" s="25"/>
      <c r="E109" s="25"/>
      <c r="F109" s="25"/>
      <c r="G109" s="25"/>
      <c r="H109" s="25"/>
      <c r="I109" s="25"/>
    </row>
    <row r="110" spans="1:9" s="39" customFormat="1">
      <c r="A110" s="47"/>
      <c r="B110" s="25"/>
      <c r="C110" s="25"/>
      <c r="D110" s="25"/>
      <c r="E110" s="25"/>
      <c r="F110" s="25"/>
      <c r="G110" s="25"/>
      <c r="H110" s="25"/>
      <c r="I110" s="25"/>
    </row>
    <row r="111" spans="1:9" s="39" customFormat="1">
      <c r="A111" s="47"/>
      <c r="B111" s="25"/>
      <c r="C111" s="25"/>
      <c r="D111" s="25"/>
      <c r="E111" s="25"/>
      <c r="F111" s="25"/>
      <c r="G111" s="25"/>
      <c r="H111" s="25"/>
      <c r="I111" s="25"/>
    </row>
    <row r="112" spans="1:9" s="39" customFormat="1">
      <c r="A112" s="47"/>
      <c r="B112" s="25"/>
      <c r="C112" s="25"/>
      <c r="D112" s="25"/>
      <c r="E112" s="25"/>
      <c r="F112" s="25"/>
      <c r="G112" s="25"/>
      <c r="H112" s="25"/>
      <c r="I112" s="25"/>
    </row>
    <row r="113" spans="1:9" s="39" customFormat="1">
      <c r="A113" s="47"/>
      <c r="B113" s="25"/>
      <c r="C113" s="25"/>
      <c r="D113" s="25"/>
      <c r="E113" s="25"/>
      <c r="F113" s="25"/>
      <c r="G113" s="25"/>
      <c r="H113" s="25"/>
      <c r="I113" s="25"/>
    </row>
    <row r="114" spans="1:9" s="39" customFormat="1">
      <c r="A114" s="47"/>
      <c r="B114" s="25"/>
      <c r="C114" s="25"/>
      <c r="D114" s="25"/>
      <c r="E114" s="25"/>
      <c r="F114" s="25"/>
      <c r="G114" s="25"/>
      <c r="H114" s="25"/>
      <c r="I114" s="25"/>
    </row>
    <row r="115" spans="1:9" s="39" customFormat="1">
      <c r="A115" s="47"/>
      <c r="B115" s="25"/>
      <c r="C115" s="25"/>
      <c r="D115" s="25"/>
      <c r="E115" s="25"/>
      <c r="F115" s="25"/>
      <c r="G115" s="25"/>
      <c r="H115" s="25"/>
      <c r="I115" s="25"/>
    </row>
    <row r="116" spans="1:9" s="39" customFormat="1">
      <c r="A116" s="47"/>
      <c r="B116" s="25"/>
      <c r="C116" s="25"/>
      <c r="D116" s="25"/>
      <c r="E116" s="25"/>
      <c r="F116" s="25"/>
      <c r="G116" s="25"/>
      <c r="H116" s="25"/>
      <c r="I116" s="25"/>
    </row>
    <row r="117" spans="1:9" s="39" customFormat="1">
      <c r="A117" s="47"/>
      <c r="B117" s="25"/>
      <c r="C117" s="25"/>
      <c r="D117" s="25"/>
      <c r="E117" s="25"/>
      <c r="F117" s="25"/>
      <c r="G117" s="25"/>
      <c r="H117" s="25"/>
      <c r="I117" s="25"/>
    </row>
    <row r="118" spans="1:9" s="39" customFormat="1">
      <c r="A118" s="47"/>
      <c r="B118" s="25"/>
      <c r="C118" s="25"/>
      <c r="D118" s="25"/>
      <c r="E118" s="25"/>
      <c r="F118" s="25"/>
      <c r="G118" s="25"/>
      <c r="H118" s="25"/>
      <c r="I118" s="25"/>
    </row>
    <row r="119" spans="1:9" s="39" customFormat="1">
      <c r="A119" s="47"/>
      <c r="B119" s="25"/>
      <c r="C119" s="25"/>
      <c r="D119" s="25"/>
      <c r="E119" s="25"/>
      <c r="F119" s="25"/>
      <c r="G119" s="25"/>
      <c r="H119" s="25"/>
      <c r="I119" s="25"/>
    </row>
    <row r="120" spans="1:9" s="39" customFormat="1">
      <c r="A120" s="47"/>
      <c r="B120" s="25"/>
      <c r="C120" s="25"/>
      <c r="D120" s="25"/>
      <c r="E120" s="25"/>
      <c r="F120" s="25"/>
      <c r="G120" s="25"/>
      <c r="H120" s="25"/>
      <c r="I120" s="25"/>
    </row>
    <row r="121" spans="1:9" s="39" customFormat="1">
      <c r="A121" s="47"/>
      <c r="B121" s="25"/>
      <c r="C121" s="25"/>
      <c r="D121" s="25"/>
      <c r="E121" s="25"/>
      <c r="F121" s="25"/>
      <c r="G121" s="25"/>
      <c r="H121" s="25"/>
      <c r="I121" s="25"/>
    </row>
    <row r="122" spans="1:9" s="39" customFormat="1">
      <c r="A122" s="47"/>
      <c r="B122" s="25"/>
      <c r="C122" s="25"/>
      <c r="D122" s="25"/>
      <c r="E122" s="25"/>
      <c r="F122" s="25"/>
      <c r="G122" s="25"/>
      <c r="H122" s="25"/>
      <c r="I122" s="25"/>
    </row>
    <row r="123" spans="1:9" s="39" customFormat="1">
      <c r="A123" s="47"/>
      <c r="B123" s="25"/>
      <c r="C123" s="25"/>
      <c r="D123" s="25"/>
      <c r="E123" s="25"/>
      <c r="F123" s="25"/>
      <c r="G123" s="25"/>
      <c r="H123" s="25"/>
      <c r="I123" s="25"/>
    </row>
    <row r="124" spans="1:9" s="39" customFormat="1">
      <c r="A124" s="47"/>
      <c r="B124" s="25"/>
      <c r="C124" s="25"/>
      <c r="D124" s="25"/>
      <c r="E124" s="25"/>
      <c r="F124" s="25"/>
      <c r="G124" s="25"/>
      <c r="H124" s="25"/>
      <c r="I124" s="25"/>
    </row>
    <row r="125" spans="1:9" s="39" customFormat="1">
      <c r="A125" s="47"/>
      <c r="B125" s="25"/>
      <c r="C125" s="25"/>
      <c r="D125" s="25"/>
      <c r="E125" s="25"/>
      <c r="F125" s="25"/>
      <c r="G125" s="25"/>
      <c r="H125" s="25"/>
      <c r="I125" s="25"/>
    </row>
    <row r="126" spans="1:9" s="39" customFormat="1">
      <c r="A126" s="47"/>
      <c r="B126" s="25"/>
      <c r="C126" s="25"/>
      <c r="D126" s="25"/>
      <c r="E126" s="25"/>
      <c r="F126" s="25"/>
      <c r="G126" s="25"/>
      <c r="H126" s="25"/>
      <c r="I126" s="25"/>
    </row>
    <row r="127" spans="1:9" s="39" customFormat="1">
      <c r="A127" s="47"/>
      <c r="B127" s="25"/>
      <c r="C127" s="25"/>
      <c r="D127" s="25"/>
      <c r="E127" s="25"/>
      <c r="F127" s="25"/>
      <c r="G127" s="25"/>
      <c r="H127" s="25"/>
      <c r="I127" s="25"/>
    </row>
    <row r="128" spans="1:9" s="39" customFormat="1">
      <c r="A128" s="47"/>
      <c r="B128" s="25"/>
      <c r="C128" s="25"/>
      <c r="D128" s="25"/>
      <c r="E128" s="25"/>
      <c r="F128" s="25"/>
      <c r="G128" s="25"/>
      <c r="H128" s="25"/>
      <c r="I128" s="25"/>
    </row>
    <row r="129" spans="1:9" s="39" customFormat="1">
      <c r="A129" s="47"/>
      <c r="B129" s="25"/>
      <c r="C129" s="25"/>
      <c r="D129" s="25"/>
      <c r="E129" s="25"/>
      <c r="F129" s="25"/>
      <c r="G129" s="25"/>
      <c r="H129" s="25"/>
      <c r="I129" s="25"/>
    </row>
    <row r="130" spans="1:9" s="39" customFormat="1">
      <c r="A130" s="47"/>
      <c r="B130" s="25"/>
      <c r="C130" s="25"/>
      <c r="D130" s="25"/>
      <c r="E130" s="25"/>
      <c r="F130" s="25"/>
      <c r="G130" s="25"/>
      <c r="H130" s="25"/>
      <c r="I130" s="25"/>
    </row>
    <row r="131" spans="1:9" s="39" customFormat="1">
      <c r="A131" s="47"/>
      <c r="B131" s="25"/>
      <c r="C131" s="25"/>
      <c r="D131" s="25"/>
      <c r="E131" s="25"/>
      <c r="F131" s="25"/>
      <c r="G131" s="25"/>
      <c r="H131" s="25"/>
      <c r="I131" s="25"/>
    </row>
    <row r="132" spans="1:9" s="39" customFormat="1">
      <c r="A132" s="47"/>
      <c r="B132" s="25"/>
      <c r="C132" s="25"/>
      <c r="D132" s="25"/>
      <c r="E132" s="25"/>
      <c r="F132" s="25"/>
      <c r="G132" s="25"/>
      <c r="H132" s="25"/>
      <c r="I132" s="25"/>
    </row>
    <row r="133" spans="1:9" s="39" customFormat="1">
      <c r="A133" s="47"/>
      <c r="B133" s="25"/>
      <c r="C133" s="25"/>
      <c r="D133" s="25"/>
      <c r="E133" s="25"/>
      <c r="F133" s="25"/>
      <c r="G133" s="25"/>
      <c r="H133" s="25"/>
      <c r="I133" s="25"/>
    </row>
    <row r="134" spans="1:9" s="39" customFormat="1">
      <c r="A134" s="47"/>
      <c r="B134" s="25"/>
      <c r="C134" s="25"/>
      <c r="D134" s="25"/>
      <c r="E134" s="25"/>
      <c r="F134" s="25"/>
      <c r="G134" s="25"/>
      <c r="H134" s="25"/>
      <c r="I134" s="25"/>
    </row>
    <row r="135" spans="1:9" s="39" customFormat="1">
      <c r="A135" s="47"/>
      <c r="B135" s="25"/>
      <c r="C135" s="25"/>
      <c r="D135" s="25"/>
      <c r="E135" s="25"/>
      <c r="F135" s="25"/>
      <c r="G135" s="25"/>
      <c r="H135" s="25"/>
      <c r="I135" s="25"/>
    </row>
    <row r="136" spans="1:9" s="39" customFormat="1">
      <c r="A136" s="47"/>
      <c r="B136" s="25"/>
      <c r="C136" s="25"/>
      <c r="D136" s="25"/>
      <c r="E136" s="25"/>
      <c r="F136" s="25"/>
      <c r="G136" s="25"/>
      <c r="H136" s="25"/>
      <c r="I136" s="25"/>
    </row>
    <row r="137" spans="1:9" s="39" customFormat="1">
      <c r="A137" s="47"/>
      <c r="B137" s="25"/>
      <c r="C137" s="25"/>
      <c r="D137" s="25"/>
      <c r="E137" s="25"/>
      <c r="F137" s="25"/>
      <c r="G137" s="25"/>
      <c r="H137" s="25"/>
      <c r="I137" s="25"/>
    </row>
    <row r="138" spans="1:9" s="39" customFormat="1">
      <c r="A138" s="47"/>
      <c r="B138" s="25"/>
      <c r="C138" s="25"/>
      <c r="D138" s="25"/>
      <c r="E138" s="25"/>
      <c r="F138" s="25"/>
      <c r="G138" s="25"/>
      <c r="H138" s="25"/>
      <c r="I138" s="25"/>
    </row>
    <row r="139" spans="1:9" s="39" customFormat="1">
      <c r="A139" s="47"/>
      <c r="B139" s="25"/>
      <c r="C139" s="25"/>
      <c r="D139" s="25"/>
      <c r="E139" s="25"/>
      <c r="F139" s="25"/>
      <c r="G139" s="25"/>
      <c r="H139" s="25"/>
      <c r="I139" s="25"/>
    </row>
    <row r="140" spans="1:9" s="39" customFormat="1">
      <c r="A140" s="47"/>
      <c r="B140" s="25"/>
      <c r="C140" s="25"/>
      <c r="D140" s="25"/>
      <c r="E140" s="25"/>
      <c r="F140" s="25"/>
      <c r="G140" s="25"/>
      <c r="H140" s="25"/>
      <c r="I140" s="25"/>
    </row>
    <row r="141" spans="1:9" s="39" customFormat="1">
      <c r="A141" s="47"/>
      <c r="B141" s="25"/>
      <c r="C141" s="25"/>
      <c r="D141" s="25"/>
      <c r="E141" s="25"/>
      <c r="F141" s="25"/>
      <c r="G141" s="25"/>
      <c r="H141" s="25"/>
      <c r="I141" s="25"/>
    </row>
    <row r="142" spans="1:9" s="39" customFormat="1">
      <c r="A142" s="47"/>
      <c r="B142" s="25"/>
      <c r="C142" s="25"/>
      <c r="D142" s="25"/>
      <c r="E142" s="25"/>
      <c r="F142" s="25"/>
      <c r="G142" s="25"/>
      <c r="H142" s="25"/>
      <c r="I142" s="25"/>
    </row>
    <row r="143" spans="1:9" s="39" customFormat="1">
      <c r="A143" s="47"/>
      <c r="B143" s="25"/>
      <c r="C143" s="25"/>
      <c r="D143" s="25"/>
      <c r="E143" s="25"/>
      <c r="F143" s="25"/>
      <c r="G143" s="25"/>
      <c r="H143" s="25"/>
      <c r="I143" s="25"/>
    </row>
    <row r="144" spans="1:9" s="39" customFormat="1">
      <c r="A144" s="47"/>
      <c r="B144" s="25"/>
      <c r="C144" s="25"/>
      <c r="D144" s="25"/>
      <c r="E144" s="25"/>
      <c r="F144" s="25"/>
      <c r="G144" s="25"/>
      <c r="H144" s="25"/>
      <c r="I144" s="25"/>
    </row>
    <row r="145" spans="1:9" s="39" customFormat="1">
      <c r="A145" s="47"/>
      <c r="B145" s="25"/>
      <c r="C145" s="25"/>
      <c r="D145" s="25"/>
      <c r="E145" s="25"/>
      <c r="F145" s="25"/>
      <c r="G145" s="25"/>
      <c r="H145" s="25"/>
      <c r="I145" s="25"/>
    </row>
    <row r="146" spans="1:9" s="39" customFormat="1">
      <c r="A146" s="47"/>
      <c r="B146" s="25"/>
      <c r="C146" s="25"/>
      <c r="D146" s="25"/>
      <c r="E146" s="25"/>
      <c r="F146" s="25"/>
      <c r="G146" s="25"/>
      <c r="H146" s="25"/>
      <c r="I146" s="25"/>
    </row>
    <row r="147" spans="1:9" s="39" customFormat="1">
      <c r="A147" s="47"/>
      <c r="B147" s="25"/>
      <c r="C147" s="25"/>
      <c r="D147" s="25"/>
      <c r="E147" s="25"/>
      <c r="F147" s="25"/>
      <c r="G147" s="25"/>
      <c r="H147" s="25"/>
      <c r="I147" s="25"/>
    </row>
    <row r="148" spans="1:9" s="39" customFormat="1">
      <c r="A148" s="47"/>
      <c r="B148" s="25"/>
      <c r="C148" s="25"/>
      <c r="D148" s="25"/>
      <c r="E148" s="25"/>
      <c r="F148" s="25"/>
      <c r="G148" s="25"/>
      <c r="H148" s="25"/>
      <c r="I148" s="25"/>
    </row>
    <row r="149" spans="1:9" s="39" customFormat="1">
      <c r="A149" s="47"/>
      <c r="B149" s="25"/>
      <c r="C149" s="25"/>
      <c r="D149" s="25"/>
      <c r="E149" s="25"/>
      <c r="F149" s="25"/>
      <c r="G149" s="25"/>
      <c r="H149" s="25"/>
      <c r="I149" s="25"/>
    </row>
    <row r="150" spans="1:9" s="39" customFormat="1">
      <c r="A150" s="47"/>
      <c r="B150" s="25"/>
      <c r="C150" s="25"/>
      <c r="D150" s="25"/>
      <c r="E150" s="25"/>
      <c r="F150" s="25"/>
      <c r="G150" s="25"/>
      <c r="H150" s="25"/>
      <c r="I150" s="25"/>
    </row>
    <row r="151" spans="1:9" s="39" customFormat="1">
      <c r="A151" s="47"/>
      <c r="B151" s="25"/>
      <c r="C151" s="25"/>
      <c r="D151" s="25"/>
      <c r="E151" s="25"/>
      <c r="F151" s="25"/>
      <c r="G151" s="25"/>
      <c r="H151" s="25"/>
      <c r="I151" s="25"/>
    </row>
    <row r="152" spans="1:9" s="39" customFormat="1">
      <c r="A152" s="47"/>
      <c r="B152" s="25"/>
      <c r="C152" s="25"/>
      <c r="D152" s="25"/>
      <c r="E152" s="25"/>
      <c r="F152" s="25"/>
      <c r="G152" s="25"/>
      <c r="H152" s="25"/>
      <c r="I152" s="25"/>
    </row>
    <row r="153" spans="1:9" s="39" customFormat="1">
      <c r="A153" s="47"/>
      <c r="B153" s="25"/>
      <c r="C153" s="25"/>
      <c r="D153" s="25"/>
      <c r="E153" s="25"/>
      <c r="F153" s="25"/>
      <c r="G153" s="25"/>
      <c r="H153" s="25"/>
      <c r="I153" s="25"/>
    </row>
    <row r="154" spans="1:9" s="39" customFormat="1">
      <c r="A154" s="47"/>
      <c r="B154" s="25"/>
      <c r="C154" s="25"/>
      <c r="D154" s="25"/>
      <c r="E154" s="25"/>
      <c r="F154" s="25"/>
      <c r="G154" s="25"/>
      <c r="H154" s="25"/>
      <c r="I154" s="25"/>
    </row>
    <row r="155" spans="1:9" s="39" customFormat="1">
      <c r="A155" s="47"/>
      <c r="B155" s="25"/>
      <c r="C155" s="25"/>
      <c r="D155" s="25"/>
      <c r="E155" s="25"/>
      <c r="F155" s="25"/>
      <c r="G155" s="25"/>
      <c r="H155" s="25"/>
      <c r="I155" s="25"/>
    </row>
    <row r="156" spans="1:9" s="39" customFormat="1">
      <c r="A156" s="47"/>
      <c r="B156" s="25"/>
      <c r="C156" s="25"/>
      <c r="D156" s="25"/>
      <c r="E156" s="25"/>
      <c r="F156" s="25"/>
      <c r="G156" s="25"/>
      <c r="H156" s="25"/>
      <c r="I156" s="25"/>
    </row>
    <row r="157" spans="1:9" s="39" customFormat="1">
      <c r="A157" s="47"/>
      <c r="B157" s="25"/>
      <c r="C157" s="25"/>
      <c r="D157" s="25"/>
      <c r="E157" s="25"/>
      <c r="F157" s="25"/>
      <c r="G157" s="25"/>
      <c r="H157" s="25"/>
      <c r="I157" s="25"/>
    </row>
    <row r="158" spans="1:9" s="39" customFormat="1">
      <c r="A158" s="47"/>
      <c r="B158" s="25"/>
      <c r="C158" s="25"/>
      <c r="D158" s="25"/>
      <c r="E158" s="25"/>
      <c r="F158" s="25"/>
      <c r="G158" s="25"/>
      <c r="H158" s="25"/>
      <c r="I158" s="25"/>
    </row>
    <row r="159" spans="1:9" s="39" customFormat="1">
      <c r="A159" s="47"/>
      <c r="B159" s="25"/>
      <c r="C159" s="25"/>
      <c r="D159" s="25"/>
      <c r="E159" s="25"/>
      <c r="F159" s="25"/>
      <c r="G159" s="25"/>
      <c r="H159" s="25"/>
      <c r="I159" s="25"/>
    </row>
    <row r="160" spans="1:9" s="39" customFormat="1">
      <c r="A160" s="47"/>
      <c r="B160" s="25"/>
      <c r="C160" s="25"/>
      <c r="D160" s="25"/>
      <c r="E160" s="25"/>
      <c r="F160" s="25"/>
      <c r="G160" s="25"/>
      <c r="H160" s="25"/>
      <c r="I160" s="25"/>
    </row>
    <row r="161" spans="1:9" s="39" customFormat="1">
      <c r="A161" s="47"/>
      <c r="B161" s="25"/>
      <c r="C161" s="25"/>
      <c r="D161" s="25"/>
      <c r="E161" s="25"/>
      <c r="F161" s="25"/>
      <c r="G161" s="25"/>
      <c r="H161" s="25"/>
      <c r="I161" s="25"/>
    </row>
    <row r="162" spans="1:9" s="39" customFormat="1">
      <c r="A162" s="47"/>
      <c r="B162" s="25"/>
      <c r="C162" s="25"/>
      <c r="D162" s="25"/>
      <c r="E162" s="25"/>
      <c r="F162" s="25"/>
      <c r="G162" s="25"/>
      <c r="H162" s="25"/>
      <c r="I162" s="25"/>
    </row>
    <row r="163" spans="1:9" s="39" customFormat="1">
      <c r="A163" s="47"/>
      <c r="B163" s="25"/>
      <c r="C163" s="25"/>
      <c r="D163" s="25"/>
      <c r="E163" s="25"/>
      <c r="F163" s="25"/>
      <c r="G163" s="25"/>
      <c r="H163" s="25"/>
      <c r="I163" s="25"/>
    </row>
    <row r="164" spans="1:9" s="39" customFormat="1">
      <c r="A164" s="47"/>
      <c r="B164" s="25"/>
      <c r="C164" s="25"/>
      <c r="D164" s="25"/>
      <c r="E164" s="25"/>
      <c r="F164" s="25"/>
      <c r="G164" s="25"/>
      <c r="H164" s="25"/>
      <c r="I164" s="25"/>
    </row>
    <row r="165" spans="1:9" s="39" customFormat="1">
      <c r="A165" s="47"/>
      <c r="B165" s="25"/>
      <c r="C165" s="25"/>
      <c r="D165" s="25"/>
      <c r="E165" s="25"/>
      <c r="F165" s="25"/>
      <c r="G165" s="25"/>
      <c r="H165" s="25"/>
      <c r="I165" s="25"/>
    </row>
    <row r="166" spans="1:9" s="39" customFormat="1">
      <c r="A166" s="47"/>
      <c r="B166" s="25"/>
      <c r="C166" s="25"/>
      <c r="D166" s="25"/>
      <c r="E166" s="25"/>
      <c r="F166" s="25"/>
      <c r="G166" s="25"/>
      <c r="H166" s="25"/>
      <c r="I166" s="25"/>
    </row>
    <row r="167" spans="1:9" s="39" customFormat="1">
      <c r="A167" s="47"/>
      <c r="B167" s="25"/>
      <c r="C167" s="25"/>
      <c r="D167" s="25"/>
      <c r="E167" s="25"/>
      <c r="F167" s="25"/>
      <c r="G167" s="25"/>
      <c r="H167" s="25"/>
      <c r="I167" s="25"/>
    </row>
    <row r="168" spans="1:9" s="39" customFormat="1">
      <c r="A168" s="47"/>
      <c r="B168" s="25"/>
      <c r="C168" s="25"/>
      <c r="D168" s="25"/>
      <c r="E168" s="25"/>
      <c r="F168" s="25"/>
      <c r="G168" s="25"/>
      <c r="H168" s="25"/>
      <c r="I168" s="25"/>
    </row>
    <row r="169" spans="1:9" s="39" customFormat="1">
      <c r="A169" s="47"/>
      <c r="B169" s="25"/>
      <c r="C169" s="25"/>
      <c r="D169" s="25"/>
      <c r="E169" s="25"/>
      <c r="F169" s="25"/>
      <c r="G169" s="25"/>
      <c r="H169" s="25"/>
      <c r="I169" s="25"/>
    </row>
    <row r="170" spans="1:9" s="39" customFormat="1">
      <c r="A170" s="47"/>
      <c r="B170" s="25"/>
      <c r="C170" s="25"/>
      <c r="D170" s="25"/>
      <c r="E170" s="25"/>
      <c r="F170" s="25"/>
      <c r="G170" s="25"/>
      <c r="H170" s="25"/>
      <c r="I170" s="25"/>
    </row>
    <row r="171" spans="1:9" s="39" customFormat="1">
      <c r="A171" s="47"/>
      <c r="B171" s="25"/>
      <c r="C171" s="25"/>
      <c r="D171" s="25"/>
      <c r="E171" s="25"/>
      <c r="F171" s="25"/>
      <c r="G171" s="25"/>
      <c r="H171" s="25"/>
      <c r="I171" s="25"/>
    </row>
    <row r="172" spans="1:9" s="39" customFormat="1">
      <c r="A172" s="47"/>
      <c r="B172" s="25"/>
      <c r="C172" s="25"/>
      <c r="D172" s="25"/>
      <c r="E172" s="25"/>
      <c r="F172" s="25"/>
      <c r="G172" s="25"/>
      <c r="H172" s="25"/>
      <c r="I172" s="25"/>
    </row>
    <row r="173" spans="1:9" s="39" customFormat="1">
      <c r="A173" s="47"/>
      <c r="B173" s="25"/>
      <c r="C173" s="25"/>
      <c r="D173" s="25"/>
      <c r="E173" s="25"/>
      <c r="F173" s="25"/>
      <c r="G173" s="25"/>
      <c r="H173" s="25"/>
      <c r="I173" s="25"/>
    </row>
    <row r="174" spans="1:9" s="39" customFormat="1">
      <c r="A174" s="47"/>
      <c r="B174" s="25"/>
      <c r="C174" s="25"/>
      <c r="D174" s="25"/>
      <c r="E174" s="25"/>
      <c r="F174" s="25"/>
      <c r="G174" s="25"/>
      <c r="H174" s="25"/>
      <c r="I174" s="25"/>
    </row>
    <row r="175" spans="1:9" s="39" customFormat="1">
      <c r="A175" s="47"/>
      <c r="B175" s="25"/>
      <c r="C175" s="25"/>
      <c r="D175" s="25"/>
      <c r="E175" s="25"/>
      <c r="F175" s="25"/>
      <c r="G175" s="25"/>
      <c r="H175" s="25"/>
      <c r="I175" s="25"/>
    </row>
    <row r="176" spans="1:9" s="39" customFormat="1">
      <c r="A176" s="47"/>
      <c r="B176" s="25"/>
      <c r="C176" s="25"/>
      <c r="D176" s="25"/>
      <c r="E176" s="25"/>
      <c r="F176" s="25"/>
      <c r="G176" s="25"/>
      <c r="H176" s="25"/>
      <c r="I176" s="25"/>
    </row>
    <row r="177" spans="1:9" s="39" customFormat="1">
      <c r="A177" s="47"/>
      <c r="B177" s="25"/>
      <c r="C177" s="25"/>
      <c r="D177" s="25"/>
      <c r="E177" s="25"/>
      <c r="F177" s="25"/>
      <c r="G177" s="25"/>
      <c r="H177" s="25"/>
      <c r="I177" s="25"/>
    </row>
    <row r="178" spans="1:9" s="39" customFormat="1">
      <c r="A178" s="47"/>
      <c r="B178" s="25"/>
      <c r="C178" s="25"/>
      <c r="D178" s="25"/>
      <c r="E178" s="25"/>
      <c r="F178" s="25"/>
      <c r="G178" s="25"/>
      <c r="H178" s="25"/>
      <c r="I178" s="25"/>
    </row>
    <row r="179" spans="1:9" s="39" customFormat="1">
      <c r="A179" s="47"/>
      <c r="B179" s="25"/>
      <c r="C179" s="25"/>
      <c r="D179" s="25"/>
      <c r="E179" s="25"/>
      <c r="F179" s="25"/>
      <c r="G179" s="25"/>
      <c r="H179" s="25"/>
      <c r="I179" s="25"/>
    </row>
    <row r="180" spans="1:9" s="39" customFormat="1">
      <c r="A180" s="47"/>
      <c r="B180" s="25"/>
      <c r="C180" s="25"/>
      <c r="D180" s="25"/>
      <c r="E180" s="25"/>
      <c r="F180" s="25"/>
      <c r="G180" s="25"/>
      <c r="H180" s="25"/>
      <c r="I180" s="25"/>
    </row>
    <row r="181" spans="1:9" s="39" customFormat="1">
      <c r="A181" s="47"/>
      <c r="B181" s="25"/>
      <c r="C181" s="25"/>
      <c r="D181" s="25"/>
      <c r="E181" s="25"/>
      <c r="F181" s="25"/>
      <c r="G181" s="25"/>
      <c r="H181" s="25"/>
      <c r="I181" s="25"/>
    </row>
    <row r="182" spans="1:9" s="39" customFormat="1">
      <c r="A182" s="47"/>
      <c r="B182" s="25"/>
      <c r="C182" s="25"/>
      <c r="D182" s="25"/>
      <c r="E182" s="25"/>
      <c r="F182" s="25"/>
      <c r="G182" s="25"/>
      <c r="H182" s="25"/>
      <c r="I182" s="25"/>
    </row>
    <row r="183" spans="1:9" s="39" customFormat="1">
      <c r="A183" s="47"/>
      <c r="B183" s="25"/>
      <c r="C183" s="25"/>
      <c r="D183" s="25"/>
      <c r="E183" s="25"/>
      <c r="F183" s="25"/>
      <c r="G183" s="25"/>
      <c r="H183" s="25"/>
      <c r="I183" s="25"/>
    </row>
    <row r="184" spans="1:9" s="39" customFormat="1">
      <c r="A184" s="47"/>
      <c r="B184" s="25"/>
      <c r="C184" s="25"/>
      <c r="D184" s="25"/>
      <c r="E184" s="25"/>
      <c r="F184" s="25"/>
      <c r="G184" s="25"/>
      <c r="H184" s="25"/>
      <c r="I184" s="25"/>
    </row>
    <row r="185" spans="1:9" s="39" customFormat="1">
      <c r="A185" s="47"/>
      <c r="B185" s="25"/>
      <c r="C185" s="25"/>
      <c r="D185" s="25"/>
      <c r="E185" s="25"/>
      <c r="F185" s="25"/>
      <c r="G185" s="25"/>
      <c r="H185" s="25"/>
      <c r="I185" s="25"/>
    </row>
    <row r="186" spans="1:9" s="39" customFormat="1">
      <c r="A186" s="47"/>
      <c r="B186" s="25"/>
      <c r="C186" s="25"/>
      <c r="D186" s="25"/>
      <c r="E186" s="25"/>
      <c r="F186" s="25"/>
      <c r="G186" s="25"/>
      <c r="H186" s="25"/>
      <c r="I186" s="25"/>
    </row>
    <row r="187" spans="1:9" s="39" customFormat="1">
      <c r="A187" s="47"/>
      <c r="B187" s="25"/>
      <c r="C187" s="25"/>
      <c r="D187" s="25"/>
      <c r="E187" s="25"/>
      <c r="F187" s="25"/>
      <c r="G187" s="25"/>
      <c r="H187" s="25"/>
      <c r="I187" s="25"/>
    </row>
    <row r="188" spans="1:9" s="39" customFormat="1">
      <c r="A188" s="47"/>
      <c r="B188" s="25"/>
      <c r="C188" s="25"/>
      <c r="D188" s="25"/>
      <c r="E188" s="25"/>
      <c r="F188" s="25"/>
      <c r="G188" s="25"/>
      <c r="H188" s="25"/>
      <c r="I188" s="25"/>
    </row>
    <row r="189" spans="1:9" s="39" customFormat="1">
      <c r="A189" s="47"/>
      <c r="B189" s="25"/>
      <c r="C189" s="25"/>
      <c r="D189" s="25"/>
      <c r="E189" s="25"/>
      <c r="F189" s="25"/>
      <c r="G189" s="25"/>
      <c r="H189" s="25"/>
      <c r="I189" s="25"/>
    </row>
    <row r="190" spans="1:9" s="39" customFormat="1">
      <c r="A190" s="47"/>
      <c r="B190" s="25"/>
      <c r="C190" s="25"/>
      <c r="D190" s="25"/>
      <c r="E190" s="25"/>
      <c r="F190" s="25"/>
      <c r="G190" s="25"/>
      <c r="H190" s="25"/>
      <c r="I190" s="25"/>
    </row>
    <row r="191" spans="1:9" s="39" customFormat="1">
      <c r="A191" s="47"/>
      <c r="B191" s="25"/>
      <c r="C191" s="25"/>
      <c r="D191" s="25"/>
      <c r="E191" s="25"/>
      <c r="F191" s="25"/>
      <c r="G191" s="25"/>
      <c r="H191" s="25"/>
      <c r="I191" s="25"/>
    </row>
    <row r="192" spans="1:9" s="39" customFormat="1">
      <c r="A192" s="47"/>
      <c r="B192" s="25"/>
      <c r="C192" s="25"/>
      <c r="D192" s="25"/>
      <c r="E192" s="25"/>
      <c r="F192" s="25"/>
      <c r="G192" s="25"/>
      <c r="H192" s="25"/>
      <c r="I192" s="25"/>
    </row>
    <row r="193" spans="1:9" s="39" customFormat="1">
      <c r="A193" s="47"/>
      <c r="B193" s="25"/>
      <c r="C193" s="25"/>
      <c r="D193" s="25"/>
      <c r="E193" s="25"/>
      <c r="F193" s="25"/>
      <c r="G193" s="25"/>
      <c r="H193" s="25"/>
      <c r="I193" s="25"/>
    </row>
    <row r="194" spans="1:9" s="39" customFormat="1">
      <c r="A194" s="47"/>
      <c r="B194" s="25"/>
      <c r="C194" s="25"/>
      <c r="D194" s="25"/>
      <c r="E194" s="25"/>
      <c r="F194" s="25"/>
      <c r="G194" s="25"/>
      <c r="H194" s="25"/>
      <c r="I194" s="25"/>
    </row>
    <row r="195" spans="1:9" s="39" customFormat="1">
      <c r="A195" s="47"/>
      <c r="B195" s="25"/>
      <c r="C195" s="25"/>
      <c r="D195" s="25"/>
      <c r="E195" s="25"/>
      <c r="F195" s="25"/>
      <c r="G195" s="25"/>
      <c r="H195" s="25"/>
      <c r="I195" s="25"/>
    </row>
    <row r="196" spans="1:9" s="39" customFormat="1">
      <c r="A196" s="47"/>
      <c r="B196" s="25"/>
      <c r="C196" s="25"/>
      <c r="D196" s="25"/>
      <c r="E196" s="25"/>
      <c r="F196" s="25"/>
      <c r="G196" s="25"/>
      <c r="H196" s="25"/>
      <c r="I196" s="25"/>
    </row>
    <row r="197" spans="1:9" s="39" customFormat="1">
      <c r="A197" s="47"/>
      <c r="B197" s="25"/>
      <c r="C197" s="25"/>
      <c r="D197" s="25"/>
      <c r="E197" s="25"/>
      <c r="F197" s="25"/>
      <c r="G197" s="25"/>
      <c r="H197" s="25"/>
      <c r="I197" s="25"/>
    </row>
    <row r="198" spans="1:9" s="39" customFormat="1">
      <c r="A198" s="47"/>
      <c r="B198" s="25"/>
      <c r="C198" s="25"/>
      <c r="D198" s="25"/>
      <c r="E198" s="25"/>
      <c r="F198" s="25"/>
      <c r="G198" s="25"/>
      <c r="H198" s="25"/>
      <c r="I198" s="25"/>
    </row>
    <row r="199" spans="1:9" s="39" customFormat="1">
      <c r="A199" s="47"/>
      <c r="B199" s="25"/>
      <c r="C199" s="25"/>
      <c r="D199" s="25"/>
      <c r="E199" s="25"/>
      <c r="F199" s="25"/>
      <c r="G199" s="25"/>
      <c r="H199" s="25"/>
      <c r="I199" s="25"/>
    </row>
    <row r="200" spans="1:9" s="39" customFormat="1">
      <c r="A200" s="47"/>
      <c r="B200" s="25"/>
      <c r="C200" s="25"/>
      <c r="D200" s="25"/>
      <c r="E200" s="25"/>
      <c r="F200" s="25"/>
      <c r="G200" s="25"/>
      <c r="H200" s="25"/>
      <c r="I200" s="25"/>
    </row>
    <row r="201" spans="1:9" s="39" customFormat="1">
      <c r="A201" s="47"/>
      <c r="B201" s="25"/>
      <c r="C201" s="25"/>
      <c r="D201" s="25"/>
      <c r="E201" s="25"/>
      <c r="F201" s="25"/>
      <c r="G201" s="25"/>
      <c r="H201" s="25"/>
      <c r="I201" s="25"/>
    </row>
    <row r="202" spans="1:9" s="39" customFormat="1">
      <c r="A202" s="47"/>
      <c r="B202" s="25"/>
      <c r="C202" s="25"/>
      <c r="D202" s="25"/>
      <c r="E202" s="25"/>
      <c r="F202" s="25"/>
      <c r="G202" s="25"/>
      <c r="H202" s="25"/>
      <c r="I202" s="25"/>
    </row>
    <row r="203" spans="1:9" s="39" customFormat="1">
      <c r="A203" s="47"/>
      <c r="B203" s="25"/>
      <c r="C203" s="25"/>
      <c r="D203" s="25"/>
      <c r="E203" s="25"/>
      <c r="F203" s="25"/>
      <c r="G203" s="25"/>
      <c r="H203" s="25"/>
      <c r="I203" s="25"/>
    </row>
    <row r="204" spans="1:9" s="39" customFormat="1">
      <c r="A204" s="47"/>
      <c r="B204" s="25"/>
      <c r="C204" s="25"/>
      <c r="D204" s="25"/>
      <c r="E204" s="25"/>
      <c r="F204" s="25"/>
      <c r="G204" s="25"/>
      <c r="H204" s="25"/>
      <c r="I204" s="25"/>
    </row>
    <row r="205" spans="1:9" s="39" customFormat="1">
      <c r="A205" s="47"/>
      <c r="B205" s="25"/>
      <c r="C205" s="25"/>
      <c r="D205" s="25"/>
      <c r="E205" s="25"/>
      <c r="F205" s="25"/>
      <c r="G205" s="25"/>
      <c r="H205" s="25"/>
      <c r="I205" s="25"/>
    </row>
    <row r="206" spans="1:9" s="39" customFormat="1">
      <c r="A206" s="47"/>
      <c r="B206" s="25"/>
      <c r="C206" s="25"/>
      <c r="D206" s="25"/>
      <c r="E206" s="25"/>
      <c r="F206" s="25"/>
      <c r="G206" s="25"/>
      <c r="H206" s="25"/>
      <c r="I206" s="25"/>
    </row>
    <row r="207" spans="1:9" s="39" customFormat="1">
      <c r="A207" s="47"/>
      <c r="B207" s="25"/>
      <c r="C207" s="25"/>
      <c r="D207" s="25"/>
      <c r="E207" s="25"/>
      <c r="F207" s="25"/>
      <c r="G207" s="25"/>
      <c r="H207" s="25"/>
      <c r="I207" s="25"/>
    </row>
    <row r="208" spans="1:9" s="39" customFormat="1">
      <c r="A208" s="47"/>
      <c r="B208" s="25"/>
      <c r="C208" s="25"/>
      <c r="D208" s="25"/>
      <c r="E208" s="25"/>
      <c r="F208" s="25"/>
      <c r="G208" s="25"/>
      <c r="H208" s="25"/>
      <c r="I208" s="25"/>
    </row>
    <row r="209" spans="1:9" s="39" customFormat="1">
      <c r="A209" s="47"/>
      <c r="B209" s="25"/>
      <c r="C209" s="25"/>
      <c r="D209" s="25"/>
      <c r="E209" s="25"/>
      <c r="F209" s="25"/>
      <c r="G209" s="25"/>
      <c r="H209" s="25"/>
      <c r="I209" s="25"/>
    </row>
    <row r="210" spans="1:9" s="39" customFormat="1">
      <c r="A210" s="47"/>
      <c r="B210" s="25"/>
      <c r="C210" s="25"/>
      <c r="D210" s="25"/>
      <c r="E210" s="25"/>
      <c r="F210" s="25"/>
      <c r="G210" s="25"/>
      <c r="H210" s="25"/>
      <c r="I210" s="25"/>
    </row>
    <row r="211" spans="1:9" s="39" customFormat="1">
      <c r="A211" s="47"/>
      <c r="B211" s="25"/>
      <c r="C211" s="25"/>
      <c r="D211" s="25"/>
      <c r="E211" s="25"/>
      <c r="F211" s="25"/>
      <c r="G211" s="25"/>
      <c r="H211" s="25"/>
      <c r="I211" s="25"/>
    </row>
    <row r="212" spans="1:9" s="39" customFormat="1">
      <c r="A212" s="47"/>
      <c r="B212" s="25"/>
      <c r="C212" s="25"/>
      <c r="D212" s="25"/>
      <c r="E212" s="25"/>
      <c r="F212" s="25"/>
      <c r="G212" s="25"/>
      <c r="H212" s="25"/>
      <c r="I212" s="25"/>
    </row>
    <row r="213" spans="1:9" s="39" customFormat="1">
      <c r="A213" s="47"/>
      <c r="B213" s="25"/>
      <c r="C213" s="25"/>
      <c r="D213" s="25"/>
      <c r="E213" s="25"/>
      <c r="F213" s="25"/>
      <c r="G213" s="25"/>
      <c r="H213" s="25"/>
      <c r="I213" s="25"/>
    </row>
    <row r="214" spans="1:9" s="39" customFormat="1">
      <c r="A214" s="47"/>
      <c r="B214" s="25"/>
      <c r="C214" s="25"/>
      <c r="D214" s="25"/>
      <c r="E214" s="25"/>
      <c r="F214" s="25"/>
      <c r="G214" s="25"/>
      <c r="H214" s="25"/>
      <c r="I214" s="25"/>
    </row>
    <row r="215" spans="1:9" s="39" customFormat="1">
      <c r="A215" s="47"/>
      <c r="B215" s="25"/>
      <c r="C215" s="25"/>
      <c r="D215" s="25"/>
      <c r="E215" s="25"/>
      <c r="F215" s="25"/>
      <c r="G215" s="25"/>
      <c r="H215" s="25"/>
      <c r="I215" s="25"/>
    </row>
    <row r="216" spans="1:9" s="39" customFormat="1">
      <c r="A216" s="47"/>
      <c r="B216" s="25"/>
      <c r="C216" s="25"/>
      <c r="D216" s="25"/>
      <c r="E216" s="25"/>
      <c r="F216" s="25"/>
      <c r="G216" s="25"/>
      <c r="H216" s="25"/>
      <c r="I216" s="25"/>
    </row>
    <row r="217" spans="1:9" s="39" customFormat="1">
      <c r="A217" s="47"/>
      <c r="B217" s="25"/>
      <c r="C217" s="25"/>
      <c r="D217" s="25"/>
      <c r="E217" s="25"/>
      <c r="F217" s="25"/>
      <c r="G217" s="25"/>
      <c r="H217" s="25"/>
      <c r="I217" s="25"/>
    </row>
    <row r="218" spans="1:9" s="39" customFormat="1">
      <c r="A218" s="47"/>
      <c r="B218" s="25"/>
      <c r="C218" s="25"/>
      <c r="D218" s="25"/>
      <c r="E218" s="25"/>
      <c r="F218" s="25"/>
      <c r="G218" s="25"/>
      <c r="H218" s="25"/>
      <c r="I218" s="25"/>
    </row>
    <row r="219" spans="1:9" s="39" customFormat="1">
      <c r="A219" s="47"/>
      <c r="B219" s="25"/>
      <c r="C219" s="25"/>
      <c r="D219" s="25"/>
      <c r="E219" s="25"/>
      <c r="F219" s="25"/>
      <c r="G219" s="25"/>
      <c r="H219" s="25"/>
      <c r="I219" s="25"/>
    </row>
    <row r="220" spans="1:9" s="39" customFormat="1">
      <c r="A220" s="47"/>
      <c r="B220" s="25"/>
      <c r="C220" s="25"/>
      <c r="D220" s="25"/>
      <c r="E220" s="25"/>
      <c r="F220" s="25"/>
      <c r="G220" s="25"/>
      <c r="H220" s="25"/>
      <c r="I220" s="25"/>
    </row>
    <row r="221" spans="1:9" s="39" customFormat="1">
      <c r="A221" s="47"/>
      <c r="B221" s="25"/>
      <c r="C221" s="25"/>
      <c r="D221" s="25"/>
      <c r="E221" s="25"/>
      <c r="F221" s="25"/>
      <c r="G221" s="25"/>
      <c r="H221" s="25"/>
      <c r="I221" s="25"/>
    </row>
    <row r="222" spans="1:9" s="39" customFormat="1">
      <c r="A222" s="47"/>
      <c r="B222" s="25"/>
      <c r="C222" s="25"/>
      <c r="D222" s="25"/>
      <c r="E222" s="25"/>
      <c r="F222" s="25"/>
      <c r="G222" s="25"/>
      <c r="H222" s="25"/>
      <c r="I222" s="25"/>
    </row>
    <row r="223" spans="1:9" s="39" customFormat="1">
      <c r="A223" s="47"/>
      <c r="B223" s="25"/>
      <c r="C223" s="25"/>
      <c r="D223" s="25"/>
      <c r="E223" s="25"/>
      <c r="F223" s="25"/>
      <c r="G223" s="25"/>
      <c r="H223" s="25"/>
      <c r="I223" s="25"/>
    </row>
    <row r="224" spans="1:9" s="39" customFormat="1">
      <c r="A224" s="47"/>
      <c r="B224" s="25"/>
      <c r="C224" s="25"/>
      <c r="D224" s="25"/>
      <c r="E224" s="25"/>
      <c r="F224" s="25"/>
      <c r="G224" s="25"/>
      <c r="H224" s="25"/>
      <c r="I224" s="25"/>
    </row>
    <row r="225" spans="1:9" s="39" customFormat="1">
      <c r="A225" s="47"/>
      <c r="B225" s="25"/>
      <c r="C225" s="25"/>
      <c r="D225" s="25"/>
      <c r="E225" s="25"/>
      <c r="F225" s="25"/>
      <c r="G225" s="25"/>
      <c r="H225" s="25"/>
      <c r="I225" s="25"/>
    </row>
    <row r="226" spans="1:9" s="39" customFormat="1">
      <c r="A226" s="47"/>
      <c r="B226" s="25"/>
      <c r="C226" s="25"/>
      <c r="D226" s="25"/>
      <c r="E226" s="25"/>
      <c r="F226" s="25"/>
      <c r="G226" s="25"/>
      <c r="H226" s="25"/>
      <c r="I226" s="25"/>
    </row>
    <row r="227" spans="1:9" s="39" customFormat="1">
      <c r="A227" s="47"/>
      <c r="B227" s="25"/>
      <c r="C227" s="25"/>
      <c r="D227" s="25"/>
      <c r="E227" s="25"/>
      <c r="F227" s="25"/>
      <c r="G227" s="25"/>
      <c r="H227" s="25"/>
      <c r="I227" s="25"/>
    </row>
    <row r="228" spans="1:9" s="39" customFormat="1">
      <c r="A228" s="47"/>
      <c r="B228" s="25"/>
      <c r="C228" s="25"/>
      <c r="D228" s="25"/>
      <c r="E228" s="25"/>
      <c r="F228" s="25"/>
      <c r="G228" s="25"/>
      <c r="H228" s="25"/>
      <c r="I228" s="25"/>
    </row>
    <row r="229" spans="1:9" s="39" customFormat="1">
      <c r="A229" s="47"/>
      <c r="B229" s="25"/>
      <c r="C229" s="25"/>
      <c r="D229" s="25"/>
      <c r="E229" s="25"/>
      <c r="F229" s="25"/>
      <c r="G229" s="25"/>
      <c r="H229" s="25"/>
      <c r="I229" s="25"/>
    </row>
    <row r="230" spans="1:9" s="39" customFormat="1">
      <c r="A230" s="47"/>
      <c r="B230" s="25"/>
      <c r="C230" s="25"/>
      <c r="D230" s="25"/>
      <c r="E230" s="25"/>
      <c r="F230" s="25"/>
      <c r="G230" s="25"/>
      <c r="H230" s="25"/>
      <c r="I230" s="25"/>
    </row>
    <row r="231" spans="1:9" s="39" customFormat="1">
      <c r="A231" s="47"/>
      <c r="B231" s="25"/>
      <c r="C231" s="25"/>
      <c r="D231" s="25"/>
      <c r="E231" s="25"/>
      <c r="F231" s="25"/>
      <c r="G231" s="25"/>
      <c r="H231" s="25"/>
      <c r="I231" s="25"/>
    </row>
    <row r="232" spans="1:9" s="39" customFormat="1">
      <c r="A232" s="47"/>
      <c r="B232" s="25"/>
      <c r="C232" s="25"/>
      <c r="D232" s="25"/>
      <c r="E232" s="25"/>
      <c r="F232" s="25"/>
      <c r="G232" s="25"/>
      <c r="H232" s="25"/>
      <c r="I232" s="25"/>
    </row>
    <row r="233" spans="1:9" s="39" customFormat="1">
      <c r="A233" s="47"/>
      <c r="B233" s="25"/>
      <c r="C233" s="25"/>
      <c r="D233" s="25"/>
      <c r="E233" s="25"/>
      <c r="F233" s="25"/>
      <c r="G233" s="25"/>
      <c r="H233" s="25"/>
      <c r="I233" s="25"/>
    </row>
    <row r="234" spans="1:9" s="39" customFormat="1">
      <c r="A234" s="47"/>
      <c r="B234" s="25"/>
      <c r="C234" s="25"/>
      <c r="D234" s="25"/>
      <c r="E234" s="25"/>
      <c r="F234" s="25"/>
      <c r="G234" s="25"/>
      <c r="H234" s="25"/>
      <c r="I234" s="25"/>
    </row>
    <row r="235" spans="1:9" s="39" customFormat="1">
      <c r="A235" s="47"/>
      <c r="B235" s="25"/>
      <c r="C235" s="25"/>
      <c r="D235" s="25"/>
      <c r="E235" s="25"/>
      <c r="F235" s="25"/>
      <c r="G235" s="25"/>
      <c r="H235" s="25"/>
      <c r="I235" s="25"/>
    </row>
    <row r="236" spans="1:9" s="39" customFormat="1">
      <c r="A236" s="47"/>
      <c r="B236" s="25"/>
      <c r="C236" s="25"/>
      <c r="D236" s="25"/>
      <c r="E236" s="25"/>
      <c r="F236" s="25"/>
      <c r="G236" s="25"/>
      <c r="H236" s="25"/>
      <c r="I236" s="25"/>
    </row>
    <row r="237" spans="1:9" s="39" customFormat="1">
      <c r="A237" s="47"/>
      <c r="B237" s="25"/>
      <c r="C237" s="25"/>
      <c r="D237" s="25"/>
      <c r="E237" s="25"/>
      <c r="F237" s="25"/>
      <c r="G237" s="25"/>
      <c r="H237" s="25"/>
      <c r="I237" s="25"/>
    </row>
    <row r="238" spans="1:9" s="39" customFormat="1">
      <c r="A238" s="47"/>
      <c r="B238" s="25"/>
      <c r="C238" s="25"/>
      <c r="D238" s="25"/>
      <c r="E238" s="25"/>
      <c r="F238" s="25"/>
      <c r="G238" s="25"/>
      <c r="H238" s="25"/>
      <c r="I238" s="25"/>
    </row>
    <row r="239" spans="1:9" s="39" customFormat="1">
      <c r="A239" s="47"/>
      <c r="B239" s="25"/>
      <c r="C239" s="25"/>
      <c r="D239" s="25"/>
      <c r="E239" s="25"/>
      <c r="F239" s="25"/>
      <c r="G239" s="25"/>
      <c r="H239" s="25"/>
      <c r="I239" s="25"/>
    </row>
    <row r="240" spans="1:9" s="39" customFormat="1">
      <c r="A240" s="47"/>
      <c r="B240" s="25"/>
      <c r="C240" s="25"/>
      <c r="D240" s="25"/>
      <c r="E240" s="25"/>
      <c r="F240" s="25"/>
      <c r="G240" s="25"/>
      <c r="H240" s="25"/>
      <c r="I240" s="25"/>
    </row>
    <row r="241" spans="1:9" s="39" customFormat="1">
      <c r="A241" s="47"/>
      <c r="B241" s="25"/>
      <c r="C241" s="25"/>
      <c r="D241" s="25"/>
      <c r="E241" s="25"/>
      <c r="F241" s="25"/>
      <c r="G241" s="25"/>
      <c r="H241" s="25"/>
      <c r="I241" s="25"/>
    </row>
    <row r="242" spans="1:9" s="39" customFormat="1">
      <c r="A242" s="47"/>
      <c r="B242" s="25"/>
      <c r="C242" s="25"/>
      <c r="D242" s="25"/>
      <c r="E242" s="25"/>
      <c r="F242" s="25"/>
      <c r="G242" s="25"/>
      <c r="H242" s="25"/>
      <c r="I242" s="25"/>
    </row>
    <row r="243" spans="1:9" s="39" customFormat="1">
      <c r="A243" s="47"/>
      <c r="B243" s="25"/>
      <c r="C243" s="25"/>
      <c r="D243" s="25"/>
      <c r="E243" s="25"/>
      <c r="F243" s="25"/>
      <c r="G243" s="25"/>
      <c r="H243" s="25"/>
      <c r="I243" s="25"/>
    </row>
    <row r="244" spans="1:9" s="39" customFormat="1">
      <c r="A244" s="47"/>
      <c r="B244" s="25"/>
      <c r="C244" s="25"/>
      <c r="D244" s="25"/>
      <c r="E244" s="25"/>
      <c r="F244" s="25"/>
      <c r="G244" s="25"/>
      <c r="H244" s="25"/>
      <c r="I244" s="25"/>
    </row>
    <row r="245" spans="1:9" s="39" customFormat="1">
      <c r="A245" s="47"/>
      <c r="B245" s="25"/>
      <c r="C245" s="25"/>
      <c r="D245" s="25"/>
      <c r="E245" s="25"/>
      <c r="F245" s="25"/>
      <c r="G245" s="25"/>
      <c r="H245" s="25"/>
      <c r="I245" s="25"/>
    </row>
    <row r="246" spans="1:9" s="39" customFormat="1">
      <c r="A246" s="47"/>
      <c r="B246" s="25"/>
      <c r="C246" s="25"/>
      <c r="D246" s="25"/>
      <c r="E246" s="25"/>
      <c r="F246" s="25"/>
      <c r="G246" s="25"/>
      <c r="H246" s="25"/>
      <c r="I246" s="25"/>
    </row>
    <row r="247" spans="1:9" s="39" customFormat="1">
      <c r="A247" s="47"/>
      <c r="B247" s="25"/>
      <c r="C247" s="25"/>
      <c r="D247" s="25"/>
      <c r="E247" s="25"/>
      <c r="F247" s="25"/>
      <c r="G247" s="25"/>
      <c r="H247" s="25"/>
      <c r="I247" s="25"/>
    </row>
    <row r="248" spans="1:9" s="39" customFormat="1">
      <c r="A248" s="47"/>
      <c r="B248" s="25"/>
      <c r="C248" s="25"/>
      <c r="D248" s="25"/>
      <c r="E248" s="25"/>
      <c r="F248" s="25"/>
      <c r="G248" s="25"/>
      <c r="H248" s="25"/>
      <c r="I248" s="25"/>
    </row>
    <row r="249" spans="1:9" s="39" customFormat="1">
      <c r="A249" s="47"/>
      <c r="B249" s="25"/>
      <c r="C249" s="25"/>
      <c r="D249" s="25"/>
      <c r="E249" s="25"/>
      <c r="F249" s="25"/>
      <c r="G249" s="25"/>
      <c r="H249" s="25"/>
      <c r="I249" s="25"/>
    </row>
    <row r="250" spans="1:9" s="39" customFormat="1">
      <c r="A250" s="47"/>
      <c r="B250" s="25"/>
      <c r="C250" s="25"/>
      <c r="D250" s="25"/>
      <c r="E250" s="25"/>
      <c r="F250" s="25"/>
      <c r="G250" s="25"/>
      <c r="H250" s="25"/>
      <c r="I250" s="25"/>
    </row>
    <row r="251" spans="1:9" s="39" customFormat="1">
      <c r="A251" s="47"/>
      <c r="B251" s="25"/>
      <c r="C251" s="25"/>
      <c r="D251" s="25"/>
      <c r="E251" s="25"/>
      <c r="F251" s="25"/>
      <c r="G251" s="25"/>
      <c r="H251" s="25"/>
      <c r="I251" s="25"/>
    </row>
    <row r="252" spans="1:9" s="39" customFormat="1">
      <c r="A252" s="47"/>
      <c r="B252" s="25"/>
      <c r="C252" s="25"/>
      <c r="D252" s="25"/>
      <c r="E252" s="25"/>
      <c r="F252" s="25"/>
      <c r="G252" s="25"/>
      <c r="H252" s="25"/>
      <c r="I252" s="25"/>
    </row>
    <row r="253" spans="1:9" s="39" customFormat="1">
      <c r="A253" s="47"/>
      <c r="B253" s="25"/>
      <c r="C253" s="25"/>
      <c r="D253" s="25"/>
      <c r="E253" s="25"/>
      <c r="F253" s="25"/>
      <c r="G253" s="25"/>
      <c r="H253" s="25"/>
      <c r="I253" s="25"/>
    </row>
    <row r="254" spans="1:9" s="39" customFormat="1">
      <c r="A254" s="47"/>
      <c r="B254" s="25"/>
      <c r="C254" s="25"/>
      <c r="D254" s="25"/>
      <c r="E254" s="25"/>
      <c r="F254" s="25"/>
      <c r="G254" s="25"/>
      <c r="H254" s="25"/>
      <c r="I254" s="25"/>
    </row>
    <row r="255" spans="1:9" s="39" customFormat="1">
      <c r="A255" s="47"/>
      <c r="B255" s="25"/>
      <c r="C255" s="25"/>
      <c r="D255" s="25"/>
      <c r="E255" s="25"/>
      <c r="F255" s="25"/>
      <c r="G255" s="25"/>
      <c r="H255" s="25"/>
      <c r="I255" s="25"/>
    </row>
    <row r="256" spans="1:9" s="39" customFormat="1">
      <c r="A256" s="47"/>
      <c r="B256" s="25"/>
      <c r="C256" s="25"/>
      <c r="D256" s="25"/>
      <c r="E256" s="25"/>
      <c r="F256" s="25"/>
      <c r="G256" s="25"/>
      <c r="H256" s="25"/>
      <c r="I256" s="25"/>
    </row>
    <row r="257" spans="1:9" s="39" customFormat="1">
      <c r="A257" s="47"/>
      <c r="B257" s="25"/>
      <c r="C257" s="25"/>
      <c r="D257" s="25"/>
      <c r="E257" s="25"/>
      <c r="F257" s="25"/>
      <c r="G257" s="25"/>
      <c r="H257" s="25"/>
      <c r="I257" s="25"/>
    </row>
    <row r="258" spans="1:9" s="39" customFormat="1">
      <c r="A258" s="47"/>
      <c r="B258" s="25"/>
      <c r="C258" s="25"/>
      <c r="D258" s="25"/>
      <c r="E258" s="25"/>
      <c r="F258" s="25"/>
      <c r="G258" s="25"/>
      <c r="H258" s="25"/>
      <c r="I258" s="25"/>
    </row>
    <row r="259" spans="1:9" s="39" customFormat="1">
      <c r="A259" s="47"/>
      <c r="B259" s="25"/>
      <c r="C259" s="25"/>
      <c r="D259" s="25"/>
      <c r="E259" s="25"/>
      <c r="F259" s="25"/>
      <c r="G259" s="25"/>
      <c r="H259" s="25"/>
      <c r="I259" s="25"/>
    </row>
    <row r="260" spans="1:9" s="39" customFormat="1">
      <c r="A260" s="47"/>
      <c r="B260" s="25"/>
      <c r="C260" s="25"/>
      <c r="D260" s="25"/>
      <c r="E260" s="25"/>
      <c r="F260" s="25"/>
      <c r="G260" s="25"/>
      <c r="H260" s="25"/>
      <c r="I260" s="25"/>
    </row>
    <row r="261" spans="1:9" s="39" customFormat="1">
      <c r="A261" s="47"/>
      <c r="B261" s="25"/>
      <c r="C261" s="25"/>
      <c r="D261" s="25"/>
      <c r="E261" s="25"/>
      <c r="F261" s="25"/>
      <c r="G261" s="25"/>
      <c r="H261" s="25"/>
      <c r="I261" s="25"/>
    </row>
    <row r="262" spans="1:9" s="39" customFormat="1">
      <c r="A262" s="47"/>
      <c r="B262" s="25"/>
      <c r="C262" s="25"/>
      <c r="D262" s="25"/>
      <c r="E262" s="25"/>
      <c r="F262" s="25"/>
      <c r="G262" s="25"/>
      <c r="H262" s="25"/>
      <c r="I262" s="25"/>
    </row>
    <row r="263" spans="1:9" s="39" customFormat="1">
      <c r="A263" s="47"/>
      <c r="B263" s="25"/>
      <c r="C263" s="25"/>
      <c r="D263" s="25"/>
      <c r="E263" s="25"/>
      <c r="F263" s="25"/>
      <c r="G263" s="25"/>
      <c r="H263" s="25"/>
      <c r="I263" s="25"/>
    </row>
    <row r="264" spans="1:9" s="39" customFormat="1">
      <c r="A264" s="47"/>
      <c r="B264" s="25"/>
      <c r="C264" s="25"/>
      <c r="D264" s="25"/>
      <c r="E264" s="25"/>
      <c r="F264" s="25"/>
      <c r="G264" s="25"/>
      <c r="H264" s="25"/>
      <c r="I264" s="25"/>
    </row>
    <row r="265" spans="1:9" s="39" customFormat="1">
      <c r="A265" s="47"/>
      <c r="B265" s="25"/>
      <c r="C265" s="25"/>
      <c r="D265" s="25"/>
      <c r="E265" s="25"/>
      <c r="F265" s="25"/>
      <c r="G265" s="25"/>
      <c r="H265" s="25"/>
      <c r="I265" s="25"/>
    </row>
    <row r="266" spans="1:9" s="39" customFormat="1">
      <c r="A266" s="47"/>
      <c r="B266" s="25"/>
      <c r="C266" s="25"/>
      <c r="D266" s="25"/>
      <c r="E266" s="25"/>
      <c r="F266" s="25"/>
      <c r="G266" s="25"/>
      <c r="H266" s="25"/>
      <c r="I266" s="25"/>
    </row>
    <row r="267" spans="1:9" s="39" customFormat="1">
      <c r="A267" s="47"/>
      <c r="B267" s="25"/>
      <c r="C267" s="25"/>
      <c r="D267" s="25"/>
      <c r="E267" s="25"/>
      <c r="F267" s="25"/>
      <c r="G267" s="25"/>
      <c r="H267" s="25"/>
      <c r="I267" s="25"/>
    </row>
    <row r="268" spans="1:9" s="39" customFormat="1">
      <c r="A268" s="47"/>
      <c r="B268" s="25"/>
      <c r="C268" s="25"/>
      <c r="D268" s="25"/>
      <c r="E268" s="25"/>
      <c r="F268" s="25"/>
      <c r="G268" s="25"/>
      <c r="H268" s="25"/>
      <c r="I268" s="25"/>
    </row>
    <row r="269" spans="1:9" s="39" customFormat="1">
      <c r="A269" s="47"/>
      <c r="B269" s="25"/>
      <c r="C269" s="25"/>
      <c r="D269" s="25"/>
      <c r="E269" s="25"/>
      <c r="F269" s="25"/>
      <c r="G269" s="25"/>
      <c r="H269" s="25"/>
      <c r="I269" s="25"/>
    </row>
    <row r="270" spans="1:9" s="39" customFormat="1">
      <c r="A270" s="47"/>
      <c r="B270" s="25"/>
      <c r="C270" s="25"/>
      <c r="D270" s="25"/>
      <c r="E270" s="25"/>
      <c r="F270" s="25"/>
      <c r="G270" s="25"/>
      <c r="H270" s="25"/>
      <c r="I270" s="25"/>
    </row>
    <row r="271" spans="1:9" s="39" customFormat="1">
      <c r="A271" s="47"/>
      <c r="B271" s="25"/>
      <c r="C271" s="25"/>
      <c r="D271" s="25"/>
      <c r="E271" s="25"/>
      <c r="F271" s="25"/>
      <c r="G271" s="25"/>
      <c r="H271" s="25"/>
      <c r="I271" s="25"/>
    </row>
    <row r="272" spans="1:9" s="39" customFormat="1">
      <c r="A272" s="47"/>
      <c r="B272" s="25"/>
      <c r="C272" s="25"/>
      <c r="D272" s="25"/>
      <c r="E272" s="25"/>
      <c r="F272" s="25"/>
      <c r="G272" s="25"/>
      <c r="H272" s="25"/>
      <c r="I272" s="25"/>
    </row>
    <row r="273" spans="1:9" s="39" customFormat="1">
      <c r="A273" s="47"/>
      <c r="B273" s="25"/>
      <c r="C273" s="25"/>
      <c r="D273" s="25"/>
      <c r="E273" s="25"/>
      <c r="F273" s="25"/>
      <c r="G273" s="25"/>
      <c r="H273" s="25"/>
      <c r="I273" s="25"/>
    </row>
    <row r="274" spans="1:9" s="39" customFormat="1">
      <c r="A274" s="47"/>
      <c r="B274" s="25"/>
      <c r="C274" s="25"/>
      <c r="D274" s="25"/>
      <c r="E274" s="25"/>
      <c r="F274" s="25"/>
      <c r="G274" s="25"/>
      <c r="H274" s="25"/>
      <c r="I274" s="25"/>
    </row>
    <row r="275" spans="1:9" s="39" customFormat="1">
      <c r="A275" s="47"/>
      <c r="B275" s="25"/>
      <c r="C275" s="25"/>
      <c r="D275" s="25"/>
      <c r="E275" s="25"/>
      <c r="F275" s="25"/>
      <c r="G275" s="25"/>
      <c r="H275" s="25"/>
      <c r="I275" s="25"/>
    </row>
    <row r="276" spans="1:9" s="39" customFormat="1">
      <c r="A276" s="47"/>
      <c r="B276" s="25"/>
      <c r="C276" s="25"/>
      <c r="D276" s="25"/>
      <c r="E276" s="25"/>
      <c r="F276" s="25"/>
      <c r="G276" s="25"/>
      <c r="H276" s="25"/>
      <c r="I276" s="25"/>
    </row>
    <row r="277" spans="1:9" s="39" customFormat="1">
      <c r="A277" s="47"/>
      <c r="B277" s="25"/>
      <c r="C277" s="25"/>
      <c r="D277" s="25"/>
      <c r="E277" s="25"/>
      <c r="F277" s="25"/>
      <c r="G277" s="25"/>
      <c r="H277" s="25"/>
      <c r="I277" s="25"/>
    </row>
    <row r="278" spans="1:9" s="39" customFormat="1">
      <c r="A278" s="47"/>
      <c r="B278" s="25"/>
      <c r="C278" s="25"/>
      <c r="D278" s="25"/>
      <c r="E278" s="25"/>
      <c r="F278" s="25"/>
      <c r="G278" s="25"/>
      <c r="H278" s="25"/>
      <c r="I278" s="25"/>
    </row>
    <row r="279" spans="1:9" s="39" customFormat="1">
      <c r="A279" s="47"/>
      <c r="B279" s="25"/>
      <c r="C279" s="25"/>
      <c r="D279" s="25"/>
      <c r="E279" s="25"/>
      <c r="F279" s="25"/>
      <c r="G279" s="25"/>
      <c r="H279" s="25"/>
      <c r="I279" s="25"/>
    </row>
    <row r="280" spans="1:9" s="39" customFormat="1">
      <c r="A280" s="47"/>
      <c r="B280" s="25"/>
      <c r="C280" s="25"/>
      <c r="D280" s="25"/>
      <c r="E280" s="25"/>
      <c r="F280" s="25"/>
      <c r="G280" s="25"/>
      <c r="H280" s="25"/>
      <c r="I280" s="25"/>
    </row>
    <row r="281" spans="1:9" s="39" customFormat="1">
      <c r="A281" s="47"/>
      <c r="B281" s="25"/>
      <c r="C281" s="25"/>
      <c r="D281" s="25"/>
      <c r="E281" s="25"/>
      <c r="F281" s="25"/>
      <c r="G281" s="25"/>
      <c r="H281" s="25"/>
      <c r="I281" s="25"/>
    </row>
    <row r="282" spans="1:9" s="39" customFormat="1">
      <c r="A282" s="47"/>
      <c r="B282" s="25"/>
      <c r="C282" s="25"/>
      <c r="D282" s="25"/>
      <c r="E282" s="25"/>
      <c r="F282" s="25"/>
      <c r="G282" s="25"/>
      <c r="H282" s="25"/>
      <c r="I282" s="25"/>
    </row>
    <row r="283" spans="1:9" s="39" customFormat="1">
      <c r="A283" s="47"/>
      <c r="B283" s="25"/>
      <c r="C283" s="25"/>
      <c r="D283" s="25"/>
      <c r="E283" s="25"/>
      <c r="F283" s="25"/>
      <c r="G283" s="25"/>
      <c r="H283" s="25"/>
      <c r="I283" s="25"/>
    </row>
    <row r="284" spans="1:9" s="39" customFormat="1">
      <c r="A284" s="47"/>
      <c r="B284" s="25"/>
      <c r="C284" s="25"/>
      <c r="D284" s="25"/>
      <c r="E284" s="25"/>
      <c r="F284" s="25"/>
      <c r="G284" s="25"/>
      <c r="H284" s="25"/>
      <c r="I284" s="25"/>
    </row>
    <row r="285" spans="1:9" s="39" customFormat="1">
      <c r="A285" s="47"/>
      <c r="B285" s="25"/>
      <c r="C285" s="25"/>
      <c r="D285" s="25"/>
      <c r="E285" s="25"/>
      <c r="F285" s="25"/>
      <c r="G285" s="25"/>
      <c r="H285" s="25"/>
      <c r="I285" s="25"/>
    </row>
    <row r="286" spans="1:9" s="39" customFormat="1">
      <c r="A286" s="47"/>
      <c r="B286" s="25"/>
      <c r="C286" s="25"/>
      <c r="D286" s="25"/>
      <c r="E286" s="25"/>
      <c r="F286" s="25"/>
      <c r="G286" s="25"/>
      <c r="H286" s="25"/>
      <c r="I286" s="25"/>
    </row>
    <row r="287" spans="1:9" s="39" customFormat="1">
      <c r="A287" s="47"/>
      <c r="B287" s="25"/>
      <c r="C287" s="25"/>
      <c r="D287" s="25"/>
      <c r="E287" s="25"/>
      <c r="F287" s="25"/>
      <c r="G287" s="25"/>
      <c r="H287" s="25"/>
      <c r="I287" s="25"/>
    </row>
    <row r="288" spans="1:9" s="39" customFormat="1">
      <c r="A288" s="47"/>
      <c r="B288" s="25"/>
      <c r="C288" s="25"/>
      <c r="D288" s="25"/>
      <c r="E288" s="25"/>
      <c r="F288" s="25"/>
      <c r="G288" s="25"/>
      <c r="H288" s="25"/>
      <c r="I288" s="25"/>
    </row>
    <row r="289" spans="1:9" s="39" customFormat="1">
      <c r="A289" s="47"/>
      <c r="B289" s="25"/>
      <c r="C289" s="25"/>
      <c r="D289" s="25"/>
      <c r="E289" s="25"/>
      <c r="F289" s="25"/>
      <c r="G289" s="25"/>
      <c r="H289" s="25"/>
      <c r="I289" s="25"/>
    </row>
    <row r="290" spans="1:9" s="39" customFormat="1">
      <c r="A290" s="47"/>
      <c r="B290" s="25"/>
      <c r="C290" s="25"/>
      <c r="D290" s="25"/>
      <c r="E290" s="25"/>
      <c r="F290" s="25"/>
      <c r="G290" s="25"/>
      <c r="H290" s="25"/>
      <c r="I290" s="25"/>
    </row>
    <row r="291" spans="1:9" s="39" customFormat="1">
      <c r="A291" s="47"/>
      <c r="B291" s="25"/>
      <c r="C291" s="25"/>
      <c r="D291" s="25"/>
      <c r="E291" s="25"/>
      <c r="F291" s="25"/>
      <c r="G291" s="25"/>
      <c r="H291" s="25"/>
      <c r="I291" s="25"/>
    </row>
    <row r="292" spans="1:9" s="39" customFormat="1">
      <c r="A292" s="47"/>
      <c r="B292" s="25"/>
      <c r="C292" s="25"/>
      <c r="D292" s="25"/>
      <c r="E292" s="25"/>
      <c r="F292" s="25"/>
      <c r="G292" s="25"/>
      <c r="H292" s="25"/>
      <c r="I292" s="25"/>
    </row>
    <row r="293" spans="1:9" s="39" customFormat="1">
      <c r="A293" s="47"/>
      <c r="B293" s="25"/>
      <c r="C293" s="25"/>
      <c r="D293" s="25"/>
      <c r="E293" s="25"/>
      <c r="F293" s="25"/>
      <c r="G293" s="25"/>
      <c r="H293" s="25"/>
      <c r="I293" s="25"/>
    </row>
    <row r="294" spans="1:9" s="39" customFormat="1">
      <c r="A294" s="47"/>
      <c r="B294" s="25"/>
      <c r="C294" s="25"/>
      <c r="D294" s="25"/>
      <c r="E294" s="25"/>
      <c r="F294" s="25"/>
      <c r="G294" s="25"/>
      <c r="H294" s="25"/>
      <c r="I294" s="25"/>
    </row>
    <row r="295" spans="1:9" s="39" customFormat="1">
      <c r="A295" s="47"/>
      <c r="B295" s="25"/>
      <c r="C295" s="25"/>
      <c r="D295" s="25"/>
      <c r="E295" s="25"/>
      <c r="F295" s="25"/>
      <c r="G295" s="25"/>
      <c r="H295" s="25"/>
      <c r="I295" s="25"/>
    </row>
    <row r="296" spans="1:9" s="39" customFormat="1">
      <c r="A296" s="47"/>
      <c r="B296" s="25"/>
      <c r="C296" s="25"/>
      <c r="D296" s="25"/>
      <c r="E296" s="25"/>
      <c r="F296" s="25"/>
      <c r="G296" s="25"/>
      <c r="H296" s="25"/>
      <c r="I296" s="25"/>
    </row>
    <row r="297" spans="1:9" s="39" customFormat="1">
      <c r="A297" s="47"/>
      <c r="B297" s="25"/>
      <c r="C297" s="25"/>
      <c r="D297" s="25"/>
      <c r="E297" s="25"/>
      <c r="F297" s="25"/>
      <c r="G297" s="25"/>
      <c r="H297" s="25"/>
      <c r="I297" s="25"/>
    </row>
    <row r="298" spans="1:9" s="39" customFormat="1">
      <c r="A298" s="47"/>
      <c r="B298" s="25"/>
      <c r="C298" s="25"/>
      <c r="D298" s="25"/>
      <c r="E298" s="25"/>
      <c r="F298" s="25"/>
      <c r="G298" s="25"/>
      <c r="H298" s="25"/>
      <c r="I298" s="25"/>
    </row>
    <row r="299" spans="1:9" s="39" customFormat="1">
      <c r="A299" s="47"/>
      <c r="B299" s="25"/>
      <c r="C299" s="25"/>
      <c r="D299" s="25"/>
      <c r="E299" s="25"/>
      <c r="F299" s="25"/>
      <c r="G299" s="25"/>
      <c r="H299" s="25"/>
      <c r="I299" s="25"/>
    </row>
    <row r="300" spans="1:9" s="39" customFormat="1">
      <c r="A300" s="47"/>
      <c r="B300" s="25"/>
      <c r="C300" s="25"/>
      <c r="D300" s="25"/>
      <c r="E300" s="25"/>
      <c r="F300" s="25"/>
      <c r="G300" s="25"/>
      <c r="H300" s="25"/>
      <c r="I300" s="25"/>
    </row>
    <row r="301" spans="1:9" s="39" customFormat="1">
      <c r="A301" s="47"/>
      <c r="B301" s="25"/>
      <c r="C301" s="25"/>
      <c r="D301" s="25"/>
      <c r="E301" s="25"/>
      <c r="F301" s="25"/>
      <c r="G301" s="25"/>
      <c r="H301" s="25"/>
      <c r="I301" s="25"/>
    </row>
    <row r="302" spans="1:9" s="39" customFormat="1">
      <c r="A302" s="47"/>
      <c r="B302" s="25"/>
      <c r="C302" s="25"/>
      <c r="D302" s="25"/>
      <c r="E302" s="25"/>
      <c r="F302" s="25"/>
      <c r="G302" s="25"/>
      <c r="H302" s="25"/>
      <c r="I302" s="25"/>
    </row>
    <row r="303" spans="1:9" s="39" customFormat="1">
      <c r="A303" s="47"/>
      <c r="B303" s="25"/>
      <c r="C303" s="25"/>
      <c r="D303" s="25"/>
      <c r="E303" s="25"/>
      <c r="F303" s="25"/>
      <c r="G303" s="25"/>
      <c r="H303" s="25"/>
      <c r="I303" s="25"/>
    </row>
    <row r="304" spans="1:9" s="39" customFormat="1">
      <c r="A304" s="47"/>
      <c r="B304" s="25"/>
      <c r="C304" s="25"/>
      <c r="D304" s="25"/>
      <c r="E304" s="25"/>
      <c r="F304" s="25"/>
      <c r="G304" s="25"/>
      <c r="H304" s="25"/>
      <c r="I304" s="25"/>
    </row>
    <row r="305" spans="1:9" s="39" customFormat="1">
      <c r="A305" s="47"/>
      <c r="B305" s="25"/>
      <c r="C305" s="25"/>
      <c r="D305" s="25"/>
      <c r="E305" s="25"/>
      <c r="F305" s="25"/>
      <c r="G305" s="25"/>
      <c r="H305" s="25"/>
      <c r="I305" s="25"/>
    </row>
    <row r="306" spans="1:9" s="39" customFormat="1">
      <c r="A306" s="47"/>
      <c r="B306" s="25"/>
      <c r="C306" s="25"/>
      <c r="D306" s="25"/>
      <c r="E306" s="25"/>
      <c r="F306" s="25"/>
      <c r="G306" s="25"/>
      <c r="H306" s="25"/>
      <c r="I306" s="25"/>
    </row>
    <row r="307" spans="1:9" s="39" customFormat="1">
      <c r="A307" s="47"/>
      <c r="B307" s="25"/>
      <c r="C307" s="25"/>
      <c r="D307" s="25"/>
      <c r="E307" s="25"/>
      <c r="F307" s="25"/>
      <c r="G307" s="25"/>
      <c r="H307" s="25"/>
      <c r="I307" s="25"/>
    </row>
    <row r="308" spans="1:9" s="39" customFormat="1">
      <c r="A308" s="47"/>
      <c r="B308" s="25"/>
      <c r="C308" s="25"/>
      <c r="D308" s="25"/>
      <c r="E308" s="25"/>
      <c r="F308" s="25"/>
      <c r="G308" s="25"/>
      <c r="H308" s="25"/>
      <c r="I308" s="25"/>
    </row>
    <row r="309" spans="1:9" s="39" customFormat="1">
      <c r="A309" s="47"/>
      <c r="B309" s="25"/>
      <c r="C309" s="25"/>
      <c r="D309" s="25"/>
      <c r="E309" s="25"/>
      <c r="F309" s="25"/>
      <c r="G309" s="25"/>
      <c r="H309" s="25"/>
      <c r="I309" s="25"/>
    </row>
    <row r="310" spans="1:9" s="39" customFormat="1">
      <c r="A310" s="47"/>
      <c r="B310" s="25"/>
      <c r="C310" s="25"/>
      <c r="D310" s="25"/>
      <c r="E310" s="25"/>
      <c r="F310" s="25"/>
      <c r="G310" s="25"/>
      <c r="H310" s="25"/>
      <c r="I310" s="25"/>
    </row>
    <row r="311" spans="1:9" s="39" customFormat="1">
      <c r="A311" s="47"/>
      <c r="B311" s="25"/>
      <c r="C311" s="25"/>
      <c r="D311" s="25"/>
      <c r="E311" s="25"/>
      <c r="F311" s="25"/>
      <c r="G311" s="25"/>
      <c r="H311" s="25"/>
      <c r="I311" s="25"/>
    </row>
    <row r="312" spans="1:9" s="39" customFormat="1">
      <c r="A312" s="47"/>
      <c r="B312" s="25"/>
      <c r="C312" s="25"/>
      <c r="D312" s="25"/>
      <c r="E312" s="25"/>
      <c r="F312" s="25"/>
      <c r="G312" s="25"/>
      <c r="H312" s="25"/>
      <c r="I312" s="25"/>
    </row>
    <row r="313" spans="1:9" s="39" customFormat="1">
      <c r="A313" s="47"/>
      <c r="B313" s="25"/>
      <c r="C313" s="25"/>
      <c r="D313" s="25"/>
      <c r="E313" s="25"/>
      <c r="F313" s="25"/>
      <c r="G313" s="25"/>
      <c r="H313" s="25"/>
      <c r="I313" s="25"/>
    </row>
    <row r="314" spans="1:9" s="39" customFormat="1">
      <c r="A314" s="47"/>
      <c r="B314" s="25"/>
      <c r="C314" s="25"/>
      <c r="D314" s="25"/>
      <c r="E314" s="25"/>
      <c r="F314" s="25"/>
      <c r="G314" s="25"/>
      <c r="H314" s="25"/>
      <c r="I314" s="25"/>
    </row>
    <row r="315" spans="1:9" s="39" customFormat="1">
      <c r="A315" s="47"/>
      <c r="B315" s="25"/>
      <c r="C315" s="25"/>
      <c r="D315" s="25"/>
      <c r="E315" s="25"/>
      <c r="F315" s="25"/>
      <c r="G315" s="25"/>
      <c r="H315" s="25"/>
      <c r="I315" s="25"/>
    </row>
    <row r="316" spans="1:9" s="39" customFormat="1">
      <c r="A316" s="47"/>
      <c r="B316" s="25"/>
      <c r="C316" s="25"/>
      <c r="D316" s="25"/>
      <c r="E316" s="25"/>
      <c r="F316" s="25"/>
      <c r="G316" s="25"/>
      <c r="H316" s="25"/>
      <c r="I316" s="25"/>
    </row>
    <row r="317" spans="1:9" s="39" customFormat="1">
      <c r="A317" s="47"/>
      <c r="B317" s="25"/>
      <c r="C317" s="25"/>
      <c r="D317" s="25"/>
      <c r="E317" s="25"/>
      <c r="F317" s="25"/>
      <c r="G317" s="25"/>
      <c r="H317" s="25"/>
      <c r="I317" s="25"/>
    </row>
    <row r="318" spans="1:9" s="39" customFormat="1">
      <c r="A318" s="47"/>
      <c r="B318" s="25"/>
      <c r="C318" s="25"/>
      <c r="D318" s="25"/>
      <c r="E318" s="25"/>
      <c r="F318" s="25"/>
      <c r="G318" s="25"/>
      <c r="H318" s="25"/>
      <c r="I318" s="25"/>
    </row>
    <row r="319" spans="1:9" s="39" customFormat="1">
      <c r="A319" s="47"/>
      <c r="B319" s="25"/>
      <c r="C319" s="25"/>
      <c r="D319" s="25"/>
      <c r="E319" s="25"/>
      <c r="F319" s="25"/>
      <c r="G319" s="25"/>
      <c r="H319" s="25"/>
      <c r="I319" s="25"/>
    </row>
    <row r="320" spans="1:9" s="39" customFormat="1">
      <c r="A320" s="47"/>
      <c r="B320" s="25"/>
      <c r="C320" s="25"/>
      <c r="D320" s="25"/>
      <c r="E320" s="25"/>
      <c r="F320" s="25"/>
      <c r="G320" s="25"/>
      <c r="H320" s="25"/>
      <c r="I320" s="25"/>
    </row>
    <row r="321" spans="1:9" s="39" customFormat="1">
      <c r="A321" s="47"/>
      <c r="B321" s="25"/>
      <c r="C321" s="25"/>
      <c r="D321" s="25"/>
      <c r="E321" s="25"/>
      <c r="F321" s="25"/>
      <c r="G321" s="25"/>
      <c r="H321" s="25"/>
      <c r="I321" s="25"/>
    </row>
    <row r="322" spans="1:9" s="39" customFormat="1">
      <c r="A322" s="47"/>
      <c r="B322" s="25"/>
      <c r="C322" s="25"/>
      <c r="D322" s="25"/>
      <c r="E322" s="25"/>
      <c r="F322" s="25"/>
      <c r="G322" s="25"/>
      <c r="H322" s="25"/>
      <c r="I322" s="25"/>
    </row>
    <row r="323" spans="1:9" s="39" customFormat="1">
      <c r="A323" s="47"/>
      <c r="B323" s="25"/>
      <c r="C323" s="25"/>
      <c r="D323" s="25"/>
      <c r="E323" s="25"/>
      <c r="F323" s="25"/>
      <c r="G323" s="25"/>
      <c r="H323" s="25"/>
      <c r="I323" s="25"/>
    </row>
    <row r="324" spans="1:9" s="39" customFormat="1">
      <c r="A324" s="47"/>
      <c r="B324" s="25"/>
      <c r="C324" s="25"/>
      <c r="D324" s="25"/>
      <c r="E324" s="25"/>
      <c r="F324" s="25"/>
      <c r="G324" s="25"/>
      <c r="H324" s="25"/>
      <c r="I324" s="25"/>
    </row>
    <row r="325" spans="1:9" s="39" customFormat="1">
      <c r="A325" s="47"/>
      <c r="B325" s="25"/>
      <c r="C325" s="25"/>
      <c r="D325" s="25"/>
      <c r="E325" s="25"/>
      <c r="F325" s="25"/>
      <c r="G325" s="25"/>
      <c r="H325" s="25"/>
      <c r="I325" s="25"/>
    </row>
    <row r="326" spans="1:9" s="39" customFormat="1">
      <c r="A326" s="47"/>
      <c r="B326" s="25"/>
      <c r="C326" s="25"/>
      <c r="D326" s="25"/>
      <c r="E326" s="25"/>
      <c r="F326" s="25"/>
      <c r="G326" s="25"/>
      <c r="H326" s="25"/>
      <c r="I326" s="25"/>
    </row>
    <row r="327" spans="1:9" s="39" customFormat="1">
      <c r="A327" s="47"/>
      <c r="B327" s="25"/>
      <c r="C327" s="25"/>
      <c r="D327" s="25"/>
      <c r="E327" s="25"/>
      <c r="F327" s="25"/>
      <c r="G327" s="25"/>
      <c r="H327" s="25"/>
      <c r="I327" s="25"/>
    </row>
    <row r="328" spans="1:9" s="39" customFormat="1">
      <c r="A328" s="47"/>
      <c r="B328" s="25"/>
      <c r="C328" s="25"/>
      <c r="D328" s="25"/>
      <c r="E328" s="25"/>
      <c r="F328" s="25"/>
      <c r="G328" s="25"/>
      <c r="H328" s="25"/>
      <c r="I328" s="25"/>
    </row>
    <row r="329" spans="1:9" s="39" customFormat="1">
      <c r="A329" s="47"/>
      <c r="B329" s="25"/>
      <c r="C329" s="25"/>
      <c r="D329" s="25"/>
      <c r="E329" s="25"/>
      <c r="F329" s="25"/>
      <c r="G329" s="25"/>
      <c r="H329" s="25"/>
      <c r="I329" s="25"/>
    </row>
    <row r="330" spans="1:9" s="39" customFormat="1">
      <c r="A330" s="47"/>
      <c r="B330" s="25"/>
      <c r="C330" s="25"/>
      <c r="D330" s="25"/>
      <c r="E330" s="25"/>
      <c r="F330" s="25"/>
      <c r="G330" s="25"/>
      <c r="H330" s="25"/>
      <c r="I330" s="25"/>
    </row>
    <row r="331" spans="1:9" s="39" customFormat="1">
      <c r="A331" s="47"/>
      <c r="B331" s="25"/>
      <c r="C331" s="25"/>
      <c r="D331" s="25"/>
      <c r="E331" s="25"/>
      <c r="F331" s="25"/>
      <c r="G331" s="25"/>
      <c r="H331" s="25"/>
      <c r="I331" s="25"/>
    </row>
    <row r="332" spans="1:9" s="39" customFormat="1">
      <c r="A332" s="47"/>
      <c r="B332" s="25"/>
      <c r="C332" s="25"/>
      <c r="D332" s="25"/>
      <c r="E332" s="25"/>
      <c r="F332" s="25"/>
      <c r="G332" s="25"/>
      <c r="H332" s="25"/>
      <c r="I332" s="25"/>
    </row>
    <row r="333" spans="1:9" s="39" customFormat="1">
      <c r="A333" s="47"/>
      <c r="B333" s="25"/>
      <c r="C333" s="25"/>
      <c r="D333" s="25"/>
      <c r="E333" s="25"/>
      <c r="F333" s="25"/>
      <c r="G333" s="25"/>
      <c r="H333" s="25"/>
      <c r="I333" s="25"/>
    </row>
    <row r="334" spans="1:9" s="39" customFormat="1">
      <c r="A334" s="47"/>
      <c r="B334" s="25"/>
      <c r="C334" s="25"/>
      <c r="D334" s="25"/>
      <c r="E334" s="25"/>
      <c r="F334" s="25"/>
      <c r="G334" s="25"/>
      <c r="H334" s="25"/>
      <c r="I334" s="25"/>
    </row>
    <row r="335" spans="1:9" s="39" customFormat="1">
      <c r="A335" s="47"/>
      <c r="B335" s="25"/>
      <c r="C335" s="25"/>
      <c r="D335" s="25"/>
      <c r="E335" s="25"/>
      <c r="F335" s="25"/>
      <c r="G335" s="25"/>
      <c r="H335" s="25"/>
      <c r="I335" s="25"/>
    </row>
    <row r="336" spans="1:9" s="39" customFormat="1">
      <c r="A336" s="47"/>
      <c r="B336" s="25"/>
      <c r="C336" s="25"/>
      <c r="D336" s="25"/>
      <c r="E336" s="25"/>
      <c r="F336" s="25"/>
      <c r="G336" s="25"/>
      <c r="H336" s="25"/>
      <c r="I336" s="25"/>
    </row>
    <row r="337" spans="1:9" s="39" customFormat="1">
      <c r="A337" s="47"/>
      <c r="B337" s="25"/>
      <c r="C337" s="25"/>
      <c r="D337" s="25"/>
      <c r="E337" s="25"/>
      <c r="F337" s="25"/>
      <c r="G337" s="25"/>
      <c r="H337" s="25"/>
      <c r="I337" s="25"/>
    </row>
    <row r="338" spans="1:9" s="39" customFormat="1">
      <c r="A338" s="47"/>
      <c r="B338" s="25"/>
      <c r="C338" s="25"/>
      <c r="D338" s="25"/>
      <c r="E338" s="25"/>
      <c r="F338" s="25"/>
      <c r="G338" s="25"/>
      <c r="H338" s="25"/>
      <c r="I338" s="25"/>
    </row>
    <row r="339" spans="1:9" s="39" customFormat="1">
      <c r="A339" s="47"/>
      <c r="B339" s="25"/>
      <c r="C339" s="25"/>
      <c r="D339" s="25"/>
      <c r="E339" s="25"/>
      <c r="F339" s="25"/>
      <c r="G339" s="25"/>
      <c r="H339" s="25"/>
      <c r="I339" s="25"/>
    </row>
    <row r="340" spans="1:9" s="39" customFormat="1">
      <c r="A340" s="47"/>
      <c r="B340" s="25"/>
      <c r="C340" s="25"/>
      <c r="D340" s="25"/>
      <c r="E340" s="25"/>
      <c r="F340" s="25"/>
      <c r="G340" s="25"/>
      <c r="H340" s="25"/>
      <c r="I340" s="25"/>
    </row>
    <row r="341" spans="1:9" s="39" customFormat="1">
      <c r="A341" s="47"/>
      <c r="B341" s="25"/>
      <c r="C341" s="25"/>
      <c r="D341" s="25"/>
      <c r="E341" s="25"/>
      <c r="F341" s="25"/>
      <c r="G341" s="25"/>
      <c r="H341" s="25"/>
      <c r="I341" s="25"/>
    </row>
    <row r="342" spans="1:9" s="39" customFormat="1">
      <c r="A342" s="47"/>
      <c r="B342" s="25"/>
      <c r="C342" s="25"/>
      <c r="D342" s="25"/>
      <c r="E342" s="25"/>
      <c r="F342" s="25"/>
      <c r="G342" s="25"/>
      <c r="H342" s="25"/>
      <c r="I342" s="25"/>
    </row>
    <row r="343" spans="1:9" s="39" customFormat="1">
      <c r="A343" s="47"/>
      <c r="B343" s="25"/>
      <c r="C343" s="25"/>
      <c r="D343" s="25"/>
      <c r="E343" s="25"/>
      <c r="F343" s="25"/>
      <c r="G343" s="25"/>
      <c r="H343" s="25"/>
      <c r="I343" s="25"/>
    </row>
    <row r="344" spans="1:9" s="39" customFormat="1">
      <c r="A344" s="47"/>
      <c r="B344" s="25"/>
      <c r="C344" s="25"/>
      <c r="D344" s="25"/>
      <c r="E344" s="25"/>
      <c r="F344" s="25"/>
      <c r="G344" s="25"/>
      <c r="H344" s="25"/>
      <c r="I344" s="25"/>
    </row>
    <row r="345" spans="1:9" s="39" customFormat="1">
      <c r="A345" s="47"/>
      <c r="B345" s="25"/>
      <c r="C345" s="25"/>
      <c r="D345" s="25"/>
      <c r="E345" s="25"/>
      <c r="F345" s="25"/>
      <c r="G345" s="25"/>
      <c r="H345" s="25"/>
      <c r="I345" s="25"/>
    </row>
    <row r="346" spans="1:9" s="39" customFormat="1">
      <c r="A346" s="47"/>
      <c r="B346" s="25"/>
      <c r="C346" s="25"/>
      <c r="D346" s="25"/>
      <c r="E346" s="25"/>
      <c r="F346" s="25"/>
      <c r="G346" s="25"/>
      <c r="H346" s="25"/>
      <c r="I346" s="25"/>
    </row>
    <row r="347" spans="1:9" s="39" customFormat="1">
      <c r="A347" s="47"/>
      <c r="B347" s="25"/>
      <c r="C347" s="25"/>
      <c r="D347" s="25"/>
      <c r="E347" s="25"/>
      <c r="F347" s="25"/>
      <c r="G347" s="25"/>
      <c r="H347" s="25"/>
      <c r="I347" s="25"/>
    </row>
    <row r="348" spans="1:9" s="39" customFormat="1">
      <c r="A348" s="47"/>
      <c r="B348" s="25"/>
      <c r="C348" s="25"/>
      <c r="D348" s="25"/>
      <c r="E348" s="25"/>
      <c r="F348" s="25"/>
      <c r="G348" s="25"/>
      <c r="H348" s="25"/>
      <c r="I348" s="25"/>
    </row>
    <row r="349" spans="1:9" s="39" customFormat="1">
      <c r="A349" s="47"/>
      <c r="B349" s="25"/>
      <c r="C349" s="25"/>
      <c r="D349" s="25"/>
      <c r="E349" s="25"/>
      <c r="F349" s="25"/>
      <c r="G349" s="25"/>
      <c r="H349" s="25"/>
      <c r="I349" s="25"/>
    </row>
    <row r="350" spans="1:9" s="39" customFormat="1">
      <c r="A350" s="47"/>
      <c r="B350" s="25"/>
      <c r="C350" s="25"/>
      <c r="D350" s="25"/>
      <c r="E350" s="25"/>
      <c r="F350" s="25"/>
      <c r="G350" s="25"/>
      <c r="H350" s="25"/>
      <c r="I350" s="25"/>
    </row>
    <row r="351" spans="1:9" s="39" customFormat="1">
      <c r="A351" s="47"/>
      <c r="B351" s="25"/>
      <c r="C351" s="25"/>
      <c r="D351" s="25"/>
      <c r="E351" s="25"/>
      <c r="F351" s="25"/>
      <c r="G351" s="25"/>
      <c r="H351" s="25"/>
      <c r="I351" s="25"/>
    </row>
    <row r="352" spans="1:9" s="39" customFormat="1">
      <c r="A352" s="47"/>
      <c r="B352" s="25"/>
      <c r="C352" s="25"/>
      <c r="D352" s="25"/>
      <c r="E352" s="25"/>
      <c r="F352" s="25"/>
      <c r="G352" s="25"/>
      <c r="H352" s="25"/>
      <c r="I352" s="25"/>
    </row>
    <row r="353" spans="1:9" s="39" customFormat="1">
      <c r="A353" s="44"/>
      <c r="B353" s="25"/>
      <c r="C353" s="25"/>
      <c r="D353" s="25"/>
      <c r="E353" s="25"/>
      <c r="F353" s="25"/>
      <c r="G353" s="25"/>
      <c r="H353" s="25"/>
      <c r="I353" s="25"/>
    </row>
  </sheetData>
  <mergeCells count="16">
    <mergeCell ref="J18:J20"/>
    <mergeCell ref="D5:D8"/>
    <mergeCell ref="J23:J25"/>
    <mergeCell ref="J27:J30"/>
    <mergeCell ref="A2:J2"/>
    <mergeCell ref="A3:J3"/>
    <mergeCell ref="A4:J4"/>
    <mergeCell ref="A5:A8"/>
    <mergeCell ref="B5:B8"/>
    <mergeCell ref="E5:E8"/>
    <mergeCell ref="F5:F8"/>
    <mergeCell ref="G5:G8"/>
    <mergeCell ref="C5:C8"/>
    <mergeCell ref="J5:J8"/>
    <mergeCell ref="H5:H8"/>
    <mergeCell ref="I5:I8"/>
  </mergeCells>
  <pageMargins left="0.6" right="0.43307086614173201" top="0.74803149606299202" bottom="0.74803149606299202" header="0.31496062992126" footer="0.31496062992126"/>
  <pageSetup paperSize="8"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25</vt:i4>
      </vt:variant>
    </vt:vector>
  </HeadingPairs>
  <TitlesOfParts>
    <vt:vector size="45" baseType="lpstr">
      <vt:lpstr>biểu 01</vt:lpstr>
      <vt:lpstr>foxz</vt:lpstr>
      <vt:lpstr>PHỤ LỤC 1</vt:lpstr>
      <vt:lpstr>BIỂU TH</vt:lpstr>
      <vt:lpstr>02-CĐNS(TỈNH Q.LÝ)</vt:lpstr>
      <vt:lpstr>03-CĐNS(HUYỆN Q.LÝ)</vt:lpstr>
      <vt:lpstr>04-VỐN ĐTPT CTMT</vt:lpstr>
      <vt:lpstr>05-VỐN ĐẤU GIÁ</vt:lpstr>
      <vt:lpstr>06-VỐN S.NGHIỆP CTMT</vt:lpstr>
      <vt:lpstr>06-S.NGHIỆP KINH TẾ</vt:lpstr>
      <vt:lpstr>08-VỐN S.NGHIỆP GD</vt:lpstr>
      <vt:lpstr>Biểu số 04 (ĐTC huyện)</vt:lpstr>
      <vt:lpstr>Biểu số 04 (SN)</vt:lpstr>
      <vt:lpstr>Biểu số 05 (SNGD)</vt:lpstr>
      <vt:lpstr>Biểu 04 DC trung han  2021-2025</vt:lpstr>
      <vt:lpstr>Biểu 5 ĐC KHV 2022 vốn NSĐP</vt:lpstr>
      <vt:lpstr>Bểu 06 ĐCKHV 2022, CTMTQG</vt:lpstr>
      <vt:lpstr>Bieur 07 Đề xuất KHV</vt:lpstr>
      <vt:lpstr>7-VỐN S.NGHIỆP GD</vt:lpstr>
      <vt:lpstr>8-VỐN S.NGHIỆP CTMT</vt:lpstr>
      <vt:lpstr>'02-CĐNS(TỈNH Q.LÝ)'!Print_Area</vt:lpstr>
      <vt:lpstr>'03-CĐNS(HUYỆN Q.LÝ)'!Print_Area</vt:lpstr>
      <vt:lpstr>'04-VỐN ĐTPT CTMT'!Print_Area</vt:lpstr>
      <vt:lpstr>'05-VỐN ĐẤU GIÁ'!Print_Area</vt:lpstr>
      <vt:lpstr>'06-S.NGHIỆP KINH TẾ'!Print_Area</vt:lpstr>
      <vt:lpstr>'06-VỐN S.NGHIỆP CTMT'!Print_Area</vt:lpstr>
      <vt:lpstr>'08-VỐN S.NGHIỆP GD'!Print_Area</vt:lpstr>
      <vt:lpstr>'7-VỐN S.NGHIỆP GD'!Print_Area</vt:lpstr>
      <vt:lpstr>'8-VỐN S.NGHIỆP CTMT'!Print_Area</vt:lpstr>
      <vt:lpstr>'Biểu 5 ĐC KHV 2022 vốn NSĐP'!Print_Area</vt:lpstr>
      <vt:lpstr>'Biểu số 04 (ĐTC huyện)'!Print_Area</vt:lpstr>
      <vt:lpstr>'Biểu số 04 (SN)'!Print_Area</vt:lpstr>
      <vt:lpstr>'Biểu số 05 (SNGD)'!Print_Area</vt:lpstr>
      <vt:lpstr>'BIỂU TH'!Print_Area</vt:lpstr>
      <vt:lpstr>'02-CĐNS(TỈNH Q.LÝ)'!Print_Titles</vt:lpstr>
      <vt:lpstr>'03-CĐNS(HUYỆN Q.LÝ)'!Print_Titles</vt:lpstr>
      <vt:lpstr>'04-VỐN ĐTPT CTMT'!Print_Titles</vt:lpstr>
      <vt:lpstr>'06-S.NGHIỆP KINH TẾ'!Print_Titles</vt:lpstr>
      <vt:lpstr>'08-VỐN S.NGHIỆP GD'!Print_Titles</vt:lpstr>
      <vt:lpstr>'8-VỐN S.NGHIỆP CTMT'!Print_Titles</vt:lpstr>
      <vt:lpstr>'Bểu 06 ĐCKHV 2022, CTMTQG'!Print_Titles</vt:lpstr>
      <vt:lpstr>'Biểu 5 ĐC KHV 2022 vốn NSĐP'!Print_Titles</vt:lpstr>
      <vt:lpstr>'Biểu số 04 (SN)'!Print_Titles</vt:lpstr>
      <vt:lpstr>'Biểu số 05 (SNGD)'!Print_Titles</vt:lpstr>
      <vt:lpstr>'BIỂU TH'!Print_Titles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cp:lastPrinted>2022-12-06T09:32:46Z</cp:lastPrinted>
  <dcterms:created xsi:type="dcterms:W3CDTF">2021-10-12T06:37:15Z</dcterms:created>
  <dcterms:modified xsi:type="dcterms:W3CDTF">2022-12-06T10:15:48Z</dcterms:modified>
</cp:coreProperties>
</file>