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9210" tabRatio="851" activeTab="0"/>
  </bookViews>
  <sheets>
    <sheet name="VỐN ĐT NGUỒN NSTW" sheetId="1" r:id="rId1"/>
    <sheet name="VỐN ĐT NGUỒN NSĐP" sheetId="2" r:id="rId2"/>
    <sheet name="CĐNS HUYỆN" sheetId="3" r:id="rId3"/>
    <sheet name="H.TRỢ ĐẤT LÚA" sheetId="4" r:id="rId4"/>
    <sheet name="SỰ NGHIỆP GIÁO DỤC" sheetId="5" r:id="rId5"/>
    <sheet name="VỐN TPCP + VỐN BẢO TRÌ ĐƯỜNG BỘ" sheetId="6" r:id="rId6"/>
  </sheets>
  <externalReferences>
    <externalReference r:id="rId9"/>
    <externalReference r:id="rId10"/>
  </externalReferences>
  <definedNames>
    <definedName name="_xlnm.Print_Area" localSheetId="2">'CĐNS HUYỆN'!$A$1:$T$145</definedName>
    <definedName name="_xlnm.Print_Area" localSheetId="3">'H.TRỢ ĐẤT LÚA'!$A$1:$M$16</definedName>
    <definedName name="_xlnm.Print_Area" localSheetId="1">'VỐN ĐT NGUỒN NSĐP'!$A$1:$R$51</definedName>
    <definedName name="_xlnm.Print_Area" localSheetId="0">'VỐN ĐT NGUỒN NSTW'!$A$1:$R$110</definedName>
    <definedName name="_xlnm.Print_Area" localSheetId="5">'VỐN TPCP + VỐN BẢO TRÌ ĐƯỜNG BỘ'!$A$1:$CF$25</definedName>
    <definedName name="_xlnm.Print_Titles" localSheetId="2">'CĐNS HUYỆN'!$5:$8</definedName>
    <definedName name="_xlnm.Print_Titles" localSheetId="4">'SỰ NGHIỆP GIÁO DỤC'!$5:$6</definedName>
    <definedName name="_xlnm.Print_Titles" localSheetId="1">'VỐN ĐT NGUỒN NSĐP'!$5:$7</definedName>
    <definedName name="_xlnm.Print_Titles" localSheetId="0">'VỐN ĐT NGUỒN NSTW'!$5:$7</definedName>
    <definedName name="_xlnm.Print_Titles" localSheetId="5">'VỐN TPCP + VỐN BẢO TRÌ ĐƯỜNG BỘ'!$5:$8</definedName>
  </definedNames>
  <calcPr fullCalcOnLoad="1"/>
</workbook>
</file>

<file path=xl/comments5.xml><?xml version="1.0" encoding="utf-8"?>
<comments xmlns="http://schemas.openxmlformats.org/spreadsheetml/2006/main">
  <authors>
    <author>User</author>
  </authors>
  <commentList>
    <comment ref="M11" authorId="0">
      <text>
        <r>
          <rPr>
            <b/>
            <sz val="9"/>
            <rFont val="Tahoma"/>
            <family val="2"/>
          </rPr>
          <t>User:</t>
        </r>
        <r>
          <rPr>
            <sz val="9"/>
            <rFont val="Tahoma"/>
            <family val="2"/>
          </rPr>
          <t xml:space="preserve">
Điều chỉnh theo QĐ 708 ngày 29/6/2018</t>
        </r>
      </text>
    </comment>
    <comment ref="M12" authorId="0">
      <text>
        <r>
          <rPr>
            <b/>
            <sz val="9"/>
            <rFont val="Tahoma"/>
            <family val="2"/>
          </rPr>
          <t>User:</t>
        </r>
        <r>
          <rPr>
            <sz val="9"/>
            <rFont val="Tahoma"/>
            <family val="2"/>
          </rPr>
          <t xml:space="preserve">
Điều chỉnh theo QĐ 708 ngày 29/6/2018</t>
        </r>
      </text>
    </comment>
    <comment ref="M13" authorId="0">
      <text>
        <r>
          <rPr>
            <b/>
            <sz val="9"/>
            <rFont val="Tahoma"/>
            <family val="2"/>
          </rPr>
          <t>User:</t>
        </r>
        <r>
          <rPr>
            <sz val="9"/>
            <rFont val="Tahoma"/>
            <family val="2"/>
          </rPr>
          <t xml:space="preserve">
Điều chỉnh theo QĐ 708 ngày 29/6/2018
</t>
        </r>
      </text>
    </comment>
    <comment ref="M21" authorId="0">
      <text>
        <r>
          <rPr>
            <b/>
            <sz val="9"/>
            <rFont val="Tahoma"/>
            <family val="2"/>
          </rPr>
          <t>User:</t>
        </r>
        <r>
          <rPr>
            <sz val="9"/>
            <rFont val="Tahoma"/>
            <family val="2"/>
          </rPr>
          <t xml:space="preserve">
Điều chỉnh theo QĐ 708 ngày 29/6/2018</t>
        </r>
      </text>
    </comment>
    <comment ref="M22" authorId="0">
      <text>
        <r>
          <rPr>
            <b/>
            <sz val="9"/>
            <rFont val="Tahoma"/>
            <family val="2"/>
          </rPr>
          <t>User:</t>
        </r>
        <r>
          <rPr>
            <sz val="9"/>
            <rFont val="Tahoma"/>
            <family val="2"/>
          </rPr>
          <t xml:space="preserve">
Điều chỉnh theo QĐ 708 ngày 29/6/2018
</t>
        </r>
      </text>
    </comment>
  </commentList>
</comments>
</file>

<file path=xl/sharedStrings.xml><?xml version="1.0" encoding="utf-8"?>
<sst xmlns="http://schemas.openxmlformats.org/spreadsheetml/2006/main" count="1103" uniqueCount="569">
  <si>
    <t>GTNT cấp B, cấp C, mặt đường BTXM, L=6Km</t>
  </si>
  <si>
    <t>GTMN B, L=6,9Km; GTNT C, L=4,47km</t>
  </si>
  <si>
    <t>8 phòng, nhà cấp III, 2 tầng, Diện tích sàn S=696m2</t>
  </si>
  <si>
    <t>Bề rộng đập tràn B=8m; Chiều dài tuyến kênh 1,5 Km</t>
  </si>
  <si>
    <t>Bề rộng đập tràn B=12,5m; Chiều dài tuyến kênh 0,59 Km</t>
  </si>
  <si>
    <t>Bề rộng đập tràn B=3m; Chiều dài tuyến ống 6,1Km</t>
  </si>
  <si>
    <t>Nhà cấp III, 2 tầng, Sxd= 216m2, S sàn = 384,9m2</t>
  </si>
  <si>
    <t>Bề rộng đập tràn B=23m; Chiều dài tuyến kênh 1 Km</t>
  </si>
  <si>
    <t>Bề rộng đập tràn B=7m; Chiều dài tuyến kênh 1 Km</t>
  </si>
  <si>
    <t>GTNT cấp B, mặt đường BTXM, L=3,1Km</t>
  </si>
  <si>
    <t>Bề rộng đập tràn B=5m; Chiều dài tuyến ống 7,8Km</t>
  </si>
  <si>
    <t xml:space="preserve">Ghi chú: * Đề nghị các dự án ghi rõ dự kiến năm hoàn thành để có cơ sở xác định số dự án hoàn thành trong các năm </t>
  </si>
  <si>
    <t>310/QĐ-UBND ngày 20/4/2015</t>
  </si>
  <si>
    <t>2015-2016</t>
  </si>
  <si>
    <t>xã Pú Xi</t>
  </si>
  <si>
    <t>Dự án di chuyển dân cư nơi có nguy cơ sạt lở cao, đời sống đặc biệt khó khăn thuộc các bản Hua Mức 1, Hua Mức 2, Pu xi đến tái định cư tại bản Hua Mức 2 xã Mường Mùn, huyện Tuần Giáo</t>
  </si>
  <si>
    <t>1</t>
  </si>
  <si>
    <t>Ban QLDA các công trình</t>
  </si>
  <si>
    <t>*</t>
  </si>
  <si>
    <t>Chương trình bố trí dân cư theo Quyết định 193/QĐ-TTg</t>
  </si>
  <si>
    <t>I</t>
  </si>
  <si>
    <t>CÁC CHƯƠNG TRÌNH MỤC TIÊU</t>
  </si>
  <si>
    <t>B</t>
  </si>
  <si>
    <t>xã Mường Mùn
xã Pú Xi</t>
  </si>
  <si>
    <t>Sửa chữa tuyến đường từ bản Hốc xã Mường Mùn - trung tâm xã Pú Xi huyện Tuần Giáo</t>
  </si>
  <si>
    <t>xã Tỏa Tình</t>
  </si>
  <si>
    <t>Đường TT xã Tỏa Tình - bản Hua Sa A</t>
  </si>
  <si>
    <t>2018-2020</t>
  </si>
  <si>
    <t>Nâng cấp đường QL6- bản Lồng (giai đoạn 2)</t>
  </si>
  <si>
    <t>Danh mục dự án khởi công mới giai đoạn 2019 - 2020</t>
  </si>
  <si>
    <t>b</t>
  </si>
  <si>
    <t>xã Nà Tòng</t>
  </si>
  <si>
    <t>Trạm y tế xã Nà Tòng, xã Nà Tòng</t>
  </si>
  <si>
    <t>UBND xã Nà Tòng</t>
  </si>
  <si>
    <t>Xã Quài Nưa</t>
  </si>
  <si>
    <t>Đường bê tông bản Co Sáng, Co Muông</t>
  </si>
  <si>
    <t>UBND xã Quài Nưa</t>
  </si>
  <si>
    <t>xã Mường Khong</t>
  </si>
  <si>
    <t>Sửa chữa đường Mường Khong - Hua Sát xã Mường Khong</t>
  </si>
  <si>
    <t>Trường THCS Khong Hin, xã Mường Khong</t>
  </si>
  <si>
    <t>xã Chiềng Đông</t>
  </si>
  <si>
    <t>Thuỷ lợi Nậm Chăn, xã Chiềng Đông</t>
  </si>
  <si>
    <t>xã Mường Thín</t>
  </si>
  <si>
    <t>Thuỷ lợi bản Thín B, xã Mường Thín</t>
  </si>
  <si>
    <t>NSH trung tâm xã Chiềng Đông</t>
  </si>
  <si>
    <t>xã Nà Sáy</t>
  </si>
  <si>
    <t>Thuỷ lợi Nà Đén (Nà Sái), xã Nà Sáy</t>
  </si>
  <si>
    <t>xã Mường Mùn</t>
  </si>
  <si>
    <t>Thuỷ lợi bản Hốc, xã Mường Mùn</t>
  </si>
  <si>
    <t>Sửa chữa đường bản Bó - bản Nôm - bản Chăn, xã Chiềng Đông</t>
  </si>
  <si>
    <t>xã Quài Cang</t>
  </si>
  <si>
    <t>NSH bản Ten Cá, xã Quài Cang</t>
  </si>
  <si>
    <t>Các dự án chuyển tiếp, hoàn thành giai đoạn 2019 - 2020</t>
  </si>
  <si>
    <t>a</t>
  </si>
  <si>
    <t>Chương trình MTQG giảm nghèo thực hiện theo Quyết định 293/QĐ-TTg (nay là Quyết định 275/QĐ-TTg)</t>
  </si>
  <si>
    <t>III</t>
  </si>
  <si>
    <t>2019-2020</t>
  </si>
  <si>
    <t>Xã Nà Sáy</t>
  </si>
  <si>
    <t>Đường Nậm Cá - bản Hồng Lực, xã Nà Sáy</t>
  </si>
  <si>
    <t xml:space="preserve"> Xã Quài Cang</t>
  </si>
  <si>
    <t>Đường bản Hán xã Quài Cang</t>
  </si>
  <si>
    <t>Thủy lợi bản Cong, bản Sảo Xã Quài Cang</t>
  </si>
  <si>
    <t>Xã Phình Sáng</t>
  </si>
  <si>
    <t>Nước sinh hoạt trung tâm xã Phình Sáng</t>
  </si>
  <si>
    <t>Xã Chiềng Sinh</t>
  </si>
  <si>
    <t>Bản đặc biệt khó khăn (01 bản) Đường nội bản Dửn GĐ2</t>
  </si>
  <si>
    <t>Xã Nà Tòng</t>
  </si>
  <si>
    <t>Đường dân sinh ngầm tràn liên hợp bản Nong Tóng xã Nà Tòng</t>
  </si>
  <si>
    <t xml:space="preserve"> Chuẩn bị đầu tư </t>
  </si>
  <si>
    <t>c</t>
  </si>
  <si>
    <t>Xã Mường Khong</t>
  </si>
  <si>
    <t>Xã Mường Mùn</t>
  </si>
  <si>
    <t>Xã Rạng Đông</t>
  </si>
  <si>
    <t>Đường Trung tâm xã Rạng Đông - bản Háng Á</t>
  </si>
  <si>
    <t>xã Tênh Phông</t>
  </si>
  <si>
    <t>Đường từ ngã ba (Tênh Phông, Huổi Anh) đến bản Huổi Anh xã Tênh Phông</t>
  </si>
  <si>
    <t>Xã Pú Xi</t>
  </si>
  <si>
    <t>Điểm trường mầm non Hua Mức 2, xã Pú Xi</t>
  </si>
  <si>
    <t>Công trình khởi công mới 2019</t>
  </si>
  <si>
    <t>204, 30/10/2017</t>
  </si>
  <si>
    <t>2017-2018</t>
  </si>
  <si>
    <t>xã Quài Tở</t>
  </si>
  <si>
    <t>Đường liên bản Pậu + bản Món + bản Hới Trong tới khu tái định cư xã Quài Tở</t>
  </si>
  <si>
    <t>Công trình tiếp chi</t>
  </si>
  <si>
    <t>Chương trình mục tiêu quốc gia giảm nghèo bền vững theo CT 135</t>
  </si>
  <si>
    <t>II</t>
  </si>
  <si>
    <t>Đường QL6 - bản Co Sản, xã Mùn Chung</t>
  </si>
  <si>
    <t>Nâng cấp đường từ TT xã Tênh phông đến ngã ba Há Dùa (giai đoạn 1)</t>
  </si>
  <si>
    <t>xã Phình Sáng</t>
  </si>
  <si>
    <t>Đường vào bản Khúa Trá và bản Phiêng Hoa xã Phình Sáng</t>
  </si>
  <si>
    <t>Đường từ Km 5+ 75m (lối rẽ đi Thủy điện Long Tạo) đến bản Hua Mức 1, xã Pú Xi</t>
  </si>
  <si>
    <t>xã Pú Nhung</t>
  </si>
  <si>
    <t>Đường TT xã Pú Nhung - bản Phiêng Pi</t>
  </si>
  <si>
    <t>Đường từ bản Nà Sáy 1 đến Pa Cá, xã Nà Sáy</t>
  </si>
  <si>
    <t>Công trình khởi công mới 2020</t>
  </si>
  <si>
    <t>xã Rạng Đông</t>
  </si>
  <si>
    <t>Xã Tênh Phông</t>
  </si>
  <si>
    <t>xã Quài Nưa, Pú Nhung</t>
  </si>
  <si>
    <t>Đường QL279 - TT xã Pú Nhung</t>
  </si>
  <si>
    <t>Đường QL6 - bản Núm - bản Hốc</t>
  </si>
  <si>
    <t>168; 28/6/2017</t>
  </si>
  <si>
    <t>2017-2019</t>
  </si>
  <si>
    <t>xã Ta Ma</t>
  </si>
  <si>
    <t>Đường Háng Chua - Kể Cải</t>
  </si>
  <si>
    <t>131; 9/6/2017</t>
  </si>
  <si>
    <t>xã Mùn Chung</t>
  </si>
  <si>
    <t>Đường từ bản Phiêng Pẻn - Co Củ xã Mùn Chung</t>
  </si>
  <si>
    <t>Nhà ban giám hiệu và các công trình phụ trợ trường THCS Tênh Phông</t>
  </si>
  <si>
    <t>175; 14/6/2017</t>
  </si>
  <si>
    <t>Nhà ban giám hiệu và các công trình phụ trợ trường THCS Khong Hin</t>
  </si>
  <si>
    <t>100; 30/6/2017</t>
  </si>
  <si>
    <t>Nhà ban giám hiệu và các công trình phụ trợ trường TH Rạng Đông</t>
  </si>
  <si>
    <t>173; 14/6/2017</t>
  </si>
  <si>
    <t>Nhà ban giám hiệu và các công trình phụ trợ trường TH Nà Tòng</t>
  </si>
  <si>
    <t>99; 30/6/2017</t>
  </si>
  <si>
    <t>Nhà văn hoá xã Quài Tở</t>
  </si>
  <si>
    <t>88; 29/5/2017</t>
  </si>
  <si>
    <t>Nhà văn hoá xã Mường Thín</t>
  </si>
  <si>
    <t>Chương trình mục tiêu Quốc gia Xây dựng nông thôn mới</t>
  </si>
  <si>
    <t>CHƯƠNG TRÌNH MTQG</t>
  </si>
  <si>
    <t>A</t>
  </si>
  <si>
    <t>TỔNG SỐ</t>
  </si>
  <si>
    <t>TMĐT</t>
  </si>
  <si>
    <t>Quyết định đầu tư</t>
  </si>
  <si>
    <t>Thời gian KC-HT</t>
  </si>
  <si>
    <t>Địa điểm XD</t>
  </si>
  <si>
    <t>Danh mục dự án</t>
  </si>
  <si>
    <t>`</t>
  </si>
  <si>
    <t>Đơn vị: Triệu đồng</t>
  </si>
  <si>
    <t>(Kèm theo Báo cáo số       /BC-UBND ngày       tháng 11 năm 2019 của UBND huyện Tuần Giáo)</t>
  </si>
  <si>
    <t xml:space="preserve">KẾT QUẢ THỰC HIỆN VỐN ĐẦU TƯ PHÁT TRIỂN NGUỒN NSTW NĂM 2019
(VỐN TRONG NƯỚC KHÔNG BAO GỒM VỐN TPCP) </t>
  </si>
  <si>
    <t>Biểu số: 01</t>
  </si>
  <si>
    <t>Giảm vốn theo QĐ 838/QĐ-UBND tỉnh</t>
  </si>
  <si>
    <t>1350/QĐ-UBND ngày 28/10/2016</t>
  </si>
  <si>
    <t>Trường THCS xã Nà Sáy</t>
  </si>
  <si>
    <t>Các dự án chuyển tiếp hoàn thành sau năm 2018</t>
  </si>
  <si>
    <t>Điều chỉnh theo QĐ 769/QĐ-UBND ngày  14/06/2019 của UBND huyện Tuần Giáo</t>
  </si>
  <si>
    <t>Trường Mầm non An Bình, xã Mường Mùn</t>
  </si>
  <si>
    <t>Các dự án chuẩn bị đầu tư</t>
  </si>
  <si>
    <t>NGUỒN VỐN SỔ SỐ KIẾN THIẾT</t>
  </si>
  <si>
    <t>Danh mục trung hạn theo QĐ 1170</t>
  </si>
  <si>
    <t>Trường Mầm non Mường Mùn</t>
  </si>
  <si>
    <t>Điều chỉnh theo QĐ 769/QĐ-UBND ngày  14/06/2019 của UBND huyện Tuần Giáo; KHV 20tr theo QĐ 838/QĐ-UBND tỉnh</t>
  </si>
  <si>
    <t>Xã Quài Cang</t>
  </si>
  <si>
    <t>Đường QL6 - bản Kệt xã Quài Cang</t>
  </si>
  <si>
    <t>QĐ 1170</t>
  </si>
  <si>
    <t>Nâng cấp công trình Thủy lợi Nà Chua</t>
  </si>
  <si>
    <t>Khởi công mới 2020</t>
  </si>
  <si>
    <t>1457/QĐ-UBND ngày 17/11/2016</t>
  </si>
  <si>
    <t>Sửa chữa đường Mường Khong - Bản Huổi Nôm</t>
  </si>
  <si>
    <t>1455/QĐ-UBND ngày 17/11/2016</t>
  </si>
  <si>
    <t>Trụ sở xã Tênh Phông huyện Tuần Giáo</t>
  </si>
  <si>
    <t>326/QĐ-UBND ngày 14/4/2017</t>
  </si>
  <si>
    <t>Trụ sở xã Phình Sáng huyện Tuần Giáo</t>
  </si>
  <si>
    <t>1493/QĐ-UBND ngày 29/11/2016</t>
  </si>
  <si>
    <t>Xã Ta Ma</t>
  </si>
  <si>
    <t>Trụ sở xã Ta Ma huyện Tuần Giáo</t>
  </si>
  <si>
    <t>1352/QĐ-UBND ngày 28/10/2016</t>
  </si>
  <si>
    <t>Xã Tỏa Tình</t>
  </si>
  <si>
    <t>Trụ sở  xã Tỏa Tình huyện Tuần Giáo</t>
  </si>
  <si>
    <t>Xã Chiềng Đông</t>
  </si>
  <si>
    <t>Trường THCS xã Chiềng Đông huyện Tuần Giáo</t>
  </si>
  <si>
    <t>Trụ sở xã Chiềng Sinh huyện Tuần Giáo</t>
  </si>
  <si>
    <t>Xã Mùn Chung</t>
  </si>
  <si>
    <t>Trường MN Mùn Chung xã Mùn Chung</t>
  </si>
  <si>
    <t>Đường Trung tâm xã Rạng Đông – Bản Háng Á</t>
  </si>
  <si>
    <t>TT T.Giáo</t>
  </si>
  <si>
    <t>Trường Mầm non thị trấn Tuần Giáo</t>
  </si>
  <si>
    <t>Trường THCS xã Quài Cang huyện Tuần Giáo</t>
  </si>
  <si>
    <t>Thực hiện dự án</t>
  </si>
  <si>
    <t>NGUỒN VỐN CÂN ĐỐI NGÂN SÁCH ĐỊA PHƯƠNG</t>
  </si>
  <si>
    <t>Lũy kế giải ngân</t>
  </si>
  <si>
    <t>Năm 2019</t>
  </si>
  <si>
    <t>Lũy kế KL thực hiện</t>
  </si>
  <si>
    <t>Ghi chú</t>
  </si>
  <si>
    <t>KH 2020</t>
  </si>
  <si>
    <t>KLTH</t>
  </si>
  <si>
    <t>KH năm 2019</t>
  </si>
  <si>
    <t>TMDT</t>
  </si>
  <si>
    <t>TT</t>
  </si>
  <si>
    <t>KẾT QUẢ THỰC HIỆN VỐN ĐẦU TƯ PHÁT TRIỂN NGUỒN CÂN ĐỐI NSĐP  NĂM 2019</t>
  </si>
  <si>
    <t>Biểu số: 02</t>
  </si>
  <si>
    <t>Hệ thống tưới ẩm (cây ăn quả, cây công nghiệp) xã Rạng Đông</t>
  </si>
  <si>
    <t>xã Quài Cang
xã Toả Tình</t>
  </si>
  <si>
    <t>Khắc phục hậu quả thiên tai đường từ bản Sáng xã Quài Cang đến bản Chế Á xã Toả Tình</t>
  </si>
  <si>
    <t>TT Tuần Giáo</t>
  </si>
  <si>
    <t>Vỉa hè khối Tân Tiến - Thắng Lợi</t>
  </si>
  <si>
    <t>Nâng cấp đường khối Huổi Củ</t>
  </si>
  <si>
    <t>Đường nội thị khối Tân Giang</t>
  </si>
  <si>
    <t>Đường khối 20/7 - bản Đông</t>
  </si>
  <si>
    <t>Xã Pú Nhung</t>
  </si>
  <si>
    <t>Đường từ QL 279 - bản Xá Tự</t>
  </si>
  <si>
    <t>Đường vào bản Nà Đắng</t>
  </si>
  <si>
    <t>xã Chiềng Sinh</t>
  </si>
  <si>
    <t>Đường từ bản Hiệu - bản Phang</t>
  </si>
  <si>
    <t>Xây dựng cơ sở hạ tầng khu đất đấu giá QSD đất khối Trường Xuân (kho lương thực cũ)</t>
  </si>
  <si>
    <t>Vỉa hè khối Trường Xuân</t>
  </si>
  <si>
    <t>xã Toả Tình</t>
  </si>
  <si>
    <t>Sửa chữa, nâng cấp thuỷ lợi bản Lồng</t>
  </si>
  <si>
    <t>Đường bản Món - bản Hới Trong</t>
  </si>
  <si>
    <t>Đường từ bản Háng Tàu - QL 6 cũ</t>
  </si>
  <si>
    <t>Đường từ bản Hua Sa A - bản Chế Á</t>
  </si>
  <si>
    <t>Đường bản Kệt (khu dãn dân Púng Quái)</t>
  </si>
  <si>
    <t>Nâng cấp đường vào bản Phình Cứ</t>
  </si>
  <si>
    <t>Dự án chưa có QĐ giao danh mục, giao vốn</t>
  </si>
  <si>
    <t>Dự án dự kiến triển khai năm 2020 nhưng chưa được phân theo nguồn vốn</t>
  </si>
  <si>
    <t>Công trình dự kiến CBĐT và khởi công mới năm 2020</t>
  </si>
  <si>
    <t>E</t>
  </si>
  <si>
    <t>Khắc phục hậu quả thiên tai đường từ Phiêng Hin - bản Hua Sát</t>
  </si>
  <si>
    <t>Khắc phục hậu quả thiên tai đường từ ngã ba Há Dùa đến bản Há Dùa, xã Tênh Phông</t>
  </si>
  <si>
    <t>Khắc phục hậu quả thiên tai đường vào bản Sông Ia, xã Toả Tình</t>
  </si>
  <si>
    <t>Theo QĐ 1056/QĐ-UBND ngày 29/10/2019</t>
  </si>
  <si>
    <t>Vốn dự phòng NSĐP để khắc phục hậu quả thiên tai năm 2019</t>
  </si>
  <si>
    <t>D</t>
  </si>
  <si>
    <t>Xây dựng hà tầng khu Trung tâm mới xã Nà Tòng</t>
  </si>
  <si>
    <t>Xây dựng hạ tầng khu Trung tâm mới xã Quài Cang</t>
  </si>
  <si>
    <t>Trích đo bản đồ địa chính Trung tâm Đào tạo và phát triển cộng đồng huyện Tuần Giáo</t>
  </si>
  <si>
    <t>Giải phóng mặt bằng Khu tái định cư bãi số 3 xã Pú Xi</t>
  </si>
  <si>
    <t>Giải phóng mặt bằng bổ sung dự án Trường Mầm Non Mùn Chung</t>
  </si>
  <si>
    <t>Giải phóng mặt bằng bổ sung dự án Trụ sở tạm xã Pú Xi</t>
  </si>
  <si>
    <t>QĐ 1535/QĐ-UBND ngày 15/10/2019</t>
  </si>
  <si>
    <t>Giải phóng mặt bằng bổ sung dự án Nắn suối và tái định cư khu vực thị trấn Tuần Giáo</t>
  </si>
  <si>
    <t>Hỗ trợ GPMB các dự án</t>
  </si>
  <si>
    <t>Vốn dự phòng ngân sách huyện</t>
  </si>
  <si>
    <t>C</t>
  </si>
  <si>
    <t>Điều chỉnh cục bộ đồ án quy hoạch XDNTM xã Nà Tòng</t>
  </si>
  <si>
    <t>Điều chỉnh cục bộ đồ án quy hoạch XDNTM xã Quài Cang</t>
  </si>
  <si>
    <t>Bổ sung danh mục theo QĐ 310</t>
  </si>
  <si>
    <t>Khắc phục hậu quả thiên tai khu nội trú trường PTDTBT THCS Mùn Chung</t>
  </si>
  <si>
    <t>Các dự án bổ sung danh mục</t>
  </si>
  <si>
    <t>Cổng tường rào khu tưởng niệm Anh hùng Vừ A Dính và các liệt sỹ xã Pú Nhung</t>
  </si>
  <si>
    <t>Chợ Tỏa Tình</t>
  </si>
  <si>
    <t>Nhà làm việc UBND xã Mường Mùn</t>
  </si>
  <si>
    <t>Ban QLDA các công trình huyện</t>
  </si>
  <si>
    <t>Công trình khởi công mới năm 2019</t>
  </si>
  <si>
    <t>III.2</t>
  </si>
  <si>
    <t>Xã Mường Thín</t>
  </si>
  <si>
    <t>Công trình phụ trợ Nhà văn hóa xã Mường Thín</t>
  </si>
  <si>
    <t>Sửa chữa nhà làm việc Bảo hiểm xã hội (cũ)</t>
  </si>
  <si>
    <t>Sửa chữa nhà tập luyện + thi đấu cầu lông huyện</t>
  </si>
  <si>
    <t>Quy hoạch chi tiết khu du lịch suối khoáng nóng bản Sáng xã Quài Cang</t>
  </si>
  <si>
    <t>Trạm dừng nghỉ đèo Pha Đin</t>
  </si>
  <si>
    <t>Khắc phục hậu quả thiên tai công trình khu TĐC thị trấn Tuần Giáo</t>
  </si>
  <si>
    <t>Xây dựng cơ sở hạ tầng khu đất đấu giá  QSD đất khối Sơn Thuỷ (khu số 2)</t>
  </si>
  <si>
    <t>Xây dựng cơ sở hạ tầng khu đất đấu giá QSD đất khối Sơn thủy (giáp cây xăng)</t>
  </si>
  <si>
    <t>Công trình đang thực hiện</t>
  </si>
  <si>
    <t>III.1</t>
  </si>
  <si>
    <t>Sự nghiệp kinh tế khác</t>
  </si>
  <si>
    <t>Nâng cấp thủy lợi bản Bó Lếch + kênh bản Phiêng Pẻn</t>
  </si>
  <si>
    <t>Nâng cấp kênh nội đồng bản Che Phai + bản Kép</t>
  </si>
  <si>
    <t>Xã Quài Tở</t>
  </si>
  <si>
    <t>Nâng cấp kênh bản Ta và thủy lợi bản Hua Ca</t>
  </si>
  <si>
    <t>Xã Mường Thin</t>
  </si>
  <si>
    <t>Sửa chữa thuỷ lợi bản Thín B xã Mường Thín</t>
  </si>
  <si>
    <t>Xã Chiềng Sinh; Xã Rạng Đông</t>
  </si>
  <si>
    <t>Nắp kênh thủy lợi bản Hiệu và thủy lợi bản Nậm Mu</t>
  </si>
  <si>
    <t>II.2</t>
  </si>
  <si>
    <t>Thuỷ lợi bản Côm, bản Nát, xã Quài Cang</t>
  </si>
  <si>
    <t>NSH Trung tâm xã Tỏa Tình (trụ sở xã mới)</t>
  </si>
  <si>
    <t>Sửa chữa, khắc phục hậu quả thiên tai Thủy lợi bản Hán xã Quài Cang</t>
  </si>
  <si>
    <t>Cấp nước Trạm dừng nghỉ đèo Pha Đin</t>
  </si>
  <si>
    <t>KCH kênh nội đồng bản Ban, bản Món</t>
  </si>
  <si>
    <t>Sửa chữa nâng cấp thủy lợi Pom sinh</t>
  </si>
  <si>
    <t>II.1</t>
  </si>
  <si>
    <t>Sự nghiệp thủy lợi</t>
  </si>
  <si>
    <t>Nâng cấp đường QL6 - bản Huổi Cáy</t>
  </si>
  <si>
    <t>Nâng cấp đường bản Đứa - bản Pậu</t>
  </si>
  <si>
    <t>Nâng cấp cầu vào bản Thẩm Pao (02 cầu)</t>
  </si>
  <si>
    <t>Nâng cấp ngầm tràn bản Món</t>
  </si>
  <si>
    <t>Nâng cấp đường từ bản Phiêng Pi B - bản Tênh Lá</t>
  </si>
  <si>
    <t>Nâng cấp đường vào bản Trung Dình</t>
  </si>
  <si>
    <t>Nâng cấp đường vào bản Khó Bua, bản Xá Tự</t>
  </si>
  <si>
    <t>Nâng cấp đường từ bản Nà Chua - bản Huổi Cáy</t>
  </si>
  <si>
    <t>Đường bản Lồng - bản Tỏa Tình xã Tỏa Tình (GĐ II)</t>
  </si>
  <si>
    <t>Đường bản Lồng - QL6 xã Tòa Tỉnh</t>
  </si>
  <si>
    <t>Đường Háng Chua - Nà Đắng</t>
  </si>
  <si>
    <t>I.2</t>
  </si>
  <si>
    <t>Đường từ bản Nong Giáng - bản Mạ Khúa</t>
  </si>
  <si>
    <t>Đường từ bản Chạng - bản Phủ</t>
  </si>
  <si>
    <t>Đường bản Sái Ngoài - Sái Trong</t>
  </si>
  <si>
    <t>Đường từ QL6 - bản Cắm</t>
  </si>
  <si>
    <t>Đường QL6 - bản Cạn</t>
  </si>
  <si>
    <t>Đường QL279 - bản Co Muông, Co Sáng</t>
  </si>
  <si>
    <t>Đường QL6 - bản Lọng Lươm</t>
  </si>
  <si>
    <t>Đường giao thông bản Hán - bản Chạng</t>
  </si>
  <si>
    <t>Đường bản Lồng - bản Tỏa Tình xã Tỏa Tình</t>
  </si>
  <si>
    <t>I.1</t>
  </si>
  <si>
    <t>Sự nghiệp giao thông</t>
  </si>
  <si>
    <t>Vốn sự nghiệp</t>
  </si>
  <si>
    <t>Vỉa hè khối Tân Thủy</t>
  </si>
  <si>
    <t>Hạ tầng khu đất xen kẹt khối Tân Giang</t>
  </si>
  <si>
    <t>Xây dựng cơ sở hạ tầng khu đất đấu giá QSD đất Trạm bảo vệ thực vật</t>
  </si>
  <si>
    <t>Tổ chức phát triển quỹ đất</t>
  </si>
  <si>
    <t>Đường + ngầm từ khối Tân Tiến đến bản Chiềng An</t>
  </si>
  <si>
    <t>Dự án bổ sung danh mục</t>
  </si>
  <si>
    <t>Xây dựng cơ sở hạ tầng khu đất đấu giá QSD đất khu trung tâm xã Chiềng Đông</t>
  </si>
  <si>
    <t>Đường từ Sân vận động - huyện đội - QL6 và trận địa phòng không</t>
  </si>
  <si>
    <t>Huyện hưởng</t>
  </si>
  <si>
    <t>Vốn đầu tư từ nguồn đấu giá QSD đất</t>
  </si>
  <si>
    <t>Q.Tở hưởng</t>
  </si>
  <si>
    <t>Q.Tở thu</t>
  </si>
  <si>
    <t>TỔNG CỘNG</t>
  </si>
  <si>
    <t>TT T.Giáo hưởng</t>
  </si>
  <si>
    <t>TT T.Giáo thu</t>
  </si>
  <si>
    <t>Lũy kế KL thực hiên</t>
  </si>
  <si>
    <t>Giải ngân</t>
  </si>
  <si>
    <t>Kế hoạch vốn năm 2019</t>
  </si>
  <si>
    <t>Địa điểm xây dựng</t>
  </si>
  <si>
    <t>Tên công trình</t>
  </si>
  <si>
    <t>Số TT</t>
  </si>
  <si>
    <t>KẾT QUẢ THỰC HIỆN VỐN TỪ NGUỒN CÂN ĐỐI NGÂN SÁCH  NĂM 2019</t>
  </si>
  <si>
    <t>Biểu số: 03</t>
  </si>
  <si>
    <t>Thủy lợi bản Cuông xã Quài Cang</t>
  </si>
  <si>
    <t>Nâng cấp thủy lợi bản Phang</t>
  </si>
  <si>
    <t>Nâng cấp thủy lợi bản Sảo</t>
  </si>
  <si>
    <t>Nâng cấp đường QL6 - bản Bông</t>
  </si>
  <si>
    <t>Lũy kế TTGN</t>
  </si>
  <si>
    <t>Lũy kế KLTH</t>
  </si>
  <si>
    <t>KH vốn năm 2019</t>
  </si>
  <si>
    <t xml:space="preserve">KẾT QUẢ THỰC HIỆN NGUỒN VỐN HỖ TRỢ ĐẤT LÚA  NĂM 2019 </t>
  </si>
  <si>
    <t>Biểu số: 04</t>
  </si>
  <si>
    <t xml:space="preserve">Xã Quài Cang, Quài Nưa, Nà Tòng </t>
  </si>
  <si>
    <t xml:space="preserve">Cải tạo, sửa chữa trường Mầm non Hoa Mai, TH Nà Tòng, TH số 1 Quài Nưa </t>
  </si>
  <si>
    <t>Xã Ta Ma; Mường Mùn</t>
  </si>
  <si>
    <t>Cải tạo, sửa chữa trường PTDTBT THCS Mường Mùn</t>
  </si>
  <si>
    <t xml:space="preserve">Xã Chiêng sinh, Chiêng Đông </t>
  </si>
  <si>
    <t>Cải tạo, sửa chữa trường Mầm non Chiềng Sinh, Mầm non Bình Minh</t>
  </si>
  <si>
    <t>Xã Nà Sáy, Mường Thín, Tỏa Tình</t>
  </si>
  <si>
    <t>Cải tạo, sửa chữa trường Mầm non Nà Sáy; THCS Mường Thín; THCS Tỏa Tình</t>
  </si>
  <si>
    <t>Số     /QĐUB ngày    /10/2017</t>
  </si>
  <si>
    <t>2018 - 2019</t>
  </si>
  <si>
    <t xml:space="preserve">Cải tạo, sửa chữa phòng học </t>
  </si>
  <si>
    <t>Cải tạo, sửa chữa điểm trường ĐôRêMon trường MN Thị trấn (TT dạy nghề cũ)</t>
  </si>
  <si>
    <t>Số     /QĐUB ngày   /10/2017</t>
  </si>
  <si>
    <t xml:space="preserve">Sửa chữa nhà 2 tầng </t>
  </si>
  <si>
    <t>Cải tạo, sửa chữa trường THCS Thị trấn</t>
  </si>
  <si>
    <t>Số 118/QĐUB ngày 30/10/2017</t>
  </si>
  <si>
    <t>Nhà CV 4p, nhà Nội trú 5 p, Nhà HB, thư viện 4 p, WC, bếp.</t>
  </si>
  <si>
    <t xml:space="preserve">Xây dựng nhà công vụ, nhà nội trú và bổ sung hạng mục phụ trợ  trường TH Pú Xi </t>
  </si>
  <si>
    <t>số 105/QĐUB ngày 23/10/2017</t>
  </si>
  <si>
    <t xml:space="preserve">SC nhà lớp học 2 tầng, nhà hiệu bộ, xây tầng 2 nhà hiệu bộ, hạng mục phụ trợ. </t>
  </si>
  <si>
    <t xml:space="preserve">Xã Quài Cang </t>
  </si>
  <si>
    <t xml:space="preserve">Cải tạo, sửa chữa trường Tiểu học  số 1 Quài Cang </t>
  </si>
  <si>
    <t>số 116/QĐUB ngày 24/10/2017</t>
  </si>
  <si>
    <t>2017 - 2018</t>
  </si>
  <si>
    <t>Sửa chữa Nhà lớp học 4p, nhà 1 tầng  nhà nội trú, WC, hàng rào, ….</t>
  </si>
  <si>
    <t xml:space="preserve">Xã Tỏa Tình, xã Chiềng Sinh </t>
  </si>
  <si>
    <t xml:space="preserve">Cải tạo, sửa chữa các trường Tiểu học Tỏa Tình, tiểu học Chiềng Sinh  </t>
  </si>
  <si>
    <t>Số 118/QĐUB ngày 24/10/2017</t>
  </si>
  <si>
    <t>SC 2 nhà lớp học 2 p, nhà lớp học 2 tầng, W, xây bể nước TH Pú Nhung; SC 3 nhà lớp học 2p, làm sân khấu, WC TH số 2 QN</t>
  </si>
  <si>
    <t xml:space="preserve">Xã Quài Nưa, xã Pú Nhung  </t>
  </si>
  <si>
    <t>Cải tạo, sửa chữa các trường Tiểu học Pú Nhung , tiểu học số 2 Quài Nưa</t>
  </si>
  <si>
    <t>Số 117/QĐUB ngày 24/10/2017</t>
  </si>
  <si>
    <t>2017 - 2019</t>
  </si>
  <si>
    <t xml:space="preserve">Xây mới Nhà lớp học 3p, SC nhà lớp học 5 p </t>
  </si>
  <si>
    <t xml:space="preserve">Xã Mường Thín </t>
  </si>
  <si>
    <t xml:space="preserve">Cải tạo, nâng cấp trường Tiểu học Mường Thín, Bình Minh  </t>
  </si>
  <si>
    <t>Số 109/QĐUB ngày 16/10/2017</t>
  </si>
  <si>
    <t>Xây mới nhà hiệu bộ 5p, bếp 3 gian, WC, sủa chữa nhà công vụ, hạng mục phụ trợ</t>
  </si>
  <si>
    <t xml:space="preserve">Bổ sung hạng mục phụ trợ trường Mầm non Sao Mai </t>
  </si>
  <si>
    <t>Số 113/QĐUB ngày 18/10/2017</t>
  </si>
  <si>
    <t>SC 2 Nhà lớp học 2 p, nhà hiệu bộ, nhà công vụ, WC, Lớp học 2 p, WC, MN QN; nhà lớp học 5P MN Họa Mi</t>
  </si>
  <si>
    <t>Xã Quài Tở, xã Quài Nưa</t>
  </si>
  <si>
    <t>Cải tạo, sửa chữa trường Mầm non Họa Mi, Mầm non Quài Nưa</t>
  </si>
  <si>
    <t xml:space="preserve">Số  249/QĐUB ngày 30/6/2017 </t>
  </si>
  <si>
    <t xml:space="preserve">Nhà lớp học 2 p </t>
  </si>
  <si>
    <t xml:space="preserve">Cải tạo, nâng cấp điểm trường Kề cải trường MN Ta Ma  </t>
  </si>
  <si>
    <t>Số  237/QĐUB ngày 30/6/2017</t>
  </si>
  <si>
    <t>Nhà lớp học 2 tầng 6p, nhà bảo vệ, WC, hạng mục phụ trợ</t>
  </si>
  <si>
    <t xml:space="preserve">Cải tạo, nâng cấp trường PTDTBT THCS Mùn Chung </t>
  </si>
  <si>
    <t>Số  92/QĐUB ngày 26/5/2017</t>
  </si>
  <si>
    <t>Nhà lớp học 2p, nhà làm việc 4 gian, WC, hạng mục phụ trợ</t>
  </si>
  <si>
    <t xml:space="preserve">Cải tạo nâng cấp trường Mầm non Mùn Chung </t>
  </si>
  <si>
    <t xml:space="preserve">Số  91/QĐUB ngày 30/5/2017 </t>
  </si>
  <si>
    <t>Kè dá tà luy, hạng mục phụ trợ,…</t>
  </si>
  <si>
    <t xml:space="preserve">Xây dựng trường PTDTBT THCS Pú Xi </t>
  </si>
  <si>
    <t xml:space="preserve">Số  71/QĐUB ngày 26/4/2017 </t>
  </si>
  <si>
    <t xml:space="preserve">Nhà hiệu bộ, nhà lớp học 2p, SC nhà lớp học 4p, hạng mục phụ trợ </t>
  </si>
  <si>
    <t xml:space="preserve">Cải tạo nâng cấp trường TH Nậm Mức </t>
  </si>
  <si>
    <t>LKGN</t>
  </si>
  <si>
    <t>9 Tháng</t>
  </si>
  <si>
    <t>Tháng 9</t>
  </si>
  <si>
    <t>Tháng 6</t>
  </si>
  <si>
    <t>3 Tháng</t>
  </si>
  <si>
    <t>Tháng 3</t>
  </si>
  <si>
    <t>7 tháng</t>
  </si>
  <si>
    <t>Tháng 7</t>
  </si>
  <si>
    <t>8 tháng</t>
  </si>
  <si>
    <t>Tháng 8</t>
  </si>
  <si>
    <t>9 tháng</t>
  </si>
  <si>
    <t xml:space="preserve"> tháng 10</t>
  </si>
  <si>
    <t>10 tháng</t>
  </si>
  <si>
    <t>Ước tháng 11+12</t>
  </si>
  <si>
    <t>Cả năm 2018</t>
  </si>
  <si>
    <t>4 Tháng</t>
  </si>
  <si>
    <t>Tháng 4</t>
  </si>
  <si>
    <t>Quý I năm 2018</t>
  </si>
  <si>
    <t>Tháng 03</t>
  </si>
  <si>
    <t xml:space="preserve"> Tháng 10</t>
  </si>
  <si>
    <t>10 Tháng</t>
  </si>
  <si>
    <t>Giảm (-)</t>
  </si>
  <si>
    <t>Tăng (+)</t>
  </si>
  <si>
    <t>Ước giải ngân 3 tháng cuối năm</t>
  </si>
  <si>
    <t>Nợ năm 2020</t>
  </si>
  <si>
    <t>Khối lượng thực hiện</t>
  </si>
  <si>
    <t>Kế hoạch vốn 2019</t>
  </si>
  <si>
    <t>Lũy kế giải ngân đến 31/12/2018</t>
  </si>
  <si>
    <t>Giá trị giải ngân</t>
  </si>
  <si>
    <t>Giá trị KLTH từ KC đến 31/12/2018</t>
  </si>
  <si>
    <t>KH vốn năm 2018</t>
  </si>
  <si>
    <t xml:space="preserve">Lũy kế giải ngân </t>
  </si>
  <si>
    <t xml:space="preserve">Kế hoạch vốn điều chỉnh bổ sung </t>
  </si>
  <si>
    <t>Tổng vốn giao 2017</t>
  </si>
  <si>
    <t>Số QĐ, ngày, tháng, năm ban hành</t>
  </si>
  <si>
    <t>Năng lực thiết kế</t>
  </si>
  <si>
    <t xml:space="preserve">Địa điểm xây dựng </t>
  </si>
  <si>
    <t>THỰC HIỆN VỐN SỰ NGHIỆP GIÁO DỤC VÀ ĐÀO TẠO 9 THÁNG ĐẦU NĂM 2019</t>
  </si>
  <si>
    <t>Biểu số: 05</t>
  </si>
  <si>
    <t>Kế hoạch năm 2019</t>
  </si>
  <si>
    <t>Tỷ lệ GN</t>
  </si>
  <si>
    <t>Lũy kế từ 01/01/2016</t>
  </si>
  <si>
    <t>Lũy kế từ 01/01/2017</t>
  </si>
  <si>
    <t>Tháng 3/2017</t>
  </si>
  <si>
    <t>Lũy kế TTGN từ khởi công</t>
  </si>
  <si>
    <t>Năm 2018</t>
  </si>
  <si>
    <t>Lũy kế KLTH từ khởi công</t>
  </si>
  <si>
    <t>KH vốn giao 2016</t>
  </si>
  <si>
    <t>Năm 2017</t>
  </si>
  <si>
    <t>9 tháng đầu năm</t>
  </si>
  <si>
    <t>8 tháng đầu năm</t>
  </si>
  <si>
    <t>7 tháng đầu năm</t>
  </si>
  <si>
    <t>6 tháng đầu năm</t>
  </si>
  <si>
    <t>4 tháng đầu năm</t>
  </si>
  <si>
    <t>T4</t>
  </si>
  <si>
    <t>3 tháng đầu năm 2017</t>
  </si>
  <si>
    <t>Tháng 01</t>
  </si>
  <si>
    <t>Nhu cầu vốn 2019</t>
  </si>
  <si>
    <t>Giái trị giải ngân</t>
  </si>
  <si>
    <t>Vốn cần bổ sung 2018</t>
  </si>
  <si>
    <t>Vốn thiếu</t>
  </si>
  <si>
    <t>Nhu cầu vốn bổ sung</t>
  </si>
  <si>
    <t>Vốn còn dư</t>
  </si>
  <si>
    <t>Thanh toán giải ngân</t>
  </si>
  <si>
    <t>Tình hình thực hiện giải ngân KH vốn năm 2016</t>
  </si>
  <si>
    <t>Lũy kế vốn giao đến 30/11/2016</t>
  </si>
  <si>
    <t>KH vốn giao năm 2016</t>
  </si>
  <si>
    <t>Lũy kế vốn giao đến 31/12/2015</t>
  </si>
  <si>
    <t>Thời gian          KC-HT</t>
  </si>
  <si>
    <t>Đơn vị tính: Triệu đồng</t>
  </si>
  <si>
    <t>Nguồn vốn TPCP thực hiện Chương trình Kiên cố hóa trường lớp học mẫu giáo, tiểu học</t>
  </si>
  <si>
    <t>Nhà lớp học các trường MN: Hoa Ban, Quài Nưa, Pú Xi - huyện Tuần Giáo</t>
  </si>
  <si>
    <t>Nhà lớp học các trường MN: Phình Sáng, Ta Ma, Quài Cang - huyện Tuần Giáo</t>
  </si>
  <si>
    <t>Nguồn vốn bảo trì đường bộ</t>
  </si>
  <si>
    <t>Sửa chữa hư hỏng nền mặt đường, rãnh thoát nước và công trình phòng hộ công trình Nà Sáy - Mường Thín, huyện Tuần Giáo.</t>
  </si>
  <si>
    <t xml:space="preserve">KẾT QUẢ THỰC HIỆN NGUỒN VỐN TPCP VÀ VỐN TỪ QUỸ BẢO TRÌ ĐƯỜNG BỘ NĂM 2019 </t>
  </si>
  <si>
    <t>Đường từ QL6A đến khu định cư Hua Mức 1, Hua Mức 2 xã Pu xi đến tái định cư tại bản Hua Mức 2 xã Mường Mùn, huyện Tuần Giáo</t>
  </si>
  <si>
    <t>KHV</t>
  </si>
  <si>
    <t>G.ngân</t>
  </si>
  <si>
    <t>Tỷ lệ G.ngân</t>
  </si>
  <si>
    <t>IV</t>
  </si>
  <si>
    <t>Sự nghiệp 293</t>
  </si>
  <si>
    <t>-</t>
  </si>
  <si>
    <t>Điểm trường mầm non Chiềng Ban, xã Mùn Chung</t>
  </si>
  <si>
    <t>Đường giao thông từ bản Cộng đến bản Phang xã Chiềng Đông</t>
  </si>
  <si>
    <t>Đường giao thông bản Nậm Din - Háng Khúa, xã Phình Sáng</t>
  </si>
  <si>
    <t>Đường giao thông từ ngã ba Pa Cá đến bản Nậm Cá</t>
  </si>
  <si>
    <t>Dự án đã hoàn thành</t>
  </si>
  <si>
    <t>Trường Mầm non Mường Thín huyện Tuần Giáo</t>
  </si>
  <si>
    <t>Đường giao thông từ QL 6A - Khu tái định cư bản Hua Mức 2 thuộc dự án đầu tư di chuyển dân cư nơi nguy cơ sạt lở cao, đời sống đặc biệt khó khăn thuộc các bản Hua Mức 1, Hua Mức 2, Pu Si đến tái định cư tại bản Hua Mức 2 xã Mường Mùn - huyện Tuần Giáo</t>
  </si>
  <si>
    <t>Xã Pú Xi, Xã Mường Mùn</t>
  </si>
  <si>
    <t>Trường mầm non Sao Mai, huyện Tuần Giáo</t>
  </si>
  <si>
    <t>Trường mầm non Pú Nhung, huyện Tuần Giáo</t>
  </si>
  <si>
    <t>Trường mầm non Tênh Phông, huyện Tuần Giáo</t>
  </si>
  <si>
    <t>Trường mầm non Nà Sáy, huyện Tuần Giáo</t>
  </si>
  <si>
    <t>Trường mầm non Khong Hin, huyện Tuần Giáo</t>
  </si>
  <si>
    <t xml:space="preserve">Nhà lớp học các trường PTDTBT tiểu học Rạng Đông, Tênh Phông các trường tiểu học Khong Hin, Mùn Chung, Nà Tòng, Nậm Mức </t>
  </si>
  <si>
    <t>Hỗ trợ đối ứng ODA</t>
  </si>
  <si>
    <t>Đường Rạng Đông - Ta Ma huyện Tuần Giáo</t>
  </si>
  <si>
    <t>Đường Phiêng Pi - Trại Phong huyện Tuần Giáo</t>
  </si>
  <si>
    <t>Trung tâm đào tạo &amp; phát triển cộng đồng huyện Tuần Giáo</t>
  </si>
  <si>
    <t>Khắc phục hậu quả thiên tai đường Rạng Đông - Ta Ma</t>
  </si>
  <si>
    <t>Khắc phục hậu quả thiên tai ngầm tràn Co Sáng, cống bản Chăn</t>
  </si>
  <si>
    <t>Khắc phục hậu quả thiên tai ngầm tràn bản Phung</t>
  </si>
  <si>
    <t>Đường + san nền khu trung tâm xã Phình Sáng</t>
  </si>
  <si>
    <t>Xã Rạng Đông; Ta Ma</t>
  </si>
  <si>
    <t>Thủy lợi Huổi Pháy bản Ban xã Quài Tở</t>
  </si>
  <si>
    <t>Thủy lợi bản Chạng</t>
  </si>
  <si>
    <t>Thủy lợi bản Phủ</t>
  </si>
  <si>
    <t>Khắc phục hậu quả thiên tai kênh thủy lợi bản Hiệu</t>
  </si>
  <si>
    <t>Sửa chữa nâng cấp thủy lợi bản Lói bản Ngúa xã Quài Tở</t>
  </si>
  <si>
    <t>Kè bảo vệ khu dân cư và UBND xã Chiềng Sinh</t>
  </si>
  <si>
    <t>Quy hoạch chi tiết thị trấn Tuần Giáo</t>
  </si>
  <si>
    <t>Quy hoạch chi tiết khu trung tâm xã Chiềng Đông</t>
  </si>
  <si>
    <t>Đường + san nền khu trung tâm xã Tỏa Tình</t>
  </si>
  <si>
    <t>Sửa chữa Nhà văn hóa huyện</t>
  </si>
  <si>
    <t>Hỗ trợ đền bù GPMB trường THCS xã Nà Sáy</t>
  </si>
  <si>
    <t>Đền bù GPMB trụ sở xã Chiềng Sinh</t>
  </si>
  <si>
    <t>Sửa chữa trung tâm GDGN-GDTX</t>
  </si>
  <si>
    <t>Đường bản Ta bản Pậu</t>
  </si>
  <si>
    <t>xã Quài tở</t>
  </si>
  <si>
    <t>Đường bản Sáng bản Cưởm</t>
  </si>
  <si>
    <t>Xã Mường Khong; Mùn Chung; Nà Tòng; Pu Xi</t>
  </si>
  <si>
    <t>Quài Tở; Quài Nưa; Pú Xi</t>
  </si>
  <si>
    <t>Phình Sáng; Ta Ma; Quài Cang</t>
  </si>
  <si>
    <t>Xã Nà Sáy - Mường Thín</t>
  </si>
  <si>
    <t>Xã Pú Nhung; Rạng Đông</t>
  </si>
  <si>
    <t>Công trình vốn đất lúa nhưng được ghi chuyển nguồn vốn SN giao thông</t>
  </si>
  <si>
    <t xml:space="preserve">Vốn kéo dài </t>
  </si>
  <si>
    <t>Theo biểu điều chỉnh</t>
  </si>
  <si>
    <t>TB số 02/TB-UBND ngày 24/1/2019</t>
  </si>
  <si>
    <t>Vốn điều chỉnh theo tờ trình điều chỉnh</t>
  </si>
  <si>
    <t>Nhà văn hóa xã Nà Tòng</t>
  </si>
  <si>
    <t>UBND xã Tênh Phông</t>
  </si>
  <si>
    <t>Nhà văn hóa xã Tênh Phông</t>
  </si>
  <si>
    <t>UBND xã Mường Mùn</t>
  </si>
  <si>
    <t>Nhà văn hoá xã Mường Mùn</t>
  </si>
  <si>
    <t>Nhà văn hoá: Bản Huổi Lốt; bản Mường 1 + 2 + 3 (2 nhà)</t>
  </si>
  <si>
    <t>Nhà văn hóa xã Quài Nưa</t>
  </si>
  <si>
    <t>xã Quài Nưa</t>
  </si>
  <si>
    <t>UBND xã Quài Tở</t>
  </si>
  <si>
    <t>BT mặt đường, Kè chắn đất đường từ QL279 đi bản Hới (địa phận bản Ban, bản Hới), xã Quài Tở</t>
  </si>
  <si>
    <t>UBND xã Mường Thín</t>
  </si>
  <si>
    <t>Nhà văn hoá bản Thín B, xã Mường Thín</t>
  </si>
  <si>
    <t>Đường BT nội bản Chứn xã Mường Thín</t>
  </si>
  <si>
    <t>UBND xã Quài Cang</t>
  </si>
  <si>
    <t>Đường  giao thông từ bản Sáng đến bản Ten Cá xã Quài Cang</t>
  </si>
  <si>
    <t>Nhà văn hóa xã Quài Cang</t>
  </si>
  <si>
    <t>UBND xã Chiềng Đông</t>
  </si>
  <si>
    <t>Đường QL 279 - bản Cộng</t>
  </si>
  <si>
    <t>Nhà văn hóa xã Chiềng Đông</t>
  </si>
  <si>
    <t>UBND xã Mường Khong</t>
  </si>
  <si>
    <t>Nhà văn hóa xã Mường Khong</t>
  </si>
  <si>
    <t>UBND xã Rạng Đông</t>
  </si>
  <si>
    <t>Đường BT nội bản Noong Luông</t>
  </si>
  <si>
    <t xml:space="preserve">* </t>
  </si>
  <si>
    <t>Đường giao thông từ QL6 đến bản Lọng Hống xã Quài Nưa</t>
  </si>
  <si>
    <t>Điểm trường MN bản Hốc, bản Hỏm xã Mường Mùn</t>
  </si>
  <si>
    <t>Nhà văn hoá bản Co Đứa xã Mường Khong</t>
  </si>
  <si>
    <t>Kế hoạch vốn năm 2020</t>
  </si>
  <si>
    <t>Công trình Dự kiến năm 2020</t>
  </si>
  <si>
    <t>Cải tạo, sửa chữa Trường MN Ta Ma; PTDTBT THCS Ta Ma</t>
  </si>
  <si>
    <t>Cải tạo, sửa chữa trường TH Phình Sáng; TH Nậm Din</t>
  </si>
  <si>
    <t>Xã  Phình Sáng</t>
  </si>
  <si>
    <t>Cải tạo, sửa chữa trường THCS Rạng Đông; THCS Vừ A Dính</t>
  </si>
  <si>
    <t>Xã Rạng Đông; Pú Nhung</t>
  </si>
  <si>
    <t>Cải tạo, sửa chữa trường Mầm non Hoa Sen; TH số 2 Quài Cang</t>
  </si>
  <si>
    <t>Xã Quài Tở; Quài Cang</t>
  </si>
  <si>
    <t>Cải tạo, sửa chữa trường TH Mường Mùn</t>
  </si>
  <si>
    <t>Nghị quyết 16/NQ-HĐND</t>
  </si>
  <si>
    <t>Nghị quyết số 16/NQ-HĐND</t>
  </si>
  <si>
    <t>Quyết định 769/QĐ-UBND</t>
  </si>
  <si>
    <t>QĐ số 1535 ngày 15/10/2019</t>
  </si>
  <si>
    <t>QĐ số 838 ngày 06/9/2019</t>
  </si>
  <si>
    <t>QĐ số 1060 ngày 28/8/2019</t>
  </si>
  <si>
    <t>Đang xin điều chỉnh</t>
  </si>
  <si>
    <t xml:space="preserve">QĐ số 1632 ngày 30/10/2019 (vốn chuyển nguồn) </t>
  </si>
  <si>
    <t>QĐ số 310 ngày 22/4/2019</t>
  </si>
  <si>
    <t>QĐ 1056/QĐ-UBND ngày 29/10/2019</t>
  </si>
  <si>
    <t>QĐ số 168 ngày 15/3/2019</t>
  </si>
  <si>
    <t>Thông báo 02 ngày 24/01/2019</t>
  </si>
  <si>
    <t>Vốn trả nợ</t>
  </si>
  <si>
    <t>Vốn kéo dài</t>
  </si>
  <si>
    <t>Giao ban đầu tai QĐ 1228 ngày 11/12/2017  tự dộng kéo dài từ 2018 sang 2019)</t>
  </si>
  <si>
    <t>Giao ban đầu 2,600 tai QĐ 1228 ngày 11/12/2017  tự dộng kéo dài từ 2018 sang 2019)</t>
  </si>
  <si>
    <t>Văn phòng HĐND-UBND huyện</t>
  </si>
  <si>
    <t>Sửa chữa Nhà khách UBND huyện</t>
  </si>
  <si>
    <t>QĐ số 72 ngày 1/7/2019: 1.369,4 trđ; QĐ 74 ngày 30/7/2019: 4.477,6</t>
  </si>
  <si>
    <t>Trả nợ vốn ứng trước</t>
  </si>
  <si>
    <t>Biểu số: 06</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</si>
</sst>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_(* #,##0.0_);_(* \(#,##0.0\);_(* &quot;-&quot;??_);_(@_)"/>
    <numFmt numFmtId="176" formatCode="_(* #,##0.0_);_(* \(#,##0.0\);_(* &quot;-&quot;?_);_(@_)"/>
    <numFmt numFmtId="177" formatCode="_(* #,##0_);_(* \(#,##0\);_(* &quot;-&quot;??_);_(@_)"/>
    <numFmt numFmtId="178" formatCode="_(* #,##0.0_);_(* \(#,##0.0\);_(* &quot;-&quot;???_);_(@_)"/>
    <numFmt numFmtId="179" formatCode="_(* #,##0.000_);_(* \(#,##0.000\);_(* &quot;-&quot;??_);_(@_)"/>
    <numFmt numFmtId="180" formatCode="_(* #,##0.000_);_(* \(#,##0.000\);_(* &quot;-&quot;???_);_(@_)"/>
    <numFmt numFmtId="181" formatCode="_(* #,##0.0000_);_(* \(#,##0.0000\);_(* &quot;-&quot;??_);_(@_)"/>
  </numFmts>
  <fonts count="42">
    <font>
      <sz val="12"/>
      <name val="Times New Roman"/>
      <family val="0"/>
    </font>
    <font>
      <sz val="11"/>
      <color indexed="8"/>
      <name val="Calibri"/>
      <family val="2"/>
    </font>
    <font>
      <sz val="12"/>
      <color indexed="10"/>
      <name val="Times New Roman"/>
      <family val="1"/>
    </font>
    <font>
      <b/>
      <sz val="12"/>
      <name val="Times New Roman"/>
      <family val="1"/>
    </font>
    <font>
      <b/>
      <sz val="12"/>
      <color indexed="10"/>
      <name val="Times New Roman"/>
      <family val="1"/>
    </font>
    <font>
      <b/>
      <sz val="11"/>
      <name val="Calibri"/>
      <family val="2"/>
    </font>
    <font>
      <sz val="11"/>
      <name val="Calibri"/>
      <family val="2"/>
    </font>
    <font>
      <b/>
      <sz val="10"/>
      <name val="Times New Roman"/>
      <family val="1"/>
    </font>
    <font>
      <sz val="10"/>
      <name val="Arial"/>
      <family val="2"/>
    </font>
    <font>
      <sz val="13"/>
      <name val="Times New Roman"/>
      <family val="1"/>
    </font>
    <font>
      <sz val="10"/>
      <name val="Times New Roman"/>
      <family val="1"/>
    </font>
    <font>
      <sz val="11"/>
      <color indexed="8"/>
      <name val="Arial"/>
      <family val="2"/>
    </font>
    <font>
      <sz val="14"/>
      <name val="Times New Roman"/>
      <family val="1"/>
    </font>
    <font>
      <sz val="12"/>
      <name val=".VnTime"/>
      <family val="2"/>
    </font>
    <font>
      <b/>
      <sz val="14"/>
      <name val="Times New Roman"/>
      <family val="1"/>
    </font>
    <font>
      <b/>
      <sz val="10"/>
      <color indexed="8"/>
      <name val="Times New Roman"/>
      <family val="1"/>
    </font>
    <font>
      <b/>
      <i/>
      <sz val="12"/>
      <name val="Times New Roman"/>
      <family val="1"/>
    </font>
    <font>
      <b/>
      <i/>
      <sz val="10"/>
      <name val="Times New Roman"/>
      <family val="1"/>
    </font>
    <font>
      <i/>
      <sz val="12"/>
      <name val="Times New Roman"/>
      <family val="1"/>
    </font>
    <font>
      <b/>
      <u val="single"/>
      <sz val="12"/>
      <name val="Times New Roman"/>
      <family val="1"/>
    </font>
    <font>
      <b/>
      <sz val="9"/>
      <name val="Tahoma"/>
      <family val="2"/>
    </font>
    <font>
      <sz val="9"/>
      <name val="Tahoma"/>
      <family val="2"/>
    </font>
    <font>
      <sz val="10"/>
      <color indexed="8"/>
      <name val="Times New Roman"/>
      <family val="1"/>
    </font>
    <font>
      <sz val="8"/>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Times New Roman"/>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style="double"/>
    </border>
    <border>
      <left style="thin"/>
      <right style="thin"/>
      <top style="thin"/>
      <bottom style="thin"/>
    </border>
    <border>
      <left>
        <color indexed="63"/>
      </left>
      <right style="thin"/>
      <top style="thin"/>
      <bottom style="thin"/>
    </border>
    <border>
      <left style="thin"/>
      <right style="thin"/>
      <top>
        <color indexed="63"/>
      </top>
      <bottom style="hair"/>
    </border>
    <border>
      <left>
        <color indexed="63"/>
      </left>
      <right>
        <color indexed="63"/>
      </right>
      <top>
        <color indexed="63"/>
      </top>
      <bottom style="thin"/>
    </border>
    <border>
      <left style="thin"/>
      <right style="thin"/>
      <top style="thin"/>
      <bottom style="hair"/>
    </border>
    <border>
      <left style="thin"/>
      <right style="thin"/>
      <top style="dashed"/>
      <bottom style="dashed"/>
    </border>
    <border>
      <left style="thin"/>
      <right style="thin"/>
      <top style="hair"/>
      <bottom>
        <color indexed="63"/>
      </bottom>
    </border>
    <border>
      <left style="thin"/>
      <right style="thin"/>
      <top>
        <color indexed="63"/>
      </top>
      <bottom style="double"/>
    </border>
    <border>
      <left style="thin"/>
      <right>
        <color indexed="63"/>
      </right>
      <top>
        <color indexed="63"/>
      </top>
      <bottom>
        <color indexed="63"/>
      </bottom>
    </border>
    <border>
      <left/>
      <right style="thin"/>
      <top style="thin"/>
      <bottom/>
    </border>
    <border>
      <left>
        <color indexed="63"/>
      </left>
      <right style="thin"/>
      <top>
        <color indexed="63"/>
      </top>
      <bottom>
        <color indexed="63"/>
      </bottom>
    </border>
    <border>
      <left/>
      <right style="thin"/>
      <top/>
      <bottom style="thin"/>
    </border>
    <border>
      <left style="thin"/>
      <right style="thin"/>
      <top style="thin"/>
      <bottom>
        <color indexed="63"/>
      </bottom>
    </border>
    <border>
      <left style="thin"/>
      <right style="thin"/>
      <top/>
      <bottom/>
    </border>
    <border>
      <left style="thin"/>
      <right style="thin"/>
      <top>
        <color indexed="63"/>
      </top>
      <bottom style="thin"/>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43" fontId="0" fillId="0" borderId="0" applyFont="0" applyFill="0" applyBorder="0" applyAlignment="0" applyProtection="0"/>
    <xf numFmtId="17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11" fillId="0" borderId="0">
      <alignment/>
      <protection/>
    </xf>
    <xf numFmtId="0" fontId="8" fillId="0" borderId="0">
      <alignment/>
      <protection/>
    </xf>
    <xf numFmtId="0" fontId="11" fillId="0" borderId="0">
      <alignment/>
      <protection/>
    </xf>
    <xf numFmtId="0" fontId="12" fillId="0" borderId="0">
      <alignment/>
      <protection/>
    </xf>
    <xf numFmtId="0" fontId="10" fillId="0" borderId="0">
      <alignment/>
      <protection/>
    </xf>
    <xf numFmtId="0" fontId="11" fillId="0" borderId="0">
      <alignment/>
      <protection/>
    </xf>
    <xf numFmtId="0" fontId="0" fillId="0" borderId="0">
      <alignment/>
      <protection/>
    </xf>
    <xf numFmtId="0" fontId="8" fillId="0" borderId="0">
      <alignment/>
      <protection/>
    </xf>
    <xf numFmtId="0" fontId="1" fillId="0" borderId="0">
      <alignment/>
      <protection/>
    </xf>
    <xf numFmtId="0" fontId="1" fillId="0" borderId="0">
      <alignment/>
      <protection/>
    </xf>
    <xf numFmtId="0" fontId="11" fillId="0" borderId="0">
      <alignment/>
      <protection/>
    </xf>
    <xf numFmtId="0" fontId="8" fillId="0" borderId="0">
      <alignment/>
      <protection/>
    </xf>
    <xf numFmtId="0" fontId="13" fillId="0" borderId="0">
      <alignment/>
      <protection/>
    </xf>
    <xf numFmtId="0" fontId="1" fillId="23" borderId="7" applyNumberFormat="0" applyFont="0" applyAlignment="0" applyProtection="0"/>
    <xf numFmtId="0" fontId="37" fillId="20"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06">
    <xf numFmtId="0" fontId="0" fillId="0" borderId="0" xfId="0" applyAlignment="1">
      <alignment/>
    </xf>
    <xf numFmtId="172" fontId="3" fillId="0" borderId="0" xfId="0" applyNumberFormat="1" applyFont="1" applyFill="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172" fontId="3" fillId="0" borderId="0" xfId="0" applyNumberFormat="1" applyFont="1" applyFill="1" applyBorder="1" applyAlignment="1">
      <alignment horizontal="center" vertical="center" wrapText="1"/>
    </xf>
    <xf numFmtId="9" fontId="3" fillId="0" borderId="0" xfId="0" applyNumberFormat="1" applyFont="1" applyFill="1" applyBorder="1" applyAlignment="1">
      <alignment horizontal="center" vertical="center" wrapText="1"/>
    </xf>
    <xf numFmtId="0" fontId="0" fillId="0" borderId="0" xfId="0" applyFont="1" applyFill="1" applyAlignment="1">
      <alignment vertical="center"/>
    </xf>
    <xf numFmtId="172" fontId="0" fillId="0" borderId="0" xfId="0" applyNumberFormat="1" applyFont="1" applyFill="1" applyAlignment="1">
      <alignment vertical="center"/>
    </xf>
    <xf numFmtId="0" fontId="0" fillId="0" borderId="0" xfId="0" applyFont="1" applyFill="1" applyBorder="1" applyAlignment="1">
      <alignment horizontal="left" vertical="center" wrapText="1"/>
    </xf>
    <xf numFmtId="175" fontId="10"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0" fontId="0" fillId="0" borderId="10" xfId="0" applyFont="1" applyFill="1" applyBorder="1" applyAlignment="1">
      <alignment vertical="center"/>
    </xf>
    <xf numFmtId="0" fontId="0" fillId="0" borderId="10" xfId="85" applyFont="1" applyFill="1" applyBorder="1" applyAlignment="1">
      <alignment horizontal="center" vertical="center"/>
      <protection/>
    </xf>
    <xf numFmtId="0" fontId="3" fillId="0" borderId="0" xfId="0" applyFont="1" applyFill="1" applyAlignment="1">
      <alignment vertical="center"/>
    </xf>
    <xf numFmtId="175"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10" xfId="85" applyFont="1" applyFill="1" applyBorder="1" applyAlignment="1">
      <alignment horizontal="center" vertical="center"/>
      <protection/>
    </xf>
    <xf numFmtId="0" fontId="10" fillId="0" borderId="0" xfId="0" applyFont="1" applyFill="1" applyAlignment="1">
      <alignment vertical="center"/>
    </xf>
    <xf numFmtId="0" fontId="0" fillId="0" borderId="0" xfId="0" applyFont="1" applyFill="1" applyAlignment="1">
      <alignment horizontal="center" vertical="center"/>
    </xf>
    <xf numFmtId="0" fontId="0" fillId="0" borderId="11" xfId="0" applyFont="1" applyFill="1" applyBorder="1" applyAlignment="1">
      <alignment vertical="center"/>
    </xf>
    <xf numFmtId="175" fontId="0" fillId="0" borderId="11" xfId="0" applyNumberFormat="1" applyFont="1" applyFill="1" applyBorder="1" applyAlignment="1">
      <alignment vertical="center"/>
    </xf>
    <xf numFmtId="175" fontId="10" fillId="0" borderId="11" xfId="0" applyNumberFormat="1" applyFont="1" applyFill="1" applyBorder="1" applyAlignment="1">
      <alignmen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wrapText="1"/>
    </xf>
    <xf numFmtId="3" fontId="3" fillId="0" borderId="0" xfId="0" applyNumberFormat="1" applyFont="1" applyFill="1" applyBorder="1" applyAlignment="1">
      <alignment vertical="center"/>
    </xf>
    <xf numFmtId="3" fontId="0" fillId="0" borderId="10" xfId="0" applyNumberFormat="1" applyFont="1" applyFill="1" applyBorder="1" applyAlignment="1">
      <alignment horizontal="center" vertical="center" wrapText="1"/>
    </xf>
    <xf numFmtId="175" fontId="0" fillId="0" borderId="10" xfId="58" applyNumberFormat="1" applyFont="1" applyFill="1" applyBorder="1" applyAlignment="1">
      <alignment vertical="center"/>
    </xf>
    <xf numFmtId="0" fontId="0" fillId="0" borderId="10" xfId="85" applyFont="1" applyFill="1" applyBorder="1" applyAlignment="1">
      <alignment vertical="center" wrapText="1"/>
      <protection/>
    </xf>
    <xf numFmtId="0" fontId="0" fillId="0" borderId="10" xfId="0" applyFont="1" applyFill="1" applyBorder="1" applyAlignment="1">
      <alignment horizontal="center" vertical="center"/>
    </xf>
    <xf numFmtId="175" fontId="0" fillId="0" borderId="10" xfId="58" applyNumberFormat="1" applyFont="1" applyFill="1" applyBorder="1" applyAlignment="1" quotePrefix="1">
      <alignment vertical="center"/>
    </xf>
    <xf numFmtId="0" fontId="3" fillId="0" borderId="12" xfId="0" applyFont="1" applyFill="1" applyBorder="1" applyAlignment="1">
      <alignment horizontal="center" vertical="center" wrapText="1"/>
    </xf>
    <xf numFmtId="0" fontId="3" fillId="0" borderId="10" xfId="85" applyFont="1" applyFill="1" applyBorder="1" applyAlignment="1">
      <alignment vertical="center" wrapText="1"/>
      <protection/>
    </xf>
    <xf numFmtId="0" fontId="3" fillId="0" borderId="10" xfId="0" applyFont="1" applyFill="1" applyBorder="1" applyAlignment="1">
      <alignment horizontal="center" vertical="center"/>
    </xf>
    <xf numFmtId="3" fontId="3" fillId="0" borderId="13" xfId="0" applyNumberFormat="1" applyFont="1" applyFill="1" applyBorder="1" applyAlignment="1">
      <alignment vertical="center"/>
    </xf>
    <xf numFmtId="0" fontId="0" fillId="0" borderId="12" xfId="85" applyFont="1" applyFill="1" applyBorder="1" applyAlignment="1">
      <alignment vertical="center"/>
      <protection/>
    </xf>
    <xf numFmtId="3" fontId="3" fillId="0" borderId="12" xfId="0" applyNumberFormat="1" applyFont="1" applyFill="1" applyBorder="1" applyAlignment="1">
      <alignment vertical="center"/>
    </xf>
    <xf numFmtId="3" fontId="0" fillId="0" borderId="0" xfId="0" applyNumberFormat="1" applyFont="1" applyFill="1" applyAlignment="1">
      <alignment vertical="center"/>
    </xf>
    <xf numFmtId="179" fontId="10" fillId="0" borderId="10" xfId="0" applyNumberFormat="1" applyFont="1" applyFill="1" applyBorder="1" applyAlignment="1">
      <alignment vertical="center"/>
    </xf>
    <xf numFmtId="175" fontId="0" fillId="0" borderId="10" xfId="0" applyNumberFormat="1" applyFont="1" applyFill="1" applyBorder="1" applyAlignment="1">
      <alignment vertical="center"/>
    </xf>
    <xf numFmtId="0" fontId="0" fillId="0" borderId="10" xfId="0" applyFont="1" applyFill="1" applyBorder="1" applyAlignment="1">
      <alignment horizontal="left" vertical="center" wrapText="1"/>
    </xf>
    <xf numFmtId="3" fontId="3" fillId="0" borderId="12" xfId="0" applyNumberFormat="1" applyFont="1" applyFill="1" applyBorder="1" applyAlignment="1">
      <alignment horizontal="righ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173" fontId="3" fillId="0" borderId="0" xfId="0" applyNumberFormat="1" applyFont="1" applyFill="1" applyAlignment="1">
      <alignment vertical="center"/>
    </xf>
    <xf numFmtId="175" fontId="0" fillId="0" borderId="0" xfId="0" applyNumberFormat="1" applyFont="1" applyFill="1" applyAlignment="1">
      <alignment vertical="center"/>
    </xf>
    <xf numFmtId="175" fontId="3" fillId="0" borderId="14" xfId="0" applyNumberFormat="1" applyFont="1" applyFill="1" applyBorder="1" applyAlignment="1">
      <alignment vertical="center"/>
    </xf>
    <xf numFmtId="0" fontId="3" fillId="0" borderId="14" xfId="0" applyFont="1" applyFill="1" applyBorder="1" applyAlignment="1">
      <alignment horizontal="center" vertical="center" wrapText="1"/>
    </xf>
    <xf numFmtId="0" fontId="3" fillId="0" borderId="12" xfId="0" applyFont="1" applyFill="1" applyBorder="1" applyAlignment="1">
      <alignment vertical="center" wrapText="1"/>
    </xf>
    <xf numFmtId="0" fontId="16" fillId="0" borderId="0" xfId="0" applyFont="1" applyFill="1" applyAlignment="1">
      <alignment vertical="center"/>
    </xf>
    <xf numFmtId="0" fontId="16" fillId="0" borderId="15" xfId="0" applyFont="1" applyFill="1" applyBorder="1" applyAlignment="1">
      <alignment vertical="center"/>
    </xf>
    <xf numFmtId="0" fontId="3" fillId="0" borderId="0" xfId="0" applyFont="1" applyFill="1" applyBorder="1" applyAlignment="1">
      <alignment vertical="center"/>
    </xf>
    <xf numFmtId="0" fontId="18" fillId="0" borderId="0" xfId="0" applyFont="1" applyFill="1" applyBorder="1" applyAlignment="1">
      <alignment vertical="center"/>
    </xf>
    <xf numFmtId="3" fontId="10" fillId="0" borderId="0" xfId="0" applyNumberFormat="1" applyFont="1" applyFill="1" applyAlignment="1">
      <alignment vertical="center"/>
    </xf>
    <xf numFmtId="177" fontId="0" fillId="0" borderId="0" xfId="45" applyNumberFormat="1" applyFont="1" applyFill="1" applyAlignment="1">
      <alignment vertical="center"/>
    </xf>
    <xf numFmtId="171" fontId="0" fillId="0" borderId="0" xfId="45" applyNumberFormat="1" applyFont="1" applyFill="1" applyAlignment="1">
      <alignment vertical="center"/>
    </xf>
    <xf numFmtId="171" fontId="3" fillId="0" borderId="12" xfId="45" applyNumberFormat="1" applyFont="1" applyFill="1" applyBorder="1" applyAlignment="1">
      <alignment horizontal="center" vertical="center" wrapText="1"/>
    </xf>
    <xf numFmtId="175" fontId="3" fillId="0" borderId="10" xfId="45" applyNumberFormat="1" applyFont="1" applyFill="1" applyBorder="1" applyAlignment="1">
      <alignment horizontal="right" vertical="center" wrapText="1"/>
    </xf>
    <xf numFmtId="175" fontId="0" fillId="0" borderId="10" xfId="45" applyNumberFormat="1" applyFont="1" applyFill="1" applyBorder="1" applyAlignment="1">
      <alignment horizontal="right" vertical="center"/>
    </xf>
    <xf numFmtId="175" fontId="0" fillId="0" borderId="10" xfId="45" applyNumberFormat="1" applyFont="1" applyFill="1" applyBorder="1" applyAlignment="1">
      <alignment vertical="center"/>
    </xf>
    <xf numFmtId="179" fontId="10" fillId="0" borderId="10" xfId="45" applyNumberFormat="1" applyFont="1" applyFill="1" applyBorder="1" applyAlignment="1">
      <alignment vertical="center"/>
    </xf>
    <xf numFmtId="179" fontId="0" fillId="0" borderId="10" xfId="45" applyNumberFormat="1" applyFont="1" applyFill="1" applyBorder="1" applyAlignment="1">
      <alignment vertical="center"/>
    </xf>
    <xf numFmtId="175" fontId="0" fillId="0" borderId="10" xfId="45" applyNumberFormat="1" applyFont="1" applyFill="1" applyBorder="1" applyAlignment="1">
      <alignment vertical="center" wrapText="1"/>
    </xf>
    <xf numFmtId="175" fontId="0" fillId="0" borderId="10" xfId="45" applyNumberFormat="1" applyFont="1" applyFill="1" applyBorder="1" applyAlignment="1">
      <alignment horizontal="right" vertical="center" wrapText="1"/>
    </xf>
    <xf numFmtId="175" fontId="3" fillId="0" borderId="10" xfId="45" applyNumberFormat="1" applyFont="1" applyFill="1" applyBorder="1" applyAlignment="1">
      <alignment horizontal="right" vertical="center"/>
    </xf>
    <xf numFmtId="175" fontId="10" fillId="0" borderId="10" xfId="45" applyNumberFormat="1" applyFont="1" applyFill="1" applyBorder="1" applyAlignment="1">
      <alignment vertical="center"/>
    </xf>
    <xf numFmtId="175" fontId="3" fillId="0" borderId="10" xfId="45" applyNumberFormat="1"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177" fontId="0" fillId="0" borderId="11" xfId="45" applyNumberFormat="1" applyFont="1" applyFill="1" applyBorder="1" applyAlignment="1">
      <alignment vertical="center"/>
    </xf>
    <xf numFmtId="171" fontId="0" fillId="0" borderId="11" xfId="45" applyNumberFormat="1" applyFont="1" applyFill="1" applyBorder="1" applyAlignment="1">
      <alignment vertical="center"/>
    </xf>
    <xf numFmtId="0" fontId="0" fillId="0" borderId="0" xfId="0" applyFont="1" applyFill="1" applyAlignment="1">
      <alignment vertical="center" wrapText="1"/>
    </xf>
    <xf numFmtId="0" fontId="0" fillId="0" borderId="0" xfId="0" applyFont="1" applyFill="1" applyAlignment="1">
      <alignment/>
    </xf>
    <xf numFmtId="0" fontId="3" fillId="0" borderId="14" xfId="0" applyFont="1" applyFill="1" applyBorder="1" applyAlignment="1">
      <alignment vertical="center" wrapText="1"/>
    </xf>
    <xf numFmtId="172" fontId="3" fillId="0" borderId="14" xfId="0" applyNumberFormat="1" applyFont="1" applyFill="1" applyBorder="1" applyAlignment="1">
      <alignment vertical="center" wrapText="1"/>
    </xf>
    <xf numFmtId="0" fontId="3" fillId="0" borderId="0" xfId="0" applyFont="1" applyFill="1" applyAlignment="1">
      <alignment vertical="center" wrapText="1"/>
    </xf>
    <xf numFmtId="0" fontId="5" fillId="0" borderId="0" xfId="0" applyFont="1" applyFill="1" applyAlignment="1">
      <alignment/>
    </xf>
    <xf numFmtId="0" fontId="3" fillId="0" borderId="10" xfId="0" applyFont="1" applyFill="1" applyBorder="1" applyAlignment="1">
      <alignment vertical="center" wrapText="1"/>
    </xf>
    <xf numFmtId="172" fontId="3" fillId="0" borderId="10" xfId="0" applyNumberFormat="1" applyFont="1" applyFill="1" applyBorder="1" applyAlignment="1">
      <alignment vertical="center" wrapText="1"/>
    </xf>
    <xf numFmtId="172" fontId="7" fillId="0" borderId="0" xfId="0" applyNumberFormat="1" applyFont="1" applyFill="1" applyAlignment="1">
      <alignment vertical="center" wrapText="1"/>
    </xf>
    <xf numFmtId="0" fontId="7" fillId="0" borderId="0" xfId="0" applyFont="1" applyFill="1" applyAlignment="1">
      <alignment vertical="center" wrapText="1"/>
    </xf>
    <xf numFmtId="172" fontId="0" fillId="0" borderId="10" xfId="0" applyNumberFormat="1" applyFont="1" applyFill="1" applyBorder="1" applyAlignment="1">
      <alignment vertical="center" wrapText="1"/>
    </xf>
    <xf numFmtId="172" fontId="0" fillId="0" borderId="10" xfId="53" applyNumberFormat="1" applyFont="1" applyFill="1" applyBorder="1" applyAlignment="1">
      <alignment vertical="center" wrapText="1"/>
    </xf>
    <xf numFmtId="172" fontId="0" fillId="0" borderId="0" xfId="0" applyNumberFormat="1" applyFont="1" applyFill="1" applyAlignment="1">
      <alignment vertical="center" wrapText="1"/>
    </xf>
    <xf numFmtId="172" fontId="0" fillId="0" borderId="10" xfId="58" applyNumberFormat="1" applyFont="1" applyFill="1" applyBorder="1" applyAlignment="1">
      <alignment vertical="center" wrapText="1"/>
    </xf>
    <xf numFmtId="0" fontId="3" fillId="0" borderId="0" xfId="0" applyFont="1" applyFill="1" applyAlignment="1">
      <alignment/>
    </xf>
    <xf numFmtId="172" fontId="0" fillId="0" borderId="10" xfId="0" applyNumberFormat="1" applyFont="1" applyFill="1" applyBorder="1" applyAlignment="1">
      <alignment vertical="center" wrapText="1"/>
    </xf>
    <xf numFmtId="0" fontId="6" fillId="0" borderId="0" xfId="0" applyFont="1" applyFill="1" applyAlignment="1">
      <alignment/>
    </xf>
    <xf numFmtId="0" fontId="3" fillId="0" borderId="0" xfId="0" applyFont="1" applyFill="1" applyAlignment="1">
      <alignment/>
    </xf>
    <xf numFmtId="0" fontId="0" fillId="0" borderId="10" xfId="79" applyFont="1" applyFill="1" applyBorder="1" applyAlignment="1">
      <alignment horizontal="center" vertical="center" wrapText="1"/>
      <protection/>
    </xf>
    <xf numFmtId="0" fontId="0" fillId="0" borderId="10" xfId="79" applyFont="1" applyFill="1" applyBorder="1" applyAlignment="1">
      <alignment vertical="center" wrapText="1"/>
      <protection/>
    </xf>
    <xf numFmtId="0" fontId="0" fillId="0" borderId="10" xfId="0" applyFont="1" applyFill="1" applyBorder="1" applyAlignment="1">
      <alignment horizontal="center" vertical="center" wrapText="1"/>
    </xf>
    <xf numFmtId="172" fontId="0" fillId="0" borderId="10" xfId="79" applyNumberFormat="1" applyFont="1" applyFill="1" applyBorder="1" applyAlignment="1">
      <alignment vertical="center" wrapText="1"/>
      <protection/>
    </xf>
    <xf numFmtId="172" fontId="3" fillId="0" borderId="10" xfId="79" applyNumberFormat="1" applyFont="1" applyFill="1" applyBorder="1" applyAlignment="1">
      <alignment vertical="center" wrapText="1"/>
      <protection/>
    </xf>
    <xf numFmtId="0" fontId="0" fillId="0" borderId="0" xfId="0" applyFont="1" applyFill="1" applyAlignment="1">
      <alignment/>
    </xf>
    <xf numFmtId="0" fontId="3" fillId="0" borderId="10" xfId="79" applyFont="1" applyFill="1" applyBorder="1" applyAlignment="1">
      <alignment horizontal="center" vertical="center" wrapText="1"/>
      <protection/>
    </xf>
    <xf numFmtId="0" fontId="3" fillId="0" borderId="10" xfId="79" applyFont="1" applyFill="1" applyBorder="1" applyAlignment="1">
      <alignment vertical="center" wrapText="1"/>
      <protection/>
    </xf>
    <xf numFmtId="0" fontId="3" fillId="0" borderId="10" xfId="0" applyFont="1" applyFill="1" applyBorder="1" applyAlignment="1">
      <alignment horizontal="center" vertical="center" wrapText="1"/>
    </xf>
    <xf numFmtId="0" fontId="3" fillId="0" borderId="0" xfId="0" applyFont="1" applyFill="1" applyAlignment="1">
      <alignment vertical="center" wrapText="1"/>
    </xf>
    <xf numFmtId="172" fontId="3" fillId="0" borderId="0" xfId="0" applyNumberFormat="1" applyFont="1" applyFill="1" applyAlignment="1">
      <alignment vertical="center" wrapText="1"/>
    </xf>
    <xf numFmtId="0" fontId="0"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ont="1" applyFill="1" applyAlignment="1">
      <alignment/>
    </xf>
    <xf numFmtId="172" fontId="3" fillId="0" borderId="12" xfId="0" applyNumberFormat="1" applyFont="1" applyFill="1" applyBorder="1" applyAlignment="1">
      <alignment horizontal="center" vertical="center" wrapText="1"/>
    </xf>
    <xf numFmtId="173" fontId="3" fillId="0" borderId="12" xfId="0" applyNumberFormat="1" applyFont="1" applyFill="1" applyBorder="1" applyAlignment="1">
      <alignment horizontal="center" vertical="center" wrapText="1"/>
    </xf>
    <xf numFmtId="172" fontId="0" fillId="0" borderId="12" xfId="0" applyNumberFormat="1" applyFont="1" applyFill="1" applyBorder="1" applyAlignment="1">
      <alignment vertical="center" wrapText="1"/>
    </xf>
    <xf numFmtId="172" fontId="0" fillId="0" borderId="12" xfId="0" applyNumberFormat="1" applyFont="1" applyFill="1" applyBorder="1" applyAlignment="1">
      <alignment horizontal="center" vertical="center" wrapText="1"/>
    </xf>
    <xf numFmtId="10" fontId="0" fillId="0" borderId="12" xfId="0" applyNumberFormat="1" applyFont="1" applyFill="1" applyBorder="1" applyAlignment="1">
      <alignment horizontal="center" vertical="center" wrapText="1"/>
    </xf>
    <xf numFmtId="173" fontId="3" fillId="0" borderId="0" xfId="0" applyNumberFormat="1" applyFont="1" applyFill="1" applyAlignment="1">
      <alignment vertical="center" wrapText="1"/>
    </xf>
    <xf numFmtId="172" fontId="3" fillId="0" borderId="10" xfId="0" applyNumberFormat="1" applyFont="1" applyFill="1" applyBorder="1" applyAlignment="1">
      <alignment vertical="center" wrapText="1"/>
    </xf>
    <xf numFmtId="0" fontId="3" fillId="0" borderId="10" xfId="79" applyFont="1" applyFill="1" applyBorder="1" applyAlignment="1">
      <alignment horizontal="center" vertical="center" wrapText="1"/>
      <protection/>
    </xf>
    <xf numFmtId="0" fontId="3" fillId="0" borderId="10" xfId="79" applyFont="1" applyFill="1" applyBorder="1" applyAlignment="1">
      <alignment vertical="center" wrapText="1"/>
      <protection/>
    </xf>
    <xf numFmtId="172" fontId="3" fillId="0" borderId="10" xfId="79" applyNumberFormat="1" applyFont="1" applyFill="1" applyBorder="1" applyAlignment="1">
      <alignment vertical="center" wrapText="1"/>
      <protection/>
    </xf>
    <xf numFmtId="0" fontId="0" fillId="0" borderId="10" xfId="79" applyFont="1" applyFill="1" applyBorder="1" applyAlignment="1">
      <alignment horizontal="center" vertical="center" wrapText="1"/>
      <protection/>
    </xf>
    <xf numFmtId="0" fontId="0" fillId="0" borderId="10" xfId="79" applyFont="1" applyFill="1" applyBorder="1" applyAlignment="1">
      <alignment vertical="center" wrapText="1"/>
      <protection/>
    </xf>
    <xf numFmtId="172" fontId="0" fillId="0" borderId="10" xfId="79" applyNumberFormat="1" applyFont="1" applyFill="1" applyBorder="1" applyAlignment="1">
      <alignment vertical="center" wrapText="1"/>
      <protection/>
    </xf>
    <xf numFmtId="0" fontId="3"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quotePrefix="1">
      <alignment horizontal="center" vertical="center" wrapText="1"/>
    </xf>
    <xf numFmtId="0" fontId="0" fillId="0" borderId="11" xfId="0" applyFont="1" applyFill="1" applyBorder="1" applyAlignment="1">
      <alignment horizontal="center"/>
    </xf>
    <xf numFmtId="0" fontId="0" fillId="0" borderId="11" xfId="0" applyFont="1" applyFill="1" applyBorder="1" applyAlignment="1">
      <alignment/>
    </xf>
    <xf numFmtId="0" fontId="0" fillId="0" borderId="0" xfId="0" applyFont="1" applyFill="1" applyAlignment="1">
      <alignment horizontal="center"/>
    </xf>
    <xf numFmtId="0" fontId="6" fillId="0" borderId="0" xfId="0" applyFont="1" applyFill="1" applyAlignment="1">
      <alignment vertical="center"/>
    </xf>
    <xf numFmtId="172" fontId="6" fillId="0" borderId="0" xfId="0" applyNumberFormat="1" applyFont="1" applyFill="1" applyAlignment="1">
      <alignment vertical="center"/>
    </xf>
    <xf numFmtId="0" fontId="3" fillId="0" borderId="0" xfId="0" applyFont="1" applyFill="1" applyAlignment="1">
      <alignment vertical="center"/>
    </xf>
    <xf numFmtId="174" fontId="0" fillId="0" borderId="0" xfId="0" applyNumberFormat="1" applyFont="1" applyFill="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vertical="center"/>
    </xf>
    <xf numFmtId="0" fontId="24" fillId="0" borderId="0"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6" xfId="0" applyFont="1" applyFill="1" applyBorder="1" applyAlignment="1">
      <alignment vertical="center" wrapText="1"/>
    </xf>
    <xf numFmtId="172" fontId="3" fillId="0" borderId="16" xfId="0" applyNumberFormat="1" applyFont="1" applyFill="1" applyBorder="1" applyAlignment="1">
      <alignment vertical="center" wrapText="1"/>
    </xf>
    <xf numFmtId="172" fontId="3" fillId="0" borderId="0" xfId="0" applyNumberFormat="1" applyFont="1" applyFill="1" applyBorder="1" applyAlignment="1">
      <alignment vertical="center" wrapText="1"/>
    </xf>
    <xf numFmtId="172" fontId="3" fillId="0" borderId="0" xfId="0" applyNumberFormat="1" applyFont="1" applyFill="1" applyBorder="1" applyAlignment="1">
      <alignment vertical="center"/>
    </xf>
    <xf numFmtId="173" fontId="3" fillId="0" borderId="0" xfId="0" applyNumberFormat="1" applyFont="1" applyFill="1" applyBorder="1" applyAlignment="1">
      <alignment horizontal="center" vertical="center"/>
    </xf>
    <xf numFmtId="0" fontId="5" fillId="0" borderId="0" xfId="0" applyFont="1" applyFill="1" applyAlignment="1">
      <alignment vertical="center"/>
    </xf>
    <xf numFmtId="172" fontId="10" fillId="0" borderId="0" xfId="0" applyNumberFormat="1" applyFont="1" applyFill="1" applyAlignment="1">
      <alignment vertical="center" wrapText="1"/>
    </xf>
    <xf numFmtId="0" fontId="0" fillId="0" borderId="0" xfId="0" applyFont="1" applyFill="1" applyAlignment="1">
      <alignment vertical="center"/>
    </xf>
    <xf numFmtId="172" fontId="23" fillId="0" borderId="10" xfId="0" applyNumberFormat="1" applyFont="1" applyFill="1" applyBorder="1" applyAlignment="1">
      <alignment horizontal="center" vertical="center" wrapText="1"/>
    </xf>
    <xf numFmtId="172" fontId="0" fillId="0" borderId="0" xfId="0" applyNumberFormat="1" applyFont="1" applyFill="1" applyAlignment="1">
      <alignment vertical="center"/>
    </xf>
    <xf numFmtId="172" fontId="5" fillId="0" borderId="0" xfId="0" applyNumberFormat="1" applyFont="1" applyFill="1" applyAlignment="1">
      <alignment vertical="center"/>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horizontal="left" vertical="center"/>
    </xf>
    <xf numFmtId="175" fontId="0" fillId="0" borderId="0" xfId="0" applyNumberFormat="1" applyFont="1" applyFill="1" applyAlignment="1">
      <alignment vertical="center" wrapText="1"/>
    </xf>
    <xf numFmtId="176" fontId="0" fillId="0" borderId="0" xfId="0" applyNumberFormat="1" applyFont="1" applyFill="1" applyAlignment="1">
      <alignment vertical="center"/>
    </xf>
    <xf numFmtId="176" fontId="0" fillId="0" borderId="0" xfId="0" applyNumberFormat="1" applyFont="1" applyFill="1" applyAlignment="1">
      <alignment horizontal="center" vertical="center"/>
    </xf>
    <xf numFmtId="176" fontId="0" fillId="0" borderId="0" xfId="0" applyNumberFormat="1" applyFont="1" applyFill="1" applyAlignment="1">
      <alignment horizontal="right" vertical="center"/>
    </xf>
    <xf numFmtId="176" fontId="0" fillId="0" borderId="0" xfId="0" applyNumberFormat="1" applyFont="1" applyFill="1" applyAlignment="1">
      <alignment vertical="center" wrapText="1"/>
    </xf>
    <xf numFmtId="180" fontId="3" fillId="0" borderId="0" xfId="0" applyNumberFormat="1" applyFont="1" applyFill="1" applyAlignment="1">
      <alignment vertical="center" wrapText="1"/>
    </xf>
    <xf numFmtId="180" fontId="3" fillId="0" borderId="0" xfId="0" applyNumberFormat="1" applyFont="1" applyFill="1" applyAlignment="1">
      <alignment vertical="center"/>
    </xf>
    <xf numFmtId="179" fontId="3" fillId="0" borderId="0" xfId="0" applyNumberFormat="1" applyFont="1" applyFill="1" applyAlignment="1">
      <alignment vertical="center" wrapText="1"/>
    </xf>
    <xf numFmtId="175" fontId="3" fillId="0" borderId="0" xfId="53" applyNumberFormat="1" applyFont="1" applyFill="1" applyAlignment="1">
      <alignment vertical="center"/>
    </xf>
    <xf numFmtId="175" fontId="3" fillId="0" borderId="0" xfId="0" applyNumberFormat="1" applyFont="1" applyFill="1" applyAlignment="1">
      <alignment vertical="center" wrapText="1"/>
    </xf>
    <xf numFmtId="172" fontId="3" fillId="0" borderId="0" xfId="0" applyNumberFormat="1" applyFont="1" applyFill="1" applyAlignment="1">
      <alignment vertical="center"/>
    </xf>
    <xf numFmtId="177" fontId="3" fillId="0" borderId="0" xfId="53" applyNumberFormat="1" applyFont="1" applyFill="1" applyAlignment="1">
      <alignment vertical="center"/>
    </xf>
    <xf numFmtId="174"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16" xfId="0" applyFont="1" applyFill="1" applyBorder="1" applyAlignment="1">
      <alignment horizontal="center" vertical="center"/>
    </xf>
    <xf numFmtId="0" fontId="7" fillId="0" borderId="16" xfId="0" applyFont="1" applyFill="1" applyBorder="1" applyAlignment="1">
      <alignment horizontal="center" vertical="center"/>
    </xf>
    <xf numFmtId="172" fontId="3" fillId="0" borderId="16" xfId="53" applyNumberFormat="1" applyFont="1" applyFill="1" applyBorder="1" applyAlignment="1">
      <alignment horizontal="right" vertical="center"/>
    </xf>
    <xf numFmtId="181" fontId="10" fillId="0" borderId="16" xfId="53" applyNumberFormat="1" applyFont="1" applyFill="1" applyBorder="1" applyAlignment="1">
      <alignment vertical="center" wrapText="1"/>
    </xf>
    <xf numFmtId="180" fontId="3" fillId="0" borderId="0" xfId="0" applyNumberFormat="1" applyFont="1" applyFill="1" applyBorder="1" applyAlignment="1">
      <alignment vertical="center" wrapText="1"/>
    </xf>
    <xf numFmtId="172" fontId="3" fillId="0" borderId="0" xfId="53" applyNumberFormat="1" applyFont="1" applyFill="1" applyAlignment="1">
      <alignment vertical="center"/>
    </xf>
    <xf numFmtId="1" fontId="3" fillId="0" borderId="0" xfId="0" applyNumberFormat="1" applyFont="1" applyFill="1" applyAlignment="1">
      <alignment vertical="center"/>
    </xf>
    <xf numFmtId="179" fontId="3" fillId="0" borderId="0" xfId="53" applyNumberFormat="1" applyFont="1" applyFill="1" applyAlignment="1">
      <alignment vertical="center"/>
    </xf>
    <xf numFmtId="0" fontId="7" fillId="0" borderId="10" xfId="0" applyFont="1" applyFill="1" applyBorder="1" applyAlignment="1">
      <alignment horizontal="center" vertical="center"/>
    </xf>
    <xf numFmtId="172" fontId="3" fillId="0" borderId="10" xfId="53" applyNumberFormat="1" applyFont="1" applyFill="1" applyBorder="1" applyAlignment="1">
      <alignment horizontal="right" vertical="center"/>
    </xf>
    <xf numFmtId="0" fontId="10" fillId="0" borderId="10" xfId="0" applyFont="1" applyFill="1" applyBorder="1" applyAlignment="1">
      <alignment vertical="center" wrapText="1"/>
    </xf>
    <xf numFmtId="178" fontId="3" fillId="0" borderId="0" xfId="0" applyNumberFormat="1" applyFont="1" applyFill="1" applyAlignment="1">
      <alignment vertical="center" wrapText="1"/>
    </xf>
    <xf numFmtId="3" fontId="3" fillId="0" borderId="0" xfId="0" applyNumberFormat="1" applyFont="1" applyFill="1" applyAlignment="1">
      <alignment vertical="center"/>
    </xf>
    <xf numFmtId="175" fontId="3" fillId="0" borderId="0" xfId="0" applyNumberFormat="1" applyFont="1" applyFill="1" applyAlignment="1">
      <alignment vertical="center"/>
    </xf>
    <xf numFmtId="172" fontId="0" fillId="0" borderId="10" xfId="53" applyNumberFormat="1" applyFont="1" applyFill="1" applyBorder="1" applyAlignment="1">
      <alignment horizontal="right" vertical="center"/>
    </xf>
    <xf numFmtId="172" fontId="0" fillId="0" borderId="10" xfId="0" applyNumberFormat="1" applyFont="1" applyFill="1" applyBorder="1" applyAlignment="1">
      <alignment horizontal="right" vertical="center"/>
    </xf>
    <xf numFmtId="0" fontId="23" fillId="0" borderId="10" xfId="0" applyFont="1" applyFill="1" applyBorder="1" applyAlignment="1">
      <alignment vertical="center" wrapText="1"/>
    </xf>
    <xf numFmtId="0" fontId="0" fillId="0" borderId="17" xfId="0" applyFont="1" applyFill="1" applyBorder="1" applyAlignment="1">
      <alignment vertical="center"/>
    </xf>
    <xf numFmtId="0" fontId="16" fillId="0" borderId="10" xfId="85" applyFont="1" applyFill="1" applyBorder="1" applyAlignment="1">
      <alignment horizontal="center" vertical="center"/>
      <protection/>
    </xf>
    <xf numFmtId="0" fontId="16" fillId="0" borderId="10" xfId="0" applyFont="1" applyFill="1" applyBorder="1" applyAlignment="1">
      <alignment horizontal="left" vertical="center" wrapText="1"/>
    </xf>
    <xf numFmtId="175" fontId="0" fillId="0" borderId="10" xfId="0" applyNumberFormat="1" applyFont="1" applyFill="1" applyBorder="1" applyAlignment="1">
      <alignment horizontal="left" vertical="center"/>
    </xf>
    <xf numFmtId="0" fontId="0" fillId="0" borderId="0" xfId="81" applyFont="1" applyFill="1" applyBorder="1" applyAlignment="1">
      <alignment horizontal="left" vertical="center" wrapText="1"/>
      <protection/>
    </xf>
    <xf numFmtId="0" fontId="0" fillId="0" borderId="0" xfId="0" applyFont="1" applyFill="1" applyBorder="1" applyAlignment="1">
      <alignment vertical="center"/>
    </xf>
    <xf numFmtId="0" fontId="3" fillId="0" borderId="0" xfId="81" applyFont="1" applyFill="1" applyBorder="1" applyAlignment="1">
      <alignment horizontal="left" vertical="center" wrapText="1"/>
      <protection/>
    </xf>
    <xf numFmtId="0" fontId="0" fillId="0" borderId="10" xfId="77" applyFont="1" applyFill="1" applyBorder="1" applyAlignment="1">
      <alignment horizontal="center" vertical="center" wrapText="1"/>
      <protection/>
    </xf>
    <xf numFmtId="172" fontId="0"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right" vertical="center" wrapText="1"/>
    </xf>
    <xf numFmtId="176" fontId="3" fillId="0" borderId="0" xfId="0" applyNumberFormat="1" applyFont="1" applyFill="1" applyAlignment="1">
      <alignment vertical="center" wrapText="1"/>
    </xf>
    <xf numFmtId="172" fontId="0" fillId="0" borderId="10" xfId="53" applyNumberFormat="1" applyFont="1" applyFill="1" applyBorder="1" applyAlignment="1">
      <alignment horizontal="right" vertical="center" wrapText="1"/>
    </xf>
    <xf numFmtId="0" fontId="0" fillId="0" borderId="0" xfId="0" applyFont="1" applyFill="1" applyBorder="1" applyAlignment="1">
      <alignment horizontal="center" vertical="center"/>
    </xf>
    <xf numFmtId="172" fontId="3" fillId="0" borderId="10" xfId="53" applyNumberFormat="1" applyFont="1" applyFill="1" applyBorder="1" applyAlignment="1">
      <alignment horizontal="right" vertical="center" wrapText="1"/>
    </xf>
    <xf numFmtId="0" fontId="0" fillId="0" borderId="10" xfId="0" applyFont="1" applyFill="1" applyBorder="1" applyAlignment="1" quotePrefix="1">
      <alignment horizontal="center" vertical="center"/>
    </xf>
    <xf numFmtId="0" fontId="17" fillId="0" borderId="10" xfId="0" applyFont="1" applyFill="1" applyBorder="1" applyAlignment="1">
      <alignment horizontal="center" vertical="center" wrapText="1"/>
    </xf>
    <xf numFmtId="172" fontId="16" fillId="0" borderId="10" xfId="53" applyNumberFormat="1" applyFont="1" applyFill="1" applyBorder="1" applyAlignment="1">
      <alignment horizontal="right" vertical="center" wrapText="1"/>
    </xf>
    <xf numFmtId="172" fontId="16" fillId="0" borderId="10" xfId="53" applyNumberFormat="1" applyFont="1" applyFill="1" applyBorder="1" applyAlignment="1">
      <alignment horizontal="right" vertical="center"/>
    </xf>
    <xf numFmtId="177" fontId="10" fillId="0" borderId="10" xfId="53" applyNumberFormat="1" applyFont="1" applyFill="1" applyBorder="1" applyAlignment="1">
      <alignment horizontal="right" vertical="center" wrapText="1"/>
    </xf>
    <xf numFmtId="0" fontId="3" fillId="0" borderId="10" xfId="77" applyFont="1" applyFill="1" applyBorder="1" applyAlignment="1">
      <alignment horizontal="center" vertical="center" wrapText="1"/>
      <protection/>
    </xf>
    <xf numFmtId="0" fontId="3" fillId="0" borderId="0" xfId="0" applyFont="1" applyFill="1" applyBorder="1" applyAlignment="1">
      <alignment horizontal="left" vertical="center" wrapText="1"/>
    </xf>
    <xf numFmtId="0" fontId="16" fillId="0" borderId="10" xfId="77" applyFont="1" applyFill="1" applyBorder="1" applyAlignment="1">
      <alignment horizontal="center" vertical="center" wrapText="1"/>
      <protection/>
    </xf>
    <xf numFmtId="177" fontId="0" fillId="0" borderId="10" xfId="0" applyNumberFormat="1" applyFont="1" applyFill="1" applyBorder="1" applyAlignment="1">
      <alignment horizontal="left" vertical="center"/>
    </xf>
    <xf numFmtId="177" fontId="10" fillId="0" borderId="10" xfId="53" applyNumberFormat="1" applyFont="1" applyFill="1" applyBorder="1" applyAlignment="1">
      <alignment horizontal="left" vertical="center" wrapText="1"/>
    </xf>
    <xf numFmtId="0" fontId="16" fillId="0" borderId="10" xfId="0" applyFont="1" applyFill="1" applyBorder="1" applyAlignment="1">
      <alignment vertical="center" wrapText="1"/>
    </xf>
    <xf numFmtId="172" fontId="16" fillId="0" borderId="10" xfId="0" applyNumberFormat="1" applyFont="1" applyFill="1" applyBorder="1" applyAlignment="1">
      <alignment horizontal="right" vertical="center" wrapText="1"/>
    </xf>
    <xf numFmtId="0" fontId="0" fillId="0" borderId="18" xfId="77" applyFont="1" applyFill="1" applyBorder="1" applyAlignment="1">
      <alignment horizontal="center" vertical="center" wrapText="1"/>
      <protection/>
    </xf>
    <xf numFmtId="0" fontId="0" fillId="0" borderId="18" xfId="0" applyFont="1" applyFill="1" applyBorder="1" applyAlignment="1">
      <alignment vertical="center"/>
    </xf>
    <xf numFmtId="0" fontId="10" fillId="0" borderId="18" xfId="0" applyFont="1" applyFill="1" applyBorder="1" applyAlignment="1">
      <alignment horizontal="center" vertical="center" wrapText="1"/>
    </xf>
    <xf numFmtId="172" fontId="0" fillId="0" borderId="18" xfId="0" applyNumberFormat="1" applyFont="1" applyFill="1" applyBorder="1" applyAlignment="1">
      <alignment horizontal="right" vertical="center" wrapText="1"/>
    </xf>
    <xf numFmtId="172" fontId="3" fillId="0" borderId="18" xfId="0" applyNumberFormat="1" applyFont="1" applyFill="1" applyBorder="1" applyAlignment="1">
      <alignment horizontal="right" vertical="center" wrapText="1"/>
    </xf>
    <xf numFmtId="0" fontId="0" fillId="0" borderId="11" xfId="0" applyFont="1" applyFill="1" applyBorder="1" applyAlignment="1">
      <alignment horizontal="right" vertical="center"/>
    </xf>
    <xf numFmtId="0" fontId="0" fillId="0" borderId="11" xfId="0" applyFont="1" applyFill="1" applyBorder="1" applyAlignment="1">
      <alignment horizontal="left" vertical="center"/>
    </xf>
    <xf numFmtId="0" fontId="0" fillId="0" borderId="13" xfId="81" applyFont="1" applyFill="1" applyBorder="1" applyAlignment="1">
      <alignment horizontal="left" vertical="center" wrapText="1"/>
      <protection/>
    </xf>
    <xf numFmtId="173" fontId="0" fillId="0" borderId="10" xfId="0" applyNumberFormat="1" applyFont="1" applyFill="1" applyBorder="1" applyAlignment="1">
      <alignment horizontal="right" vertical="center" wrapText="1"/>
    </xf>
    <xf numFmtId="0" fontId="3" fillId="0" borderId="18" xfId="77" applyFont="1" applyFill="1" applyBorder="1" applyAlignment="1">
      <alignment horizontal="center" vertical="center" wrapText="1"/>
      <protection/>
    </xf>
    <xf numFmtId="0" fontId="3" fillId="0" borderId="18" xfId="0" applyFont="1" applyFill="1" applyBorder="1" applyAlignment="1">
      <alignment vertical="center"/>
    </xf>
    <xf numFmtId="0" fontId="7" fillId="0" borderId="18" xfId="0" applyFont="1" applyFill="1" applyBorder="1" applyAlignment="1">
      <alignment horizontal="center" vertical="center" wrapText="1"/>
    </xf>
    <xf numFmtId="172" fontId="3" fillId="0" borderId="18" xfId="53" applyNumberFormat="1" applyFont="1" applyFill="1" applyBorder="1" applyAlignment="1">
      <alignment horizontal="right" vertical="center"/>
    </xf>
    <xf numFmtId="0" fontId="0" fillId="0" borderId="18" xfId="0" applyFont="1" applyFill="1" applyBorder="1" applyAlignment="1">
      <alignment vertical="center" wrapText="1"/>
    </xf>
    <xf numFmtId="172" fontId="0" fillId="0" borderId="18" xfId="53" applyNumberFormat="1" applyFont="1" applyFill="1" applyBorder="1" applyAlignment="1">
      <alignment horizontal="right" vertical="center"/>
    </xf>
    <xf numFmtId="0" fontId="3" fillId="0" borderId="18" xfId="0" applyFont="1" applyFill="1" applyBorder="1" applyAlignment="1">
      <alignment vertical="center" wrapText="1"/>
    </xf>
    <xf numFmtId="3" fontId="0" fillId="0" borderId="14" xfId="0" applyNumberFormat="1" applyFont="1" applyFill="1" applyBorder="1" applyAlignment="1">
      <alignment horizontal="center" vertical="center" wrapText="1"/>
    </xf>
    <xf numFmtId="3" fontId="0" fillId="0" borderId="14" xfId="0" applyNumberFormat="1" applyFont="1" applyFill="1" applyBorder="1" applyAlignment="1">
      <alignment horizontal="left" vertical="center" wrapText="1"/>
    </xf>
    <xf numFmtId="3" fontId="0" fillId="0" borderId="14" xfId="0" applyNumberFormat="1" applyFont="1" applyFill="1" applyBorder="1" applyAlignment="1">
      <alignment horizontal="righ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3" fillId="0" borderId="14" xfId="0" applyFont="1" applyFill="1" applyBorder="1" applyAlignment="1">
      <alignment horizontal="center" vertical="center"/>
    </xf>
    <xf numFmtId="0" fontId="3" fillId="0" borderId="14" xfId="0" applyFont="1" applyFill="1" applyBorder="1" applyAlignment="1">
      <alignment vertical="center" wrapText="1" shrinkToFit="1"/>
    </xf>
    <xf numFmtId="0" fontId="7" fillId="0" borderId="14" xfId="0" applyFont="1" applyFill="1" applyBorder="1" applyAlignment="1">
      <alignment horizontal="center" vertical="center" wrapText="1"/>
    </xf>
    <xf numFmtId="175" fontId="3" fillId="0" borderId="14" xfId="53" applyNumberFormat="1" applyFont="1" applyFill="1" applyBorder="1" applyAlignment="1">
      <alignment vertical="center"/>
    </xf>
    <xf numFmtId="177" fontId="7" fillId="0" borderId="14" xfId="53" applyNumberFormat="1" applyFont="1" applyFill="1" applyBorder="1" applyAlignment="1">
      <alignment horizontal="center" vertical="center"/>
    </xf>
    <xf numFmtId="179" fontId="3" fillId="0" borderId="0" xfId="0" applyNumberFormat="1" applyFont="1" applyFill="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175" fontId="3" fillId="0" borderId="10" xfId="53" applyNumberFormat="1" applyFont="1" applyFill="1" applyBorder="1" applyAlignment="1">
      <alignment vertical="center"/>
    </xf>
    <xf numFmtId="175" fontId="0" fillId="0" borderId="10" xfId="53" applyNumberFormat="1"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175" fontId="0" fillId="0" borderId="10" xfId="53" applyNumberFormat="1" applyFont="1" applyFill="1" applyBorder="1" applyAlignment="1">
      <alignment horizontal="center" vertical="center" wrapText="1"/>
    </xf>
    <xf numFmtId="175" fontId="22" fillId="0" borderId="10" xfId="0" applyNumberFormat="1" applyFont="1" applyFill="1" applyBorder="1" applyAlignment="1">
      <alignment horizontal="center" vertical="center" wrapText="1"/>
    </xf>
    <xf numFmtId="0" fontId="2" fillId="0" borderId="13" xfId="81" applyFont="1" applyFill="1" applyBorder="1" applyAlignment="1">
      <alignment horizontal="left" vertical="center"/>
      <protection/>
    </xf>
    <xf numFmtId="0" fontId="0" fillId="0" borderId="10" xfId="0" applyFont="1" applyFill="1" applyBorder="1" applyAlignment="1">
      <alignment vertical="center"/>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0" borderId="0" xfId="79" applyFont="1" applyFill="1" applyAlignment="1">
      <alignment horizontal="center" vertical="center"/>
      <protection/>
    </xf>
    <xf numFmtId="0" fontId="0" fillId="0" borderId="0" xfId="79" applyFont="1" applyFill="1" applyAlignment="1">
      <alignment vertical="center"/>
      <protection/>
    </xf>
    <xf numFmtId="177" fontId="0" fillId="0" borderId="0" xfId="58" applyNumberFormat="1" applyFont="1" applyFill="1" applyAlignment="1">
      <alignment vertical="center"/>
    </xf>
    <xf numFmtId="0" fontId="18" fillId="0" borderId="15" xfId="79" applyFont="1" applyFill="1" applyBorder="1" applyAlignment="1">
      <alignment/>
      <protection/>
    </xf>
    <xf numFmtId="0" fontId="3" fillId="0" borderId="12" xfId="79" applyFont="1" applyFill="1" applyBorder="1" applyAlignment="1">
      <alignment horizontal="center" vertical="center" wrapText="1"/>
      <protection/>
    </xf>
    <xf numFmtId="0" fontId="3" fillId="0" borderId="12" xfId="79" applyFont="1" applyFill="1" applyBorder="1" applyAlignment="1">
      <alignment horizontal="center" vertical="center"/>
      <protection/>
    </xf>
    <xf numFmtId="0" fontId="3" fillId="0" borderId="0" xfId="79" applyFont="1" applyFill="1" applyAlignment="1">
      <alignment vertical="center"/>
      <protection/>
    </xf>
    <xf numFmtId="177" fontId="3" fillId="0" borderId="12" xfId="58" applyNumberFormat="1" applyFont="1" applyFill="1" applyBorder="1" applyAlignment="1">
      <alignment horizontal="center" vertical="center" wrapText="1"/>
    </xf>
    <xf numFmtId="176" fontId="3" fillId="0" borderId="12" xfId="79" applyNumberFormat="1" applyFont="1" applyFill="1" applyBorder="1" applyAlignment="1">
      <alignment horizontal="center" vertical="center" wrapText="1"/>
      <protection/>
    </xf>
    <xf numFmtId="0" fontId="3" fillId="0" borderId="14" xfId="79" applyFont="1" applyFill="1" applyBorder="1" applyAlignment="1">
      <alignment horizontal="center" vertical="center"/>
      <protection/>
    </xf>
    <xf numFmtId="0" fontId="3" fillId="0" borderId="14" xfId="79" applyFont="1" applyFill="1" applyBorder="1" applyAlignment="1">
      <alignment vertical="center" wrapText="1" shrinkToFit="1"/>
      <protection/>
    </xf>
    <xf numFmtId="0" fontId="7" fillId="0" borderId="14" xfId="79" applyFont="1" applyFill="1" applyBorder="1" applyAlignment="1">
      <alignment horizontal="center" vertical="center" wrapText="1"/>
      <protection/>
    </xf>
    <xf numFmtId="175" fontId="3" fillId="0" borderId="14" xfId="58" applyNumberFormat="1" applyFont="1" applyFill="1" applyBorder="1" applyAlignment="1">
      <alignment vertical="center"/>
    </xf>
    <xf numFmtId="177" fontId="7" fillId="0" borderId="14" xfId="58" applyNumberFormat="1" applyFont="1" applyFill="1" applyBorder="1" applyAlignment="1">
      <alignment horizontal="center" vertical="center"/>
    </xf>
    <xf numFmtId="179" fontId="3" fillId="0" borderId="0" xfId="79" applyNumberFormat="1" applyFont="1" applyFill="1" applyAlignment="1">
      <alignment vertical="center"/>
      <protection/>
    </xf>
    <xf numFmtId="0" fontId="0" fillId="0" borderId="14" xfId="79" applyFont="1" applyFill="1" applyBorder="1" applyAlignment="1">
      <alignment horizontal="center" vertical="center"/>
      <protection/>
    </xf>
    <xf numFmtId="0" fontId="0" fillId="0" borderId="14" xfId="79" applyFont="1" applyFill="1" applyBorder="1" applyAlignment="1">
      <alignment vertical="center" wrapText="1" shrinkToFit="1"/>
      <protection/>
    </xf>
    <xf numFmtId="0" fontId="10" fillId="0" borderId="14" xfId="79" applyFont="1" applyFill="1" applyBorder="1" applyAlignment="1">
      <alignment horizontal="center" vertical="center" wrapText="1"/>
      <protection/>
    </xf>
    <xf numFmtId="175" fontId="0" fillId="0" borderId="14" xfId="58" applyNumberFormat="1" applyFont="1" applyFill="1" applyBorder="1" applyAlignment="1">
      <alignment vertical="center"/>
    </xf>
    <xf numFmtId="175" fontId="0" fillId="0" borderId="14" xfId="58" applyNumberFormat="1" applyFont="1" applyFill="1" applyBorder="1" applyAlignment="1">
      <alignment horizontal="center" vertical="center"/>
    </xf>
    <xf numFmtId="179" fontId="0" fillId="0" borderId="0" xfId="79" applyNumberFormat="1" applyFont="1" applyFill="1" applyAlignment="1">
      <alignment vertical="center"/>
      <protection/>
    </xf>
    <xf numFmtId="0" fontId="0" fillId="0" borderId="0" xfId="79" applyFont="1" applyFill="1" applyAlignment="1">
      <alignment vertical="center"/>
      <protection/>
    </xf>
    <xf numFmtId="0" fontId="0" fillId="0" borderId="10" xfId="79" applyFont="1" applyFill="1" applyBorder="1" applyAlignment="1">
      <alignment horizontal="left" vertical="center" wrapText="1"/>
      <protection/>
    </xf>
    <xf numFmtId="176" fontId="2" fillId="0" borderId="13" xfId="81" applyNumberFormat="1" applyFont="1" applyFill="1" applyBorder="1" applyAlignment="1">
      <alignment horizontal="left" vertical="center"/>
      <protection/>
    </xf>
    <xf numFmtId="0" fontId="10" fillId="0" borderId="10" xfId="79" applyFont="1" applyFill="1" applyBorder="1" applyAlignment="1">
      <alignment horizontal="center" vertical="center" wrapText="1"/>
      <protection/>
    </xf>
    <xf numFmtId="175" fontId="0" fillId="0" borderId="10" xfId="54" applyNumberFormat="1" applyFont="1" applyFill="1" applyBorder="1" applyAlignment="1">
      <alignment horizontal="center" vertical="center" wrapText="1"/>
    </xf>
    <xf numFmtId="175" fontId="0" fillId="0" borderId="10" xfId="54" applyNumberFormat="1" applyFont="1" applyFill="1" applyBorder="1" applyAlignment="1">
      <alignment vertical="center"/>
    </xf>
    <xf numFmtId="0" fontId="3" fillId="0" borderId="10" xfId="79" applyFont="1" applyFill="1" applyBorder="1" applyAlignment="1">
      <alignment horizontal="center" vertical="center"/>
      <protection/>
    </xf>
    <xf numFmtId="0" fontId="3" fillId="0" borderId="10" xfId="79" applyFont="1" applyFill="1" applyBorder="1" applyAlignment="1">
      <alignment horizontal="left" vertical="center" wrapText="1"/>
      <protection/>
    </xf>
    <xf numFmtId="0" fontId="7" fillId="0" borderId="10" xfId="79" applyFont="1" applyFill="1" applyBorder="1" applyAlignment="1">
      <alignment horizontal="center" vertical="center" wrapText="1"/>
      <protection/>
    </xf>
    <xf numFmtId="175" fontId="3" fillId="0" borderId="10" xfId="54" applyNumberFormat="1" applyFont="1" applyFill="1" applyBorder="1" applyAlignment="1">
      <alignment horizontal="center" vertical="center" wrapText="1"/>
    </xf>
    <xf numFmtId="175" fontId="15" fillId="0" borderId="10" xfId="79" applyNumberFormat="1" applyFont="1" applyFill="1" applyBorder="1" applyAlignment="1">
      <alignment horizontal="center" vertical="center" wrapText="1"/>
      <protection/>
    </xf>
    <xf numFmtId="0" fontId="4" fillId="0" borderId="13" xfId="81" applyFont="1" applyFill="1" applyBorder="1" applyAlignment="1">
      <alignment horizontal="left" vertical="center"/>
      <protection/>
    </xf>
    <xf numFmtId="0" fontId="3" fillId="0" borderId="0" xfId="79" applyFont="1" applyFill="1" applyAlignment="1">
      <alignment vertical="center"/>
      <protection/>
    </xf>
    <xf numFmtId="0" fontId="0" fillId="0" borderId="10" xfId="79" applyFont="1" applyFill="1" applyBorder="1" applyAlignment="1">
      <alignment horizontal="center" vertical="center"/>
      <protection/>
    </xf>
    <xf numFmtId="0" fontId="0" fillId="0" borderId="10" xfId="79" applyFont="1" applyFill="1" applyBorder="1" applyAlignment="1">
      <alignment horizontal="left" vertical="center" wrapText="1"/>
      <protection/>
    </xf>
    <xf numFmtId="0" fontId="10" fillId="0" borderId="10" xfId="79" applyFont="1" applyFill="1" applyBorder="1" applyAlignment="1">
      <alignment horizontal="center" vertical="center" wrapText="1"/>
      <protection/>
    </xf>
    <xf numFmtId="175" fontId="0" fillId="0" borderId="10" xfId="54" applyNumberFormat="1" applyFont="1" applyFill="1" applyBorder="1" applyAlignment="1">
      <alignment horizontal="center" vertical="center" wrapText="1"/>
    </xf>
    <xf numFmtId="175" fontId="0" fillId="0" borderId="10" xfId="58" applyNumberFormat="1" applyFont="1" applyFill="1" applyBorder="1" applyAlignment="1">
      <alignment vertical="center"/>
    </xf>
    <xf numFmtId="175" fontId="0" fillId="0" borderId="10" xfId="54" applyNumberFormat="1" applyFont="1" applyFill="1" applyBorder="1" applyAlignment="1">
      <alignment vertical="center"/>
    </xf>
    <xf numFmtId="175" fontId="22" fillId="0" borderId="10" xfId="79" applyNumberFormat="1" applyFont="1" applyFill="1" applyBorder="1" applyAlignment="1">
      <alignment horizontal="center" vertical="center" wrapText="1"/>
      <protection/>
    </xf>
    <xf numFmtId="0" fontId="0" fillId="0" borderId="18" xfId="79" applyFont="1" applyFill="1" applyBorder="1" applyAlignment="1">
      <alignment horizontal="center" vertical="center"/>
      <protection/>
    </xf>
    <xf numFmtId="0" fontId="0" fillId="0" borderId="18" xfId="79" applyFont="1" applyFill="1" applyBorder="1" applyAlignment="1">
      <alignment horizontal="left" vertical="center" wrapText="1"/>
      <protection/>
    </xf>
    <xf numFmtId="0" fontId="10" fillId="0" borderId="18" xfId="79" applyFont="1" applyFill="1" applyBorder="1" applyAlignment="1">
      <alignment horizontal="center" vertical="center" wrapText="1"/>
      <protection/>
    </xf>
    <xf numFmtId="175" fontId="0" fillId="0" borderId="18" xfId="54" applyNumberFormat="1" applyFont="1" applyFill="1" applyBorder="1" applyAlignment="1">
      <alignment horizontal="center" vertical="center" wrapText="1"/>
    </xf>
    <xf numFmtId="175" fontId="0" fillId="0" borderId="18" xfId="58" applyNumberFormat="1" applyFont="1" applyFill="1" applyBorder="1" applyAlignment="1" quotePrefix="1">
      <alignment horizontal="right" vertical="center" wrapText="1"/>
    </xf>
    <xf numFmtId="175" fontId="0" fillId="0" borderId="18" xfId="54" applyNumberFormat="1" applyFont="1" applyFill="1" applyBorder="1" applyAlignment="1">
      <alignment vertical="center"/>
    </xf>
    <xf numFmtId="175" fontId="0" fillId="0" borderId="18" xfId="58" applyNumberFormat="1" applyFont="1" applyFill="1" applyBorder="1" applyAlignment="1">
      <alignment vertical="center"/>
    </xf>
    <xf numFmtId="0" fontId="0" fillId="0" borderId="18" xfId="79" applyFont="1" applyFill="1" applyBorder="1" applyAlignment="1">
      <alignment vertical="center"/>
      <protection/>
    </xf>
    <xf numFmtId="176" fontId="2" fillId="0" borderId="0" xfId="81" applyNumberFormat="1" applyFont="1" applyFill="1" applyBorder="1" applyAlignment="1">
      <alignment horizontal="left" vertical="center"/>
      <protection/>
    </xf>
    <xf numFmtId="0" fontId="0" fillId="0" borderId="11" xfId="79" applyFont="1" applyFill="1" applyBorder="1" applyAlignment="1">
      <alignment horizontal="center" vertical="center"/>
      <protection/>
    </xf>
    <xf numFmtId="0" fontId="0" fillId="0" borderId="11" xfId="79" applyFont="1" applyFill="1" applyBorder="1" applyAlignment="1">
      <alignment vertical="center"/>
      <protection/>
    </xf>
    <xf numFmtId="175" fontId="3" fillId="0" borderId="11" xfId="52" applyNumberFormat="1" applyFont="1" applyFill="1" applyBorder="1" applyAlignment="1">
      <alignment vertical="center" wrapText="1"/>
    </xf>
    <xf numFmtId="176" fontId="0" fillId="0" borderId="11" xfId="79" applyNumberFormat="1" applyFont="1" applyFill="1" applyBorder="1" applyAlignment="1">
      <alignment horizontal="center" vertical="center"/>
      <protection/>
    </xf>
    <xf numFmtId="10" fontId="0" fillId="0" borderId="11" xfId="79" applyNumberFormat="1" applyFont="1" applyFill="1" applyBorder="1" applyAlignment="1">
      <alignment horizontal="center" vertical="center"/>
      <protection/>
    </xf>
    <xf numFmtId="175" fontId="16" fillId="0" borderId="0" xfId="52" applyNumberFormat="1" applyFont="1" applyFill="1" applyBorder="1" applyAlignment="1">
      <alignment vertical="center" wrapText="1"/>
    </xf>
    <xf numFmtId="175" fontId="0" fillId="0" borderId="0" xfId="58" applyNumberFormat="1" applyFont="1" applyFill="1" applyBorder="1" applyAlignment="1">
      <alignment vertical="center" wrapText="1"/>
    </xf>
    <xf numFmtId="175" fontId="0" fillId="0" borderId="0" xfId="58" applyNumberFormat="1" applyFont="1" applyFill="1" applyBorder="1" applyAlignment="1">
      <alignment horizontal="center" vertical="center" wrapText="1"/>
    </xf>
    <xf numFmtId="175" fontId="0" fillId="0" borderId="0" xfId="79" applyNumberFormat="1" applyFont="1" applyFill="1" applyBorder="1" applyAlignment="1">
      <alignment vertical="center"/>
      <protection/>
    </xf>
    <xf numFmtId="175" fontId="0" fillId="0" borderId="0" xfId="58" applyNumberFormat="1" applyFont="1" applyFill="1" applyBorder="1" applyAlignment="1">
      <alignment vertical="center"/>
    </xf>
    <xf numFmtId="175" fontId="3" fillId="0" borderId="0" xfId="52" applyNumberFormat="1" applyFont="1" applyFill="1" applyBorder="1" applyAlignment="1">
      <alignment vertical="center" wrapText="1"/>
    </xf>
    <xf numFmtId="175" fontId="3" fillId="0" borderId="0" xfId="79" applyNumberFormat="1" applyFont="1" applyFill="1" applyBorder="1" applyAlignment="1">
      <alignment vertical="center"/>
      <protection/>
    </xf>
    <xf numFmtId="175" fontId="3" fillId="0" borderId="0" xfId="57" applyNumberFormat="1" applyFont="1" applyFill="1" applyBorder="1" applyAlignment="1" quotePrefix="1">
      <alignment horizontal="right" vertical="center" wrapText="1"/>
    </xf>
    <xf numFmtId="175" fontId="0" fillId="0" borderId="0" xfId="84" applyNumberFormat="1" applyFont="1" applyFill="1" applyBorder="1" applyAlignment="1">
      <alignment horizontal="right" vertical="center" wrapText="1"/>
      <protection/>
    </xf>
    <xf numFmtId="175" fontId="0" fillId="0" borderId="0" xfId="58" applyNumberFormat="1" applyFont="1" applyFill="1" applyBorder="1" applyAlignment="1">
      <alignment horizontal="right" vertical="center" wrapText="1"/>
    </xf>
    <xf numFmtId="175" fontId="0" fillId="0" borderId="0" xfId="52" applyNumberFormat="1" applyFont="1" applyFill="1" applyBorder="1" applyAlignment="1">
      <alignment vertical="center" wrapText="1"/>
    </xf>
    <xf numFmtId="175" fontId="3" fillId="0" borderId="0" xfId="58" applyNumberFormat="1" applyFont="1" applyFill="1" applyBorder="1" applyAlignment="1">
      <alignment horizontal="right" vertical="center"/>
    </xf>
    <xf numFmtId="175" fontId="0" fillId="0" borderId="0" xfId="58" applyNumberFormat="1" applyFont="1" applyFill="1" applyBorder="1" applyAlignment="1">
      <alignment horizontal="right" vertical="center"/>
    </xf>
    <xf numFmtId="175" fontId="3" fillId="0" borderId="0" xfId="58" applyNumberFormat="1" applyFont="1" applyFill="1" applyBorder="1" applyAlignment="1">
      <alignment vertical="center" wrapText="1"/>
    </xf>
    <xf numFmtId="177" fontId="0" fillId="0" borderId="0" xfId="58" applyNumberFormat="1" applyFont="1" applyFill="1" applyBorder="1" applyAlignment="1">
      <alignment vertical="center"/>
    </xf>
    <xf numFmtId="172" fontId="2" fillId="0" borderId="10" xfId="0" applyNumberFormat="1" applyFont="1" applyFill="1" applyBorder="1" applyAlignment="1">
      <alignment vertical="center" wrapText="1"/>
    </xf>
    <xf numFmtId="175" fontId="10" fillId="0" borderId="19" xfId="0" applyNumberFormat="1" applyFont="1" applyFill="1" applyBorder="1" applyAlignment="1">
      <alignment vertical="center" wrapText="1"/>
    </xf>
    <xf numFmtId="0" fontId="14" fillId="0" borderId="20" xfId="0" applyFont="1" applyFill="1" applyBorder="1" applyAlignment="1">
      <alignment vertical="center" wrapText="1"/>
    </xf>
    <xf numFmtId="175" fontId="23" fillId="0" borderId="10" xfId="58" applyNumberFormat="1" applyFont="1" applyFill="1" applyBorder="1" applyAlignment="1">
      <alignment vertical="center" wrapText="1"/>
    </xf>
    <xf numFmtId="0" fontId="3" fillId="0" borderId="10" xfId="0" applyFont="1" applyFill="1" applyBorder="1" applyAlignment="1">
      <alignment vertical="center" wrapText="1"/>
    </xf>
    <xf numFmtId="172" fontId="3" fillId="0" borderId="10" xfId="0" applyNumberFormat="1" applyFont="1" applyFill="1" applyBorder="1" applyAlignment="1">
      <alignment vertical="center" wrapText="1"/>
    </xf>
    <xf numFmtId="172" fontId="3" fillId="0" borderId="10" xfId="0" applyNumberFormat="1" applyFont="1" applyFill="1" applyBorder="1" applyAlignment="1">
      <alignment vertical="center" wrapText="1"/>
    </xf>
    <xf numFmtId="0" fontId="3" fillId="0" borderId="20" xfId="0" applyFont="1" applyFill="1" applyBorder="1" applyAlignment="1">
      <alignment horizontal="center" vertical="center" wrapText="1"/>
    </xf>
    <xf numFmtId="175" fontId="7" fillId="0" borderId="20" xfId="0" applyNumberFormat="1" applyFont="1" applyFill="1" applyBorder="1" applyAlignment="1">
      <alignment horizontal="center" vertical="center" wrapText="1"/>
    </xf>
    <xf numFmtId="175" fontId="7" fillId="0" borderId="0" xfId="0" applyNumberFormat="1" applyFont="1" applyFill="1" applyBorder="1" applyAlignment="1">
      <alignment horizontal="center" vertical="center" wrapText="1"/>
    </xf>
    <xf numFmtId="0" fontId="18" fillId="0" borderId="15" xfId="0" applyFont="1" applyFill="1" applyBorder="1" applyAlignment="1">
      <alignment horizontal="right" vertical="center"/>
    </xf>
    <xf numFmtId="0" fontId="5" fillId="0" borderId="10" xfId="0" applyFont="1" applyFill="1" applyBorder="1" applyAlignment="1">
      <alignment/>
    </xf>
    <xf numFmtId="0" fontId="0" fillId="0" borderId="10" xfId="0" applyFont="1" applyFill="1" applyBorder="1" applyAlignment="1">
      <alignment/>
    </xf>
    <xf numFmtId="172" fontId="0" fillId="0" borderId="10" xfId="0" applyNumberFormat="1" applyFont="1" applyFill="1" applyBorder="1" applyAlignment="1">
      <alignment vertical="center" wrapText="1"/>
    </xf>
    <xf numFmtId="172" fontId="0" fillId="0" borderId="10" xfId="0" applyNumberFormat="1" applyFont="1" applyFill="1" applyBorder="1" applyAlignment="1">
      <alignment vertical="center" wrapText="1"/>
    </xf>
    <xf numFmtId="172" fontId="0" fillId="0" borderId="10" xfId="53" applyNumberFormat="1" applyFont="1" applyFill="1" applyBorder="1" applyAlignment="1">
      <alignment horizontal="right" vertical="center"/>
    </xf>
    <xf numFmtId="172" fontId="0" fillId="0" borderId="18" xfId="0" applyNumberFormat="1" applyFont="1" applyFill="1" applyBorder="1" applyAlignment="1">
      <alignment horizontal="right" vertical="center" wrapText="1"/>
    </xf>
    <xf numFmtId="0" fontId="0" fillId="0" borderId="11" xfId="0" applyFont="1" applyFill="1" applyBorder="1" applyAlignment="1">
      <alignment horizontal="right" vertical="center"/>
    </xf>
    <xf numFmtId="0" fontId="0" fillId="0" borderId="10" xfId="85" applyFont="1" applyFill="1" applyBorder="1" applyAlignment="1">
      <alignment horizontal="center" vertical="center"/>
      <protection/>
    </xf>
    <xf numFmtId="0" fontId="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172" fontId="0" fillId="0" borderId="10" xfId="0" applyNumberFormat="1" applyFont="1" applyFill="1" applyBorder="1" applyAlignment="1">
      <alignment horizontal="right" vertical="center"/>
    </xf>
    <xf numFmtId="0" fontId="23"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3" xfId="81" applyFont="1" applyFill="1" applyBorder="1" applyAlignment="1">
      <alignment horizontal="left" vertical="center" wrapText="1"/>
      <protection/>
    </xf>
    <xf numFmtId="172" fontId="0" fillId="0" borderId="0" xfId="0" applyNumberFormat="1" applyFont="1" applyFill="1" applyAlignment="1">
      <alignment vertical="center"/>
    </xf>
    <xf numFmtId="0" fontId="0" fillId="0" borderId="0" xfId="0" applyFont="1" applyFill="1" applyAlignment="1">
      <alignment vertical="center"/>
    </xf>
    <xf numFmtId="3" fontId="0" fillId="0" borderId="14" xfId="0" applyNumberFormat="1" applyFont="1" applyFill="1" applyBorder="1" applyAlignment="1">
      <alignment horizontal="center" vertical="center" wrapText="1"/>
    </xf>
    <xf numFmtId="3" fontId="0" fillId="0" borderId="14" xfId="0" applyNumberFormat="1" applyFont="1" applyFill="1" applyBorder="1" applyAlignment="1">
      <alignment horizontal="left" vertical="center" wrapText="1"/>
    </xf>
    <xf numFmtId="0" fontId="10"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0" fillId="0" borderId="14" xfId="0" applyNumberFormat="1" applyFont="1" applyFill="1" applyBorder="1" applyAlignment="1">
      <alignment horizontal="right" vertical="center" wrapText="1"/>
    </xf>
    <xf numFmtId="0" fontId="3" fillId="0" borderId="0" xfId="0" applyFont="1" applyFill="1" applyAlignment="1">
      <alignment vertical="center"/>
    </xf>
    <xf numFmtId="172" fontId="3" fillId="0" borderId="0" xfId="0" applyNumberFormat="1" applyFont="1" applyFill="1" applyAlignment="1">
      <alignment vertical="center"/>
    </xf>
    <xf numFmtId="0" fontId="14" fillId="0" borderId="20" xfId="0" applyFont="1" applyFill="1" applyBorder="1" applyAlignment="1">
      <alignment vertical="center" wrapText="1"/>
    </xf>
    <xf numFmtId="175" fontId="0" fillId="0" borderId="10" xfId="0" applyNumberFormat="1" applyFont="1" applyFill="1" applyBorder="1" applyAlignment="1">
      <alignment horizontal="left" vertical="center"/>
    </xf>
    <xf numFmtId="172" fontId="0" fillId="0" borderId="10" xfId="0" applyNumberFormat="1" applyFont="1" applyFill="1" applyBorder="1" applyAlignment="1">
      <alignment horizontal="right" vertical="center" wrapText="1"/>
    </xf>
    <xf numFmtId="175" fontId="10" fillId="0" borderId="10" xfId="0" applyNumberFormat="1" applyFont="1" applyFill="1" applyBorder="1" applyAlignment="1">
      <alignment vertical="center" wrapText="1"/>
    </xf>
    <xf numFmtId="175" fontId="7" fillId="0" borderId="10" xfId="0" applyNumberFormat="1" applyFont="1" applyFill="1" applyBorder="1" applyAlignment="1">
      <alignment horizontal="center" vertical="center" wrapText="1"/>
    </xf>
    <xf numFmtId="3" fontId="0" fillId="0" borderId="10" xfId="0" applyNumberFormat="1" applyFont="1" applyBorder="1" applyAlignment="1">
      <alignment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175" fontId="0" fillId="0" borderId="10" xfId="58" applyNumberFormat="1" applyFont="1" applyFill="1" applyBorder="1" applyAlignment="1">
      <alignment horizontal="center" vertical="center"/>
    </xf>
    <xf numFmtId="175" fontId="0" fillId="0" borderId="10" xfId="58" applyNumberFormat="1" applyFont="1" applyFill="1" applyBorder="1" applyAlignment="1">
      <alignment horizontal="center" vertical="center" wrapText="1"/>
    </xf>
    <xf numFmtId="0" fontId="0" fillId="0" borderId="10" xfId="79" applyFont="1" applyFill="1" applyBorder="1" applyAlignment="1">
      <alignment vertical="center"/>
      <protection/>
    </xf>
    <xf numFmtId="0" fontId="0" fillId="0" borderId="15" xfId="0" applyFont="1" applyFill="1" applyBorder="1" applyAlignment="1">
      <alignment horizontal="right" vertical="center" wrapText="1"/>
    </xf>
    <xf numFmtId="172" fontId="3" fillId="0" borderId="20"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9"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12" xfId="0" applyFont="1" applyFill="1" applyBorder="1" applyAlignment="1">
      <alignment horizontal="center" vertical="center" wrapText="1"/>
    </xf>
    <xf numFmtId="0" fontId="18" fillId="0" borderId="0" xfId="0" applyFont="1" applyFill="1" applyAlignment="1">
      <alignment horizontal="center" vertical="center" wrapText="1"/>
    </xf>
    <xf numFmtId="0" fontId="0" fillId="0" borderId="0" xfId="0" applyFont="1" applyFill="1" applyAlignment="1">
      <alignment/>
    </xf>
    <xf numFmtId="172" fontId="0" fillId="0" borderId="10" xfId="0" applyNumberFormat="1" applyFont="1" applyFill="1" applyBorder="1" applyAlignment="1">
      <alignment horizontal="center" vertical="center" wrapText="1"/>
    </xf>
    <xf numFmtId="172" fontId="0" fillId="0" borderId="10" xfId="0" applyNumberFormat="1" applyFont="1" applyFill="1" applyBorder="1" applyAlignment="1">
      <alignment horizontal="center" vertical="center" wrapText="1"/>
    </xf>
    <xf numFmtId="0" fontId="0" fillId="0" borderId="0" xfId="0" applyFont="1" applyFill="1" applyAlignment="1">
      <alignment horizontal="right" vertical="center" wrapText="1"/>
    </xf>
    <xf numFmtId="0" fontId="5" fillId="0" borderId="0" xfId="0" applyFont="1" applyFill="1" applyBorder="1" applyAlignment="1">
      <alignment horizontal="center" vertical="center"/>
    </xf>
    <xf numFmtId="0" fontId="0" fillId="0" borderId="0" xfId="0" applyFont="1" applyFill="1" applyAlignment="1">
      <alignment vertical="center"/>
    </xf>
    <xf numFmtId="0" fontId="3" fillId="0" borderId="12" xfId="0" applyFont="1" applyFill="1" applyBorder="1" applyAlignment="1">
      <alignment horizontal="center" vertical="center"/>
    </xf>
    <xf numFmtId="0" fontId="19" fillId="0" borderId="0" xfId="85" applyFont="1" applyFill="1" applyAlignment="1">
      <alignment horizontal="left" vertical="center" wrapText="1"/>
      <protection/>
    </xf>
    <xf numFmtId="0" fontId="14" fillId="0" borderId="0" xfId="0" applyFont="1" applyFill="1" applyAlignment="1">
      <alignment horizontal="center" vertical="center"/>
    </xf>
    <xf numFmtId="0" fontId="18" fillId="0" borderId="0" xfId="0" applyFont="1" applyFill="1" applyAlignment="1">
      <alignment horizontal="center" vertical="center"/>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8" fillId="0" borderId="15" xfId="0" applyFont="1" applyFill="1" applyBorder="1" applyAlignment="1">
      <alignment horizontal="right"/>
    </xf>
    <xf numFmtId="0" fontId="14" fillId="0" borderId="0" xfId="0" applyFont="1" applyFill="1" applyAlignment="1">
      <alignment horizontal="center"/>
    </xf>
    <xf numFmtId="0" fontId="18" fillId="0" borderId="0" xfId="0" applyFont="1" applyFill="1" applyAlignment="1">
      <alignment horizontal="center"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14" fillId="0" borderId="0" xfId="0" applyFont="1" applyFill="1" applyBorder="1" applyAlignment="1">
      <alignment horizontal="center" vertical="center"/>
    </xf>
    <xf numFmtId="0" fontId="18" fillId="0" borderId="0" xfId="0" applyFont="1" applyFill="1" applyBorder="1" applyAlignment="1">
      <alignment horizontal="center" vertical="center"/>
    </xf>
    <xf numFmtId="171" fontId="3" fillId="0" borderId="12" xfId="45" applyNumberFormat="1" applyFont="1" applyFill="1" applyBorder="1" applyAlignment="1">
      <alignment horizontal="center" vertical="center" wrapText="1"/>
    </xf>
    <xf numFmtId="177" fontId="3" fillId="0" borderId="12" xfId="45" applyNumberFormat="1"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2" xfId="79" applyFont="1" applyFill="1" applyBorder="1" applyAlignment="1">
      <alignment horizontal="center" vertical="center" wrapText="1"/>
      <protection/>
    </xf>
    <xf numFmtId="0" fontId="3" fillId="0" borderId="24" xfId="79" applyFont="1" applyFill="1" applyBorder="1" applyAlignment="1">
      <alignment horizontal="center" vertical="center" wrapText="1"/>
      <protection/>
    </xf>
    <xf numFmtId="0" fontId="3" fillId="0" borderId="25" xfId="79" applyFont="1" applyFill="1" applyBorder="1" applyAlignment="1">
      <alignment horizontal="center" vertical="center" wrapText="1"/>
      <protection/>
    </xf>
    <xf numFmtId="0" fontId="3" fillId="0" borderId="26" xfId="79" applyFont="1" applyFill="1" applyBorder="1" applyAlignment="1">
      <alignment horizontal="center" vertical="center" wrapText="1"/>
      <protection/>
    </xf>
    <xf numFmtId="0" fontId="18" fillId="0" borderId="15" xfId="79" applyFont="1" applyFill="1" applyBorder="1" applyAlignment="1">
      <alignment horizontal="right"/>
      <protection/>
    </xf>
    <xf numFmtId="177" fontId="3" fillId="0" borderId="12" xfId="58" applyNumberFormat="1" applyFont="1" applyFill="1" applyBorder="1" applyAlignment="1">
      <alignment horizontal="center" vertical="center" wrapText="1"/>
    </xf>
    <xf numFmtId="3" fontId="3" fillId="0" borderId="12" xfId="84" applyNumberFormat="1" applyFont="1" applyFill="1" applyBorder="1" applyAlignment="1">
      <alignment horizontal="center" vertical="center" wrapText="1"/>
      <protection/>
    </xf>
    <xf numFmtId="0" fontId="3" fillId="0" borderId="12" xfId="79" applyFont="1" applyFill="1" applyBorder="1" applyAlignment="1">
      <alignment horizontal="center" vertical="center"/>
      <protection/>
    </xf>
    <xf numFmtId="0" fontId="14" fillId="0" borderId="0" xfId="79" applyFont="1" applyFill="1" applyAlignment="1">
      <alignment horizontal="center"/>
      <protection/>
    </xf>
    <xf numFmtId="0" fontId="18" fillId="0" borderId="0" xfId="79" applyFont="1" applyFill="1" applyAlignment="1">
      <alignment horizontal="center" vertical="center"/>
      <protection/>
    </xf>
  </cellXfs>
  <cellStyles count="78">
    <cellStyle name="Normal" xfId="0"/>
    <cellStyle name="&#13;&#10;JournalTemplate=C:\COMFO\CTALK\JOURSTD.TPL&#13;&#10;LbStateAddress=3 3 0 251 1 89 2 311&#13;&#10;LbStateJou" xfId="15"/>
    <cellStyle name="&#13;&#10;JournalTemplate=C:\COMFO\CTALK\JOURSTD.TPL&#13;&#10;LbStateAddress=3 3 0 251 1 89 2 311&#13;&#10;LbStateJou 2" xfId="16"/>
    <cellStyle name="&#13;&#10;JournalTemplate=C:\COMFO\CTALK\JOURSTD.TPL&#13;&#10;LbStateAddress=3 3 0 251 1 89 2 311&#13;&#10;LbStateJou 3"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omma 10 10" xfId="47"/>
    <cellStyle name="Comma 10 10 2" xfId="48"/>
    <cellStyle name="Comma 10 2" xfId="49"/>
    <cellStyle name="Comma 2" xfId="50"/>
    <cellStyle name="Comma 2 4" xfId="51"/>
    <cellStyle name="Comma 28" xfId="52"/>
    <cellStyle name="Comma 3" xfId="53"/>
    <cellStyle name="Comma 3 2" xfId="54"/>
    <cellStyle name="Comma 30" xfId="55"/>
    <cellStyle name="Comma 47" xfId="56"/>
    <cellStyle name="Comma 48" xfId="57"/>
    <cellStyle name="Comma 5" xfId="58"/>
    <cellStyle name="Comma 51" xfId="59"/>
    <cellStyle name="Comma 97" xfId="60"/>
    <cellStyle name="Comma 97 2" xfId="61"/>
    <cellStyle name="Currency" xfId="62"/>
    <cellStyle name="Currency [0]" xfId="63"/>
    <cellStyle name="Explanatory Text" xfId="64"/>
    <cellStyle name="Good" xfId="65"/>
    <cellStyle name="Heading 1" xfId="66"/>
    <cellStyle name="Heading 2" xfId="67"/>
    <cellStyle name="Heading 3" xfId="68"/>
    <cellStyle name="Heading 4" xfId="69"/>
    <cellStyle name="Input" xfId="70"/>
    <cellStyle name="Linked Cell" xfId="71"/>
    <cellStyle name="Neutral" xfId="72"/>
    <cellStyle name="Normal 10" xfId="73"/>
    <cellStyle name="Normal 19 2" xfId="74"/>
    <cellStyle name="Normal 19 3" xfId="75"/>
    <cellStyle name="Normal 2" xfId="76"/>
    <cellStyle name="Normal 22" xfId="77"/>
    <cellStyle name="Normal 28 2 3" xfId="78"/>
    <cellStyle name="Normal 3" xfId="79"/>
    <cellStyle name="Normal 4 18" xfId="80"/>
    <cellStyle name="Normal 4 26" xfId="81"/>
    <cellStyle name="Normal 4 26 2" xfId="82"/>
    <cellStyle name="Normal 80 2 3" xfId="83"/>
    <cellStyle name="Normal_Bieu mau (CV )" xfId="84"/>
    <cellStyle name="Normal_Sheet1" xfId="85"/>
    <cellStyle name="Note" xfId="86"/>
    <cellStyle name="Output" xfId="87"/>
    <cellStyle name="Percent" xfId="88"/>
    <cellStyle name="Title" xfId="89"/>
    <cellStyle name="Total" xfId="90"/>
    <cellStyle name="Warning Text"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Downloads\BI&#7874;U%20&#272;&#7846;U%20T&#431;%20CHU&#7848;N%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min\Downloads\BI&#7874;U%20&#272;&#7846;U%20T&#431;%20CHU&#7848;N%202020%20GI&#193;O%20D&#7908;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Up"/>
      <sheetName val="VỐN ĐT NGUỒN NSTW ok"/>
      <sheetName val="VỐN ĐT NGUỒN NSĐP ok"/>
      <sheetName val="CĐNS HUYỆN ok"/>
      <sheetName val="SỰ NGHIÊP GD ok"/>
    </sheetNames>
    <sheetDataSet>
      <sheetData sheetId="3">
        <row r="3">
          <cell r="A3" t="str">
            <v>(Kèm theo Báo cáo số       /BC-UBND ngày       tháng 11 năm 2019 của UBND huyện Tuần Giáo)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rtUp"/>
      <sheetName val="VỐN ĐT NGUỒN NSTW ok"/>
      <sheetName val="VỐN ĐT NGUỒN NSĐP ok"/>
      <sheetName val="CĐNS HUYỆN ok"/>
      <sheetName val="H.TRỢ ĐẤT LÚA ok"/>
      <sheetName val="SỰ NGHIÊP GD ok"/>
    </sheetNames>
    <sheetDataSet>
      <sheetData sheetId="4">
        <row r="3">
          <cell r="A3" t="str">
            <v>(Kèm theo Báo cáo số       /BC-UBND ngày       tháng 11 năm 2019 của UBND huyện Tuần Giáo)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AG136"/>
  <sheetViews>
    <sheetView tabSelected="1" view="pageBreakPreview" zoomScale="70" zoomScaleNormal="70" zoomScaleSheetLayoutView="70" zoomScalePageLayoutView="0" workbookViewId="0" topLeftCell="A1">
      <pane xSplit="6" ySplit="7" topLeftCell="G26" activePane="bottomRight" state="frozen"/>
      <selection pane="topLeft" activeCell="A2" sqref="A2"/>
      <selection pane="topRight" activeCell="BH2" sqref="BH2"/>
      <selection pane="bottomLeft" activeCell="A10" sqref="A10"/>
      <selection pane="bottomRight" activeCell="A1" sqref="A1:B1"/>
    </sheetView>
  </sheetViews>
  <sheetFormatPr defaultColWidth="9.00390625" defaultRowHeight="15.75"/>
  <cols>
    <col min="1" max="1" width="6.00390625" style="121" customWidth="1"/>
    <col min="2" max="2" width="48.625" style="102" customWidth="1"/>
    <col min="3" max="3" width="14.375" style="121" customWidth="1"/>
    <col min="4" max="4" width="8.25390625" style="121" hidden="1" customWidth="1"/>
    <col min="5" max="5" width="10.50390625" style="121" hidden="1" customWidth="1"/>
    <col min="6" max="6" width="10.75390625" style="102" customWidth="1"/>
    <col min="7" max="7" width="11.125" style="102" customWidth="1"/>
    <col min="8" max="12" width="11.125" style="102" hidden="1" customWidth="1"/>
    <col min="13" max="13" width="10.625" style="102" customWidth="1"/>
    <col min="14" max="14" width="12.00390625" style="102" customWidth="1"/>
    <col min="15" max="15" width="10.375" style="102" customWidth="1"/>
    <col min="16" max="16" width="12.125" style="102" customWidth="1"/>
    <col min="17" max="17" width="11.625" style="102" customWidth="1"/>
    <col min="18" max="18" width="17.375" style="102" customWidth="1"/>
    <col min="19" max="19" width="14.625" style="102" customWidth="1"/>
    <col min="20" max="20" width="11.375" style="72" customWidth="1"/>
    <col min="21" max="21" width="11.625" style="102" customWidth="1"/>
    <col min="22" max="23" width="12.00390625" style="102" customWidth="1"/>
    <col min="24" max="24" width="10.375" style="102" customWidth="1"/>
    <col min="25" max="25" width="9.375" style="102" customWidth="1"/>
    <col min="26" max="29" width="7.75390625" style="102" customWidth="1"/>
    <col min="30" max="16384" width="9.00390625" style="102" customWidth="1"/>
  </cols>
  <sheetData>
    <row r="1" spans="1:33" ht="26.25" customHeight="1">
      <c r="A1" s="367" t="s">
        <v>131</v>
      </c>
      <c r="B1" s="367"/>
      <c r="C1" s="101"/>
      <c r="D1" s="101"/>
      <c r="E1" s="101"/>
      <c r="F1" s="101"/>
      <c r="G1" s="101"/>
      <c r="H1" s="101"/>
      <c r="I1" s="101"/>
      <c r="J1" s="101"/>
      <c r="K1" s="101"/>
      <c r="L1" s="101"/>
      <c r="M1" s="101"/>
      <c r="N1" s="101"/>
      <c r="O1" s="101"/>
      <c r="P1" s="101"/>
      <c r="Q1" s="101"/>
      <c r="R1" s="101"/>
      <c r="S1" s="71"/>
      <c r="T1" s="71"/>
      <c r="U1" s="71"/>
      <c r="V1" s="71"/>
      <c r="W1" s="71"/>
      <c r="X1" s="71"/>
      <c r="Y1" s="71"/>
      <c r="Z1" s="71"/>
      <c r="AA1" s="71"/>
      <c r="AB1" s="71"/>
      <c r="AC1" s="71"/>
      <c r="AD1" s="71"/>
      <c r="AE1" s="71"/>
      <c r="AF1" s="71"/>
      <c r="AG1" s="71"/>
    </row>
    <row r="2" spans="1:33" ht="32.25" customHeight="1">
      <c r="A2" s="368" t="s">
        <v>130</v>
      </c>
      <c r="B2" s="368"/>
      <c r="C2" s="368"/>
      <c r="D2" s="368"/>
      <c r="E2" s="368"/>
      <c r="F2" s="368"/>
      <c r="G2" s="368"/>
      <c r="H2" s="368"/>
      <c r="I2" s="368"/>
      <c r="J2" s="368"/>
      <c r="K2" s="368"/>
      <c r="L2" s="368"/>
      <c r="M2" s="368"/>
      <c r="N2" s="368"/>
      <c r="O2" s="368"/>
      <c r="P2" s="368"/>
      <c r="Q2" s="368"/>
      <c r="R2" s="368"/>
      <c r="S2" s="71"/>
      <c r="T2" s="71"/>
      <c r="U2" s="71"/>
      <c r="V2" s="71"/>
      <c r="W2" s="71"/>
      <c r="X2" s="71"/>
      <c r="Y2" s="71"/>
      <c r="Z2" s="71"/>
      <c r="AA2" s="71"/>
      <c r="AB2" s="71"/>
      <c r="AC2" s="71"/>
      <c r="AD2" s="71"/>
      <c r="AE2" s="71"/>
      <c r="AF2" s="71"/>
      <c r="AG2" s="71"/>
    </row>
    <row r="3" spans="1:33" ht="18.75" customHeight="1">
      <c r="A3" s="370" t="s">
        <v>129</v>
      </c>
      <c r="B3" s="370"/>
      <c r="C3" s="370"/>
      <c r="D3" s="370"/>
      <c r="E3" s="370"/>
      <c r="F3" s="370"/>
      <c r="G3" s="370"/>
      <c r="H3" s="370"/>
      <c r="I3" s="370"/>
      <c r="J3" s="370"/>
      <c r="K3" s="370"/>
      <c r="L3" s="370"/>
      <c r="M3" s="370"/>
      <c r="N3" s="370"/>
      <c r="O3" s="370"/>
      <c r="P3" s="370"/>
      <c r="Q3" s="370"/>
      <c r="R3" s="370"/>
      <c r="S3" s="71"/>
      <c r="T3" s="71"/>
      <c r="AA3" s="71"/>
      <c r="AB3" s="71"/>
      <c r="AC3" s="71"/>
      <c r="AD3" s="71"/>
      <c r="AE3" s="71"/>
      <c r="AF3" s="71"/>
      <c r="AG3" s="71"/>
    </row>
    <row r="4" spans="1:33" ht="17.25" customHeight="1">
      <c r="A4" s="362" t="s">
        <v>128</v>
      </c>
      <c r="B4" s="362"/>
      <c r="C4" s="362"/>
      <c r="D4" s="362"/>
      <c r="E4" s="362"/>
      <c r="F4" s="362"/>
      <c r="G4" s="362"/>
      <c r="H4" s="362"/>
      <c r="I4" s="362"/>
      <c r="J4" s="362"/>
      <c r="K4" s="362"/>
      <c r="L4" s="362"/>
      <c r="M4" s="362"/>
      <c r="N4" s="362"/>
      <c r="O4" s="362"/>
      <c r="P4" s="362"/>
      <c r="Q4" s="362"/>
      <c r="R4" s="362"/>
      <c r="S4" s="71"/>
      <c r="T4" s="71"/>
      <c r="U4" s="31"/>
      <c r="V4" s="31"/>
      <c r="W4" s="31"/>
      <c r="X4" s="31"/>
      <c r="Y4" s="71"/>
      <c r="Z4" s="71"/>
      <c r="AA4" s="71"/>
      <c r="AB4" s="71"/>
      <c r="AC4" s="71"/>
      <c r="AD4" s="71"/>
      <c r="AE4" s="71"/>
      <c r="AF4" s="71"/>
      <c r="AG4" s="71"/>
    </row>
    <row r="5" spans="1:33" ht="11.25" customHeight="1">
      <c r="A5" s="369" t="s">
        <v>127</v>
      </c>
      <c r="B5" s="369" t="s">
        <v>126</v>
      </c>
      <c r="C5" s="369" t="s">
        <v>125</v>
      </c>
      <c r="D5" s="369" t="s">
        <v>124</v>
      </c>
      <c r="E5" s="364" t="s">
        <v>123</v>
      </c>
      <c r="F5" s="369" t="s">
        <v>122</v>
      </c>
      <c r="G5" s="364" t="s">
        <v>418</v>
      </c>
      <c r="H5" s="364" t="s">
        <v>548</v>
      </c>
      <c r="I5" s="364" t="s">
        <v>550</v>
      </c>
      <c r="J5" s="364" t="s">
        <v>558</v>
      </c>
      <c r="K5" s="364" t="s">
        <v>552</v>
      </c>
      <c r="L5" s="364" t="s">
        <v>554</v>
      </c>
      <c r="M5" s="369" t="s">
        <v>176</v>
      </c>
      <c r="N5" s="369"/>
      <c r="O5" s="369" t="s">
        <v>305</v>
      </c>
      <c r="P5" s="369"/>
      <c r="Q5" s="369" t="s">
        <v>175</v>
      </c>
      <c r="R5" s="369" t="s">
        <v>174</v>
      </c>
      <c r="S5" s="71"/>
      <c r="T5" s="71"/>
      <c r="U5" s="103"/>
      <c r="V5" s="103"/>
      <c r="W5" s="103"/>
      <c r="X5" s="104"/>
      <c r="Y5" s="71"/>
      <c r="Z5" s="71"/>
      <c r="AA5" s="71"/>
      <c r="AB5" s="71"/>
      <c r="AC5" s="71"/>
      <c r="AD5" s="71"/>
      <c r="AE5" s="71"/>
      <c r="AF5" s="71"/>
      <c r="AG5" s="71"/>
    </row>
    <row r="6" spans="1:33" ht="14.25" customHeight="1">
      <c r="A6" s="369"/>
      <c r="B6" s="369"/>
      <c r="C6" s="369"/>
      <c r="D6" s="369"/>
      <c r="E6" s="365"/>
      <c r="F6" s="369"/>
      <c r="G6" s="365"/>
      <c r="H6" s="365"/>
      <c r="I6" s="365"/>
      <c r="J6" s="365"/>
      <c r="K6" s="365"/>
      <c r="L6" s="365"/>
      <c r="M6" s="369"/>
      <c r="N6" s="369"/>
      <c r="O6" s="369"/>
      <c r="P6" s="369"/>
      <c r="Q6" s="369"/>
      <c r="R6" s="369"/>
      <c r="S6" s="71"/>
      <c r="T6" s="71"/>
      <c r="U6" s="71"/>
      <c r="V6" s="71"/>
      <c r="W6" s="71"/>
      <c r="X6" s="71"/>
      <c r="Y6" s="71"/>
      <c r="Z6" s="71"/>
      <c r="AA6" s="71"/>
      <c r="AB6" s="71"/>
      <c r="AC6" s="71"/>
      <c r="AD6" s="71"/>
      <c r="AE6" s="71"/>
      <c r="AF6" s="71"/>
      <c r="AG6" s="71"/>
    </row>
    <row r="7" spans="1:33" s="72" customFormat="1" ht="41.25" customHeight="1">
      <c r="A7" s="369"/>
      <c r="B7" s="369"/>
      <c r="C7" s="369"/>
      <c r="D7" s="369"/>
      <c r="E7" s="366"/>
      <c r="F7" s="369"/>
      <c r="G7" s="366"/>
      <c r="H7" s="366"/>
      <c r="I7" s="366"/>
      <c r="J7" s="366"/>
      <c r="K7" s="366"/>
      <c r="L7" s="366"/>
      <c r="M7" s="31" t="s">
        <v>172</v>
      </c>
      <c r="N7" s="31" t="s">
        <v>173</v>
      </c>
      <c r="O7" s="31" t="s">
        <v>172</v>
      </c>
      <c r="P7" s="31" t="s">
        <v>171</v>
      </c>
      <c r="Q7" s="369"/>
      <c r="R7" s="369"/>
      <c r="S7" s="71"/>
      <c r="T7" s="31" t="s">
        <v>456</v>
      </c>
      <c r="U7" s="31" t="s">
        <v>176</v>
      </c>
      <c r="V7" s="31" t="s">
        <v>457</v>
      </c>
      <c r="W7" s="31" t="s">
        <v>458</v>
      </c>
      <c r="X7" s="71"/>
      <c r="Y7" s="71"/>
      <c r="Z7" s="71"/>
      <c r="AA7" s="71"/>
      <c r="AB7" s="71"/>
      <c r="AC7" s="71"/>
      <c r="AD7" s="71"/>
      <c r="AE7" s="71"/>
      <c r="AF7" s="71"/>
      <c r="AG7" s="71"/>
    </row>
    <row r="8" spans="1:33" s="76" customFormat="1" ht="21" customHeight="1">
      <c r="A8" s="47"/>
      <c r="B8" s="73" t="s">
        <v>121</v>
      </c>
      <c r="C8" s="47"/>
      <c r="D8" s="47"/>
      <c r="E8" s="47"/>
      <c r="F8" s="74">
        <f>F9+F105</f>
        <v>312623.5</v>
      </c>
      <c r="G8" s="74">
        <f>G9+G105</f>
        <v>99703.847</v>
      </c>
      <c r="H8" s="74"/>
      <c r="I8" s="74"/>
      <c r="J8" s="74"/>
      <c r="K8" s="74"/>
      <c r="L8" s="74"/>
      <c r="M8" s="74">
        <f>M9+M105</f>
        <v>66401.96800000001</v>
      </c>
      <c r="N8" s="74">
        <f>N9+N105</f>
        <v>107497.54715999999</v>
      </c>
      <c r="O8" s="74">
        <f>O9+O105</f>
        <v>87234.445</v>
      </c>
      <c r="P8" s="74">
        <f>P9+P105</f>
        <v>126850.68100000001</v>
      </c>
      <c r="Q8" s="74">
        <f>Q9+Q105</f>
        <v>99887.716</v>
      </c>
      <c r="R8" s="131"/>
      <c r="S8" s="75"/>
      <c r="T8" s="105">
        <f>G8+'VỐN ĐT NGUỒN NSĐP'!G8+'CĐNS HUYỆN'!E9+'H.TRỢ ĐẤT LÚA'!E9+'VỐN TPCP + VỐN BẢO TRÌ ĐƯỜNG BỘ'!BX9</f>
        <v>247770.52789100003</v>
      </c>
      <c r="U8" s="106">
        <f>M8+'VỐN ĐT NGUỒN NSĐP'!M8+'CĐNS HUYỆN'!O9+'H.TRỢ ĐẤT LÚA'!H9+'VỐN TPCP + VỐN BẢO TRÌ ĐƯỜNG BỘ'!CA9</f>
        <v>184881.82400000002</v>
      </c>
      <c r="V8" s="106">
        <f>O8+'VỐN ĐT NGUỒN NSĐP'!O8+'CĐNS HUYỆN'!Q9+'H.TRỢ ĐẤT LÚA'!J9+'VỐN TPCP + VỐN BẢO TRÌ ĐƯỜNG BỘ'!CC9</f>
        <v>234107.44789100002</v>
      </c>
      <c r="W8" s="107">
        <f>V8/T8</f>
        <v>0.9448559111678904</v>
      </c>
      <c r="X8" s="68"/>
      <c r="Y8" s="75"/>
      <c r="Z8" s="75"/>
      <c r="AA8" s="75"/>
      <c r="AB8" s="75"/>
      <c r="AC8" s="75"/>
      <c r="AD8" s="75"/>
      <c r="AE8" s="75"/>
      <c r="AF8" s="75"/>
      <c r="AG8" s="75"/>
    </row>
    <row r="9" spans="1:33" s="76" customFormat="1" ht="24" customHeight="1">
      <c r="A9" s="43" t="s">
        <v>120</v>
      </c>
      <c r="B9" s="77" t="s">
        <v>119</v>
      </c>
      <c r="C9" s="43"/>
      <c r="D9" s="43"/>
      <c r="E9" s="43"/>
      <c r="F9" s="78">
        <f>F10+F56+F85</f>
        <v>260623.5</v>
      </c>
      <c r="G9" s="78">
        <f>G10+G56+G85</f>
        <v>99221.847</v>
      </c>
      <c r="H9" s="78"/>
      <c r="I9" s="78"/>
      <c r="J9" s="78"/>
      <c r="K9" s="78"/>
      <c r="L9" s="78"/>
      <c r="M9" s="78">
        <f>M10+M56+M85</f>
        <v>66401.96800000001</v>
      </c>
      <c r="N9" s="78">
        <f>N10+N56+N85</f>
        <v>107497.54715999999</v>
      </c>
      <c r="O9" s="78">
        <f>O10+O56+O85</f>
        <v>86752.445</v>
      </c>
      <c r="P9" s="78">
        <f>P10+P56+P85</f>
        <v>126850.68100000001</v>
      </c>
      <c r="Q9" s="78">
        <f>Q10+Q56+Q85</f>
        <v>99887.716</v>
      </c>
      <c r="R9" s="78"/>
      <c r="S9" s="75"/>
      <c r="T9" s="1"/>
      <c r="U9" s="4"/>
      <c r="V9" s="4"/>
      <c r="W9" s="5"/>
      <c r="X9" s="4"/>
      <c r="Y9" s="75"/>
      <c r="Z9" s="75"/>
      <c r="AA9" s="75"/>
      <c r="AB9" s="75"/>
      <c r="AC9" s="75"/>
      <c r="AD9" s="75"/>
      <c r="AE9" s="75"/>
      <c r="AF9" s="75"/>
      <c r="AG9" s="75"/>
    </row>
    <row r="10" spans="1:33" s="76" customFormat="1" ht="39.75" customHeight="1">
      <c r="A10" s="43" t="s">
        <v>20</v>
      </c>
      <c r="B10" s="77" t="s">
        <v>118</v>
      </c>
      <c r="C10" s="43"/>
      <c r="D10" s="43"/>
      <c r="E10" s="43"/>
      <c r="F10" s="78">
        <f aca="true" t="shared" si="0" ref="F10:Q10">F11+F21+F49</f>
        <v>138825</v>
      </c>
      <c r="G10" s="78">
        <f t="shared" si="0"/>
        <v>34474.299</v>
      </c>
      <c r="H10" s="78"/>
      <c r="I10" s="78"/>
      <c r="J10" s="78"/>
      <c r="K10" s="78"/>
      <c r="L10" s="78"/>
      <c r="M10" s="78">
        <f t="shared" si="0"/>
        <v>26499.823</v>
      </c>
      <c r="N10" s="78">
        <f t="shared" si="0"/>
        <v>61552.20516</v>
      </c>
      <c r="O10" s="78">
        <f t="shared" si="0"/>
        <v>27999.299</v>
      </c>
      <c r="P10" s="78">
        <f t="shared" si="0"/>
        <v>60377.82000000001</v>
      </c>
      <c r="Q10" s="78">
        <f t="shared" si="0"/>
        <v>64446.176999999996</v>
      </c>
      <c r="R10" s="324"/>
      <c r="S10" s="78">
        <f>+G8+'VỐN ĐT NGUỒN NSĐP'!G8+'CĐNS HUYỆN'!E9+'H.TRỢ ĐẤT LÚA'!E9+'SỰ NGHIỆP GIÁO DỤC'!AY7+'VỐN TPCP + VỐN BẢO TRÌ ĐƯỜNG BỘ'!BX9</f>
        <v>263070.52789100003</v>
      </c>
      <c r="T10" s="1"/>
      <c r="U10" s="75"/>
      <c r="V10" s="75"/>
      <c r="W10" s="75"/>
      <c r="X10" s="75"/>
      <c r="Y10" s="75"/>
      <c r="Z10" s="75"/>
      <c r="AA10" s="75"/>
      <c r="AB10" s="75"/>
      <c r="AC10" s="75"/>
      <c r="AD10" s="75"/>
      <c r="AE10" s="75"/>
      <c r="AF10" s="75"/>
      <c r="AG10" s="75"/>
    </row>
    <row r="11" spans="1:33" s="76" customFormat="1" ht="39" customHeight="1">
      <c r="A11" s="43" t="s">
        <v>53</v>
      </c>
      <c r="B11" s="77" t="s">
        <v>83</v>
      </c>
      <c r="C11" s="43"/>
      <c r="D11" s="43"/>
      <c r="E11" s="43"/>
      <c r="F11" s="78">
        <f aca="true" t="shared" si="1" ref="F11:P11">F12</f>
        <v>38469</v>
      </c>
      <c r="G11" s="78">
        <f t="shared" si="1"/>
        <v>2624.476</v>
      </c>
      <c r="H11" s="78"/>
      <c r="I11" s="78"/>
      <c r="J11" s="78"/>
      <c r="K11" s="78"/>
      <c r="L11" s="78"/>
      <c r="M11" s="78">
        <f t="shared" si="1"/>
        <v>0</v>
      </c>
      <c r="N11" s="78">
        <f t="shared" si="1"/>
        <v>34982.38216</v>
      </c>
      <c r="O11" s="78">
        <f t="shared" si="1"/>
        <v>2624.476</v>
      </c>
      <c r="P11" s="78">
        <f t="shared" si="1"/>
        <v>34792.997</v>
      </c>
      <c r="Q11" s="78"/>
      <c r="R11" s="324"/>
      <c r="S11" s="78">
        <f>+M8+'VỐN ĐT NGUỒN NSĐP'!M8+'CĐNS HUYỆN'!O9+'H.TRỢ ĐẤT LÚA'!H9+'SỰ NGHIỆP GIÁO DỤC'!BE7+'VỐN TPCP + VỐN BẢO TRÌ ĐƯỜNG BỘ'!CA9</f>
        <v>199425.64800000002</v>
      </c>
      <c r="T11" s="1"/>
      <c r="U11" s="75"/>
      <c r="V11" s="75"/>
      <c r="W11" s="75"/>
      <c r="X11" s="75"/>
      <c r="Y11" s="75"/>
      <c r="Z11" s="75"/>
      <c r="AA11" s="75"/>
      <c r="AB11" s="75"/>
      <c r="AC11" s="75"/>
      <c r="AD11" s="75"/>
      <c r="AE11" s="75"/>
      <c r="AF11" s="75"/>
      <c r="AG11" s="75"/>
    </row>
    <row r="12" spans="1:33" s="76" customFormat="1" ht="34.5" customHeight="1">
      <c r="A12" s="43" t="s">
        <v>18</v>
      </c>
      <c r="B12" s="77" t="s">
        <v>17</v>
      </c>
      <c r="C12" s="43"/>
      <c r="D12" s="43"/>
      <c r="E12" s="43"/>
      <c r="F12" s="78">
        <f aca="true" t="shared" si="2" ref="F12:P12">SUM(F13:F20)</f>
        <v>38469</v>
      </c>
      <c r="G12" s="78">
        <f t="shared" si="2"/>
        <v>2624.476</v>
      </c>
      <c r="H12" s="78"/>
      <c r="I12" s="78"/>
      <c r="J12" s="78"/>
      <c r="K12" s="78"/>
      <c r="L12" s="78"/>
      <c r="M12" s="78">
        <f t="shared" si="2"/>
        <v>0</v>
      </c>
      <c r="N12" s="78">
        <f t="shared" si="2"/>
        <v>34982.38216</v>
      </c>
      <c r="O12" s="78">
        <f t="shared" si="2"/>
        <v>2624.476</v>
      </c>
      <c r="P12" s="78">
        <f t="shared" si="2"/>
        <v>34792.997</v>
      </c>
      <c r="Q12" s="78"/>
      <c r="R12" s="324"/>
      <c r="S12" s="78">
        <f>+O8+'VỐN ĐT NGUỒN NSĐP'!O8+'CĐNS HUYỆN'!Q9+'H.TRỢ ĐẤT LÚA'!J9+'SỰ NGHIỆP GIÁO DỤC'!BL7+'VỐN TPCP + VỐN BẢO TRÌ ĐƯỜNG BỘ'!CC9</f>
        <v>249401.347891</v>
      </c>
      <c r="T12" s="75"/>
      <c r="U12" s="79"/>
      <c r="V12" s="80"/>
      <c r="W12" s="80"/>
      <c r="X12" s="80"/>
      <c r="Y12" s="80"/>
      <c r="Z12" s="80"/>
      <c r="AA12" s="75"/>
      <c r="AB12" s="75"/>
      <c r="AC12" s="75"/>
      <c r="AD12" s="75"/>
      <c r="AE12" s="75"/>
      <c r="AF12" s="75"/>
      <c r="AG12" s="75"/>
    </row>
    <row r="13" spans="1:33" s="72" customFormat="1" ht="34.5" customHeight="1">
      <c r="A13" s="2">
        <v>1</v>
      </c>
      <c r="B13" s="3" t="s">
        <v>117</v>
      </c>
      <c r="C13" s="2" t="s">
        <v>42</v>
      </c>
      <c r="D13" s="2" t="s">
        <v>80</v>
      </c>
      <c r="E13" s="2" t="s">
        <v>116</v>
      </c>
      <c r="F13" s="81">
        <v>2500</v>
      </c>
      <c r="G13" s="81">
        <v>22.611</v>
      </c>
      <c r="H13" s="81">
        <v>870</v>
      </c>
      <c r="I13" s="81"/>
      <c r="J13" s="81"/>
      <c r="K13" s="81"/>
      <c r="L13" s="81">
        <v>22.611</v>
      </c>
      <c r="M13" s="81"/>
      <c r="N13" s="81">
        <v>2336.857</v>
      </c>
      <c r="O13" s="81">
        <v>22.611</v>
      </c>
      <c r="P13" s="82">
        <v>2336.933</v>
      </c>
      <c r="Q13" s="3"/>
      <c r="R13" s="325"/>
      <c r="S13" s="3">
        <f>+S12/S10*100</f>
        <v>94.80398655463843</v>
      </c>
      <c r="T13" s="71"/>
      <c r="U13" s="83"/>
      <c r="V13" s="83"/>
      <c r="W13" s="83"/>
      <c r="X13" s="83"/>
      <c r="Y13" s="83"/>
      <c r="Z13" s="71"/>
      <c r="AA13" s="71"/>
      <c r="AB13" s="71"/>
      <c r="AC13" s="71"/>
      <c r="AD13" s="71"/>
      <c r="AE13" s="71"/>
      <c r="AF13" s="71"/>
      <c r="AG13" s="71"/>
    </row>
    <row r="14" spans="1:33" s="72" customFormat="1" ht="34.5" customHeight="1">
      <c r="A14" s="2">
        <v>2</v>
      </c>
      <c r="B14" s="3" t="s">
        <v>115</v>
      </c>
      <c r="C14" s="2" t="s">
        <v>81</v>
      </c>
      <c r="D14" s="2" t="s">
        <v>80</v>
      </c>
      <c r="E14" s="2" t="s">
        <v>114</v>
      </c>
      <c r="F14" s="81">
        <v>3000</v>
      </c>
      <c r="G14" s="81">
        <v>26.668</v>
      </c>
      <c r="H14" s="81">
        <v>1303</v>
      </c>
      <c r="I14" s="81"/>
      <c r="J14" s="81"/>
      <c r="K14" s="81"/>
      <c r="L14" s="81">
        <v>26.668</v>
      </c>
      <c r="M14" s="81"/>
      <c r="N14" s="84">
        <v>2805.338</v>
      </c>
      <c r="O14" s="81">
        <v>26.668</v>
      </c>
      <c r="P14" s="82">
        <v>2805.338</v>
      </c>
      <c r="Q14" s="3"/>
      <c r="R14" s="3"/>
      <c r="S14" s="1"/>
      <c r="T14" s="71"/>
      <c r="U14" s="83"/>
      <c r="V14" s="83"/>
      <c r="W14" s="71"/>
      <c r="X14" s="71"/>
      <c r="Y14" s="71"/>
      <c r="Z14" s="71"/>
      <c r="AA14" s="71"/>
      <c r="AB14" s="71"/>
      <c r="AC14" s="71"/>
      <c r="AD14" s="71"/>
      <c r="AE14" s="71"/>
      <c r="AF14" s="71"/>
      <c r="AG14" s="71"/>
    </row>
    <row r="15" spans="1:33" s="72" customFormat="1" ht="57" customHeight="1">
      <c r="A15" s="2">
        <v>3</v>
      </c>
      <c r="B15" s="3" t="s">
        <v>113</v>
      </c>
      <c r="C15" s="2" t="s">
        <v>31</v>
      </c>
      <c r="D15" s="2" t="s">
        <v>80</v>
      </c>
      <c r="E15" s="2" t="s">
        <v>112</v>
      </c>
      <c r="F15" s="81">
        <v>5500</v>
      </c>
      <c r="G15" s="81">
        <v>232.477</v>
      </c>
      <c r="H15" s="81">
        <v>1773</v>
      </c>
      <c r="I15" s="81"/>
      <c r="J15" s="81"/>
      <c r="K15" s="81"/>
      <c r="L15" s="81">
        <v>232.477</v>
      </c>
      <c r="M15" s="81"/>
      <c r="N15" s="84">
        <f>4566.694-7.223</f>
        <v>4559.4710000000005</v>
      </c>
      <c r="O15" s="81">
        <v>232.477</v>
      </c>
      <c r="P15" s="82">
        <f>4566.7-7.223</f>
        <v>4559.477</v>
      </c>
      <c r="Q15" s="3"/>
      <c r="R15" s="81"/>
      <c r="S15" s="1"/>
      <c r="T15" s="71"/>
      <c r="U15" s="71"/>
      <c r="V15" s="71"/>
      <c r="W15" s="71"/>
      <c r="X15" s="71"/>
      <c r="Y15" s="71"/>
      <c r="Z15" s="71"/>
      <c r="AA15" s="71"/>
      <c r="AB15" s="71"/>
      <c r="AC15" s="71"/>
      <c r="AD15" s="71"/>
      <c r="AE15" s="71"/>
      <c r="AF15" s="71"/>
      <c r="AG15" s="71"/>
    </row>
    <row r="16" spans="1:33" s="72" customFormat="1" ht="52.5" customHeight="1">
      <c r="A16" s="2">
        <v>4</v>
      </c>
      <c r="B16" s="3" t="s">
        <v>111</v>
      </c>
      <c r="C16" s="2" t="s">
        <v>95</v>
      </c>
      <c r="D16" s="2" t="s">
        <v>80</v>
      </c>
      <c r="E16" s="2" t="s">
        <v>110</v>
      </c>
      <c r="F16" s="81">
        <v>5500</v>
      </c>
      <c r="G16" s="81">
        <v>2.514</v>
      </c>
      <c r="H16" s="81">
        <v>1800</v>
      </c>
      <c r="I16" s="81"/>
      <c r="J16" s="81"/>
      <c r="K16" s="81"/>
      <c r="L16" s="81">
        <v>2.514</v>
      </c>
      <c r="M16" s="81"/>
      <c r="N16" s="81">
        <v>4391.243</v>
      </c>
      <c r="O16" s="81">
        <v>2.514</v>
      </c>
      <c r="P16" s="82">
        <v>4391.271000000001</v>
      </c>
      <c r="Q16" s="3"/>
      <c r="R16" s="81"/>
      <c r="S16" s="1"/>
      <c r="T16" s="71"/>
      <c r="U16" s="71"/>
      <c r="V16" s="71"/>
      <c r="W16" s="71"/>
      <c r="X16" s="71"/>
      <c r="Y16" s="71"/>
      <c r="Z16" s="71"/>
      <c r="AA16" s="71"/>
      <c r="AB16" s="71"/>
      <c r="AC16" s="71"/>
      <c r="AD16" s="71"/>
      <c r="AE16" s="71"/>
      <c r="AF16" s="71"/>
      <c r="AG16" s="71"/>
    </row>
    <row r="17" spans="1:33" s="72" customFormat="1" ht="54.75" customHeight="1">
      <c r="A17" s="2">
        <v>5</v>
      </c>
      <c r="B17" s="3" t="s">
        <v>109</v>
      </c>
      <c r="C17" s="2" t="s">
        <v>37</v>
      </c>
      <c r="D17" s="2" t="s">
        <v>80</v>
      </c>
      <c r="E17" s="2" t="s">
        <v>108</v>
      </c>
      <c r="F17" s="81">
        <v>5650</v>
      </c>
      <c r="G17" s="81">
        <v>1146.778</v>
      </c>
      <c r="H17" s="81">
        <v>1850</v>
      </c>
      <c r="I17" s="81"/>
      <c r="J17" s="81"/>
      <c r="K17" s="81"/>
      <c r="L17" s="81">
        <v>1146.778</v>
      </c>
      <c r="M17" s="81"/>
      <c r="N17" s="82">
        <v>5499.238</v>
      </c>
      <c r="O17" s="81">
        <v>1146.778</v>
      </c>
      <c r="P17" s="81">
        <f>N17</f>
        <v>5499.238</v>
      </c>
      <c r="Q17" s="3"/>
      <c r="R17" s="81"/>
      <c r="S17" s="1"/>
      <c r="T17" s="71"/>
      <c r="U17" s="71"/>
      <c r="V17" s="71"/>
      <c r="W17" s="71"/>
      <c r="X17" s="71"/>
      <c r="Y17" s="71"/>
      <c r="Z17" s="71"/>
      <c r="AA17" s="71"/>
      <c r="AB17" s="71"/>
      <c r="AC17" s="71"/>
      <c r="AD17" s="71"/>
      <c r="AE17" s="71"/>
      <c r="AF17" s="71"/>
      <c r="AG17" s="71"/>
    </row>
    <row r="18" spans="1:33" s="72" customFormat="1" ht="63" customHeight="1">
      <c r="A18" s="2">
        <v>6</v>
      </c>
      <c r="B18" s="3" t="s">
        <v>107</v>
      </c>
      <c r="C18" s="2" t="s">
        <v>74</v>
      </c>
      <c r="D18" s="2" t="s">
        <v>101</v>
      </c>
      <c r="E18" s="2" t="s">
        <v>100</v>
      </c>
      <c r="F18" s="81">
        <v>5125</v>
      </c>
      <c r="G18" s="81">
        <v>295.549</v>
      </c>
      <c r="H18" s="81">
        <v>1850</v>
      </c>
      <c r="I18" s="81"/>
      <c r="J18" s="81"/>
      <c r="K18" s="81"/>
      <c r="L18" s="81">
        <v>295.549</v>
      </c>
      <c r="M18" s="81"/>
      <c r="N18" s="81">
        <v>4899.5</v>
      </c>
      <c r="O18" s="81">
        <v>295.549</v>
      </c>
      <c r="P18" s="81">
        <f>4608.849+26.6</f>
        <v>4635.4490000000005</v>
      </c>
      <c r="Q18" s="3"/>
      <c r="R18" s="3"/>
      <c r="S18" s="1"/>
      <c r="T18" s="71"/>
      <c r="U18" s="71"/>
      <c r="V18" s="83"/>
      <c r="W18" s="83"/>
      <c r="X18" s="71"/>
      <c r="Y18" s="71"/>
      <c r="Z18" s="71"/>
      <c r="AA18" s="71"/>
      <c r="AB18" s="71"/>
      <c r="AC18" s="71"/>
      <c r="AD18" s="71"/>
      <c r="AE18" s="71"/>
      <c r="AF18" s="71"/>
      <c r="AG18" s="71"/>
    </row>
    <row r="19" spans="1:33" s="72" customFormat="1" ht="50.25" customHeight="1">
      <c r="A19" s="2">
        <v>7</v>
      </c>
      <c r="B19" s="3" t="s">
        <v>106</v>
      </c>
      <c r="C19" s="2" t="s">
        <v>105</v>
      </c>
      <c r="D19" s="2" t="s">
        <v>80</v>
      </c>
      <c r="E19" s="2" t="s">
        <v>104</v>
      </c>
      <c r="F19" s="81">
        <v>5350</v>
      </c>
      <c r="G19" s="81">
        <v>609.291</v>
      </c>
      <c r="H19" s="81">
        <v>1188</v>
      </c>
      <c r="I19" s="81"/>
      <c r="J19" s="81"/>
      <c r="K19" s="81"/>
      <c r="L19" s="81">
        <v>609.291</v>
      </c>
      <c r="M19" s="81"/>
      <c r="N19" s="81">
        <v>4771.291</v>
      </c>
      <c r="O19" s="81">
        <v>609.291</v>
      </c>
      <c r="P19" s="81">
        <v>4771.291</v>
      </c>
      <c r="Q19" s="3"/>
      <c r="R19" s="3"/>
      <c r="S19" s="1"/>
      <c r="T19" s="71"/>
      <c r="U19" s="71"/>
      <c r="V19" s="71"/>
      <c r="W19" s="71"/>
      <c r="X19" s="71"/>
      <c r="Y19" s="71"/>
      <c r="Z19" s="71"/>
      <c r="AA19" s="71"/>
      <c r="AB19" s="71"/>
      <c r="AC19" s="71"/>
      <c r="AD19" s="71"/>
      <c r="AE19" s="71"/>
      <c r="AF19" s="71"/>
      <c r="AG19" s="71"/>
    </row>
    <row r="20" spans="1:33" s="72" customFormat="1" ht="38.25" customHeight="1">
      <c r="A20" s="2">
        <v>8</v>
      </c>
      <c r="B20" s="3" t="s">
        <v>103</v>
      </c>
      <c r="C20" s="2" t="s">
        <v>102</v>
      </c>
      <c r="D20" s="2" t="s">
        <v>101</v>
      </c>
      <c r="E20" s="2" t="s">
        <v>100</v>
      </c>
      <c r="F20" s="81">
        <v>5844</v>
      </c>
      <c r="G20" s="81">
        <v>288.588</v>
      </c>
      <c r="H20" s="81">
        <v>1850</v>
      </c>
      <c r="I20" s="81"/>
      <c r="J20" s="81"/>
      <c r="K20" s="81"/>
      <c r="L20" s="81">
        <v>288.588</v>
      </c>
      <c r="M20" s="81"/>
      <c r="N20" s="81">
        <v>5719.44416</v>
      </c>
      <c r="O20" s="81">
        <v>288.588</v>
      </c>
      <c r="P20" s="81">
        <v>5794</v>
      </c>
      <c r="Q20" s="3"/>
      <c r="R20" s="3"/>
      <c r="S20" s="1"/>
      <c r="T20" s="71"/>
      <c r="U20" s="83"/>
      <c r="V20" s="71"/>
      <c r="W20" s="71"/>
      <c r="X20" s="71"/>
      <c r="Y20" s="71"/>
      <c r="Z20" s="71"/>
      <c r="AA20" s="71"/>
      <c r="AB20" s="71"/>
      <c r="AC20" s="71"/>
      <c r="AD20" s="71"/>
      <c r="AE20" s="71"/>
      <c r="AF20" s="71"/>
      <c r="AG20" s="71"/>
    </row>
    <row r="21" spans="1:33" s="85" customFormat="1" ht="30.75" customHeight="1">
      <c r="A21" s="43" t="s">
        <v>30</v>
      </c>
      <c r="B21" s="77" t="s">
        <v>78</v>
      </c>
      <c r="C21" s="43"/>
      <c r="D21" s="43"/>
      <c r="E21" s="43"/>
      <c r="F21" s="78">
        <f>F22+F25+F27+F29+F32+F34+F36+F39+F42+F45+F47</f>
        <v>47718</v>
      </c>
      <c r="G21" s="78">
        <f>G22+G25+G27+G29+G32+G34+G36+G39+G42+G45+G47</f>
        <v>31049.823</v>
      </c>
      <c r="H21" s="78"/>
      <c r="I21" s="78"/>
      <c r="J21" s="78"/>
      <c r="K21" s="78"/>
      <c r="L21" s="78"/>
      <c r="M21" s="78">
        <f>M22+M25+M27+M29+M32+M34+M36+M39+M42+M45+M47</f>
        <v>25549.823</v>
      </c>
      <c r="N21" s="78">
        <f>N22+N25+N27+N29+N32+N34+N36+N39+N42+N45+N47</f>
        <v>25619.823</v>
      </c>
      <c r="O21" s="78">
        <f>O22+O25+O27+O29+O32+O34+O36+O39+O42+O45+O47</f>
        <v>24574.823</v>
      </c>
      <c r="P21" s="78">
        <f>P22+P25+P27+P29+P32+P34+P36+P39+P42+P45+P47</f>
        <v>24784.823</v>
      </c>
      <c r="Q21" s="78">
        <f>Q22+Q25+Q27+Q29+Q32+Q34+Q36+Q39+Q42+Q45+Q47</f>
        <v>12608.177</v>
      </c>
      <c r="R21" s="78"/>
      <c r="S21" s="1"/>
      <c r="T21" s="71"/>
      <c r="U21" s="75"/>
      <c r="V21" s="75"/>
      <c r="W21" s="75"/>
      <c r="X21" s="75"/>
      <c r="Y21" s="75"/>
      <c r="Z21" s="75"/>
      <c r="AA21" s="75"/>
      <c r="AB21" s="75"/>
      <c r="AC21" s="75"/>
      <c r="AD21" s="75"/>
      <c r="AE21" s="75"/>
      <c r="AF21" s="75"/>
      <c r="AG21" s="75"/>
    </row>
    <row r="22" spans="1:33" s="76" customFormat="1" ht="30.75" customHeight="1">
      <c r="A22" s="43" t="s">
        <v>18</v>
      </c>
      <c r="B22" s="77" t="s">
        <v>17</v>
      </c>
      <c r="C22" s="43"/>
      <c r="D22" s="43"/>
      <c r="E22" s="43"/>
      <c r="F22" s="78">
        <f aca="true" t="shared" si="3" ref="F22:Q22">SUM(F23:F24)</f>
        <v>17188</v>
      </c>
      <c r="G22" s="78">
        <f>SUM(G23:G24)</f>
        <v>13449.823</v>
      </c>
      <c r="H22" s="78"/>
      <c r="I22" s="78"/>
      <c r="J22" s="78"/>
      <c r="K22" s="78"/>
      <c r="L22" s="78"/>
      <c r="M22" s="78">
        <f t="shared" si="3"/>
        <v>13449.823</v>
      </c>
      <c r="N22" s="78">
        <f t="shared" si="3"/>
        <v>13449.823</v>
      </c>
      <c r="O22" s="78">
        <f t="shared" si="3"/>
        <v>13449.823</v>
      </c>
      <c r="P22" s="78">
        <f t="shared" si="3"/>
        <v>13449.823</v>
      </c>
      <c r="Q22" s="78">
        <f t="shared" si="3"/>
        <v>3738.177</v>
      </c>
      <c r="R22" s="78"/>
      <c r="S22" s="1"/>
      <c r="T22" s="71"/>
      <c r="U22" s="75"/>
      <c r="V22" s="75"/>
      <c r="W22" s="75"/>
      <c r="X22" s="75"/>
      <c r="Y22" s="75"/>
      <c r="Z22" s="75"/>
      <c r="AA22" s="75"/>
      <c r="AB22" s="75"/>
      <c r="AC22" s="75"/>
      <c r="AD22" s="75"/>
      <c r="AE22" s="75"/>
      <c r="AF22" s="75"/>
      <c r="AG22" s="75"/>
    </row>
    <row r="23" spans="1:33" s="72" customFormat="1" ht="33" customHeight="1">
      <c r="A23" s="2">
        <v>1</v>
      </c>
      <c r="B23" s="3" t="s">
        <v>99</v>
      </c>
      <c r="C23" s="2" t="s">
        <v>71</v>
      </c>
      <c r="D23" s="2" t="s">
        <v>56</v>
      </c>
      <c r="E23" s="2"/>
      <c r="F23" s="81">
        <v>7000</v>
      </c>
      <c r="G23" s="86">
        <f>4399+550.823</f>
        <v>4949.823</v>
      </c>
      <c r="H23" s="86">
        <v>4399</v>
      </c>
      <c r="I23" s="86"/>
      <c r="J23" s="86"/>
      <c r="K23" s="86"/>
      <c r="L23" s="313">
        <f>4399+550.823</f>
        <v>4949.823</v>
      </c>
      <c r="M23" s="326">
        <f>4399+550.823</f>
        <v>4949.823</v>
      </c>
      <c r="N23" s="326">
        <f>4399+550.823</f>
        <v>4949.823</v>
      </c>
      <c r="O23" s="81">
        <f>G23</f>
        <v>4949.823</v>
      </c>
      <c r="P23" s="81">
        <f>O23</f>
        <v>4949.823</v>
      </c>
      <c r="Q23" s="81">
        <f>2601-550.823</f>
        <v>2050.177</v>
      </c>
      <c r="R23" s="81"/>
      <c r="S23" s="1"/>
      <c r="T23" s="71"/>
      <c r="U23" s="71"/>
      <c r="V23" s="71"/>
      <c r="W23" s="71"/>
      <c r="X23" s="71"/>
      <c r="Y23" s="71"/>
      <c r="Z23" s="71"/>
      <c r="AA23" s="71"/>
      <c r="AB23" s="71"/>
      <c r="AC23" s="71"/>
      <c r="AD23" s="71"/>
      <c r="AE23" s="71"/>
      <c r="AF23" s="71"/>
      <c r="AG23" s="71"/>
    </row>
    <row r="24" spans="1:33" s="72" customFormat="1" ht="39.75" customHeight="1">
      <c r="A24" s="2">
        <v>2</v>
      </c>
      <c r="B24" s="3" t="s">
        <v>98</v>
      </c>
      <c r="C24" s="2" t="s">
        <v>97</v>
      </c>
      <c r="D24" s="2" t="s">
        <v>56</v>
      </c>
      <c r="E24" s="2"/>
      <c r="F24" s="81">
        <v>10188</v>
      </c>
      <c r="G24" s="81">
        <f>6000+2500</f>
        <v>8500</v>
      </c>
      <c r="H24" s="81">
        <v>6000</v>
      </c>
      <c r="I24" s="81"/>
      <c r="J24" s="81"/>
      <c r="K24" s="81"/>
      <c r="L24" s="81">
        <v>8500</v>
      </c>
      <c r="M24" s="326">
        <v>8500</v>
      </c>
      <c r="N24" s="326">
        <v>8500</v>
      </c>
      <c r="O24" s="81">
        <f>6000+2500</f>
        <v>8500</v>
      </c>
      <c r="P24" s="81">
        <f>O24</f>
        <v>8500</v>
      </c>
      <c r="Q24" s="81">
        <f>4188-2500</f>
        <v>1688</v>
      </c>
      <c r="R24" s="81"/>
      <c r="S24" s="1"/>
      <c r="T24" s="71"/>
      <c r="U24" s="71"/>
      <c r="V24" s="71"/>
      <c r="W24" s="71"/>
      <c r="X24" s="71"/>
      <c r="Y24" s="71"/>
      <c r="Z24" s="71"/>
      <c r="AA24" s="71"/>
      <c r="AB24" s="71"/>
      <c r="AC24" s="71"/>
      <c r="AD24" s="71"/>
      <c r="AE24" s="71"/>
      <c r="AF24" s="71"/>
      <c r="AG24" s="71"/>
    </row>
    <row r="25" spans="1:33" s="94" customFormat="1" ht="26.25" customHeight="1">
      <c r="A25" s="95" t="s">
        <v>534</v>
      </c>
      <c r="B25" s="96" t="s">
        <v>33</v>
      </c>
      <c r="C25" s="89"/>
      <c r="D25" s="91"/>
      <c r="E25" s="91"/>
      <c r="F25" s="93">
        <v>1850</v>
      </c>
      <c r="G25" s="93">
        <v>1000</v>
      </c>
      <c r="H25" s="93"/>
      <c r="I25" s="93"/>
      <c r="J25" s="93"/>
      <c r="K25" s="93"/>
      <c r="L25" s="93"/>
      <c r="M25" s="93">
        <v>150</v>
      </c>
      <c r="N25" s="93">
        <v>150</v>
      </c>
      <c r="O25" s="93"/>
      <c r="P25" s="93"/>
      <c r="Q25" s="93"/>
      <c r="R25" s="109"/>
      <c r="S25" s="99"/>
      <c r="T25" s="100"/>
      <c r="U25" s="100"/>
      <c r="V25" s="100"/>
      <c r="W25" s="100"/>
      <c r="X25" s="100"/>
      <c r="Y25" s="100"/>
      <c r="Z25" s="100"/>
      <c r="AA25" s="100"/>
      <c r="AB25" s="100"/>
      <c r="AC25" s="100"/>
      <c r="AD25" s="100"/>
      <c r="AE25" s="100"/>
      <c r="AF25" s="100"/>
      <c r="AG25" s="100"/>
    </row>
    <row r="26" spans="1:33" s="94" customFormat="1" ht="29.25" customHeight="1">
      <c r="A26" s="89">
        <v>1</v>
      </c>
      <c r="B26" s="90" t="s">
        <v>511</v>
      </c>
      <c r="C26" s="89" t="s">
        <v>31</v>
      </c>
      <c r="D26" s="91"/>
      <c r="E26" s="91"/>
      <c r="F26" s="92">
        <v>1850</v>
      </c>
      <c r="G26" s="92">
        <v>1000</v>
      </c>
      <c r="H26" s="92">
        <v>1000</v>
      </c>
      <c r="I26" s="92">
        <v>1000</v>
      </c>
      <c r="J26" s="92"/>
      <c r="K26" s="92"/>
      <c r="L26" s="92"/>
      <c r="M26" s="92">
        <v>150</v>
      </c>
      <c r="N26" s="92">
        <v>150</v>
      </c>
      <c r="O26" s="93"/>
      <c r="P26" s="93"/>
      <c r="Q26" s="93"/>
      <c r="R26" s="319"/>
      <c r="S26" s="1"/>
      <c r="T26" s="71"/>
      <c r="U26" s="71"/>
      <c r="V26" s="71"/>
      <c r="W26" s="71"/>
      <c r="X26" s="71"/>
      <c r="Y26" s="71"/>
      <c r="Z26" s="71"/>
      <c r="AA26" s="71"/>
      <c r="AB26" s="71"/>
      <c r="AC26" s="71"/>
      <c r="AD26" s="71"/>
      <c r="AE26" s="71"/>
      <c r="AF26" s="71"/>
      <c r="AG26" s="71"/>
    </row>
    <row r="27" spans="1:33" s="94" customFormat="1" ht="29.25" customHeight="1">
      <c r="A27" s="95" t="s">
        <v>18</v>
      </c>
      <c r="B27" s="96" t="s">
        <v>512</v>
      </c>
      <c r="C27" s="95"/>
      <c r="D27" s="97"/>
      <c r="E27" s="97"/>
      <c r="F27" s="93">
        <v>2000</v>
      </c>
      <c r="G27" s="93">
        <v>1200</v>
      </c>
      <c r="H27" s="93"/>
      <c r="I27" s="93"/>
      <c r="J27" s="93"/>
      <c r="K27" s="93"/>
      <c r="L27" s="93"/>
      <c r="M27" s="93">
        <v>150</v>
      </c>
      <c r="N27" s="93">
        <v>150</v>
      </c>
      <c r="O27" s="93">
        <v>925</v>
      </c>
      <c r="P27" s="93">
        <v>925</v>
      </c>
      <c r="Q27" s="93">
        <v>800</v>
      </c>
      <c r="R27" s="319"/>
      <c r="S27" s="1"/>
      <c r="T27" s="71"/>
      <c r="U27" s="71"/>
      <c r="V27" s="71"/>
      <c r="W27" s="71"/>
      <c r="X27" s="71"/>
      <c r="Y27" s="71"/>
      <c r="Z27" s="71"/>
      <c r="AA27" s="71"/>
      <c r="AB27" s="71"/>
      <c r="AC27" s="71"/>
      <c r="AD27" s="71"/>
      <c r="AE27" s="71"/>
      <c r="AF27" s="71"/>
      <c r="AG27" s="71"/>
    </row>
    <row r="28" spans="1:33" s="94" customFormat="1" ht="29.25" customHeight="1">
      <c r="A28" s="89">
        <v>1</v>
      </c>
      <c r="B28" s="90" t="s">
        <v>513</v>
      </c>
      <c r="C28" s="89" t="s">
        <v>96</v>
      </c>
      <c r="D28" s="91"/>
      <c r="E28" s="91"/>
      <c r="F28" s="92">
        <v>2000</v>
      </c>
      <c r="G28" s="92">
        <v>1200</v>
      </c>
      <c r="H28" s="92">
        <v>1200</v>
      </c>
      <c r="I28" s="92">
        <v>1200</v>
      </c>
      <c r="J28" s="92"/>
      <c r="K28" s="92"/>
      <c r="L28" s="92"/>
      <c r="M28" s="92">
        <v>200</v>
      </c>
      <c r="N28" s="92">
        <v>200</v>
      </c>
      <c r="O28" s="92">
        <v>925</v>
      </c>
      <c r="P28" s="92">
        <v>925</v>
      </c>
      <c r="Q28" s="92">
        <v>800</v>
      </c>
      <c r="R28" s="319"/>
      <c r="S28" s="1"/>
      <c r="T28" s="71"/>
      <c r="U28" s="71"/>
      <c r="V28" s="71"/>
      <c r="W28" s="71"/>
      <c r="X28" s="71"/>
      <c r="Y28" s="71"/>
      <c r="Z28" s="71"/>
      <c r="AA28" s="71"/>
      <c r="AB28" s="71"/>
      <c r="AC28" s="71"/>
      <c r="AD28" s="71"/>
      <c r="AE28" s="71"/>
      <c r="AF28" s="71"/>
      <c r="AG28" s="71"/>
    </row>
    <row r="29" spans="1:33" s="94" customFormat="1" ht="29.25" customHeight="1">
      <c r="A29" s="95" t="s">
        <v>18</v>
      </c>
      <c r="B29" s="96" t="s">
        <v>514</v>
      </c>
      <c r="C29" s="89"/>
      <c r="D29" s="91"/>
      <c r="E29" s="91"/>
      <c r="F29" s="93">
        <v>4300</v>
      </c>
      <c r="G29" s="93">
        <v>100</v>
      </c>
      <c r="H29" s="93"/>
      <c r="I29" s="93"/>
      <c r="J29" s="93"/>
      <c r="K29" s="93"/>
      <c r="L29" s="93"/>
      <c r="M29" s="93">
        <v>400</v>
      </c>
      <c r="N29" s="93">
        <v>400</v>
      </c>
      <c r="O29" s="93">
        <v>100</v>
      </c>
      <c r="P29" s="93">
        <v>100</v>
      </c>
      <c r="Q29" s="93">
        <v>4200</v>
      </c>
      <c r="R29" s="319"/>
      <c r="S29" s="1"/>
      <c r="T29" s="71"/>
      <c r="U29" s="71"/>
      <c r="V29" s="71"/>
      <c r="W29" s="71"/>
      <c r="X29" s="71"/>
      <c r="Y29" s="71"/>
      <c r="Z29" s="71"/>
      <c r="AA29" s="71"/>
      <c r="AB29" s="71"/>
      <c r="AC29" s="71"/>
      <c r="AD29" s="71"/>
      <c r="AE29" s="71"/>
      <c r="AF29" s="71"/>
      <c r="AG29" s="71"/>
    </row>
    <row r="30" spans="1:33" s="94" customFormat="1" ht="29.25" customHeight="1">
      <c r="A30" s="89">
        <v>1</v>
      </c>
      <c r="B30" s="90" t="s">
        <v>515</v>
      </c>
      <c r="C30" s="89" t="s">
        <v>47</v>
      </c>
      <c r="D30" s="91"/>
      <c r="E30" s="91"/>
      <c r="F30" s="92">
        <v>2050</v>
      </c>
      <c r="G30" s="92">
        <v>50</v>
      </c>
      <c r="H30" s="92">
        <v>50</v>
      </c>
      <c r="I30" s="92">
        <v>50</v>
      </c>
      <c r="J30" s="92"/>
      <c r="K30" s="92"/>
      <c r="L30" s="92"/>
      <c r="M30" s="92">
        <v>200</v>
      </c>
      <c r="N30" s="92">
        <v>200</v>
      </c>
      <c r="O30" s="92">
        <v>50</v>
      </c>
      <c r="P30" s="92">
        <v>50</v>
      </c>
      <c r="Q30" s="92">
        <v>2000</v>
      </c>
      <c r="R30" s="319"/>
      <c r="S30" s="1"/>
      <c r="T30" s="71"/>
      <c r="U30" s="71"/>
      <c r="V30" s="71"/>
      <c r="W30" s="71"/>
      <c r="X30" s="71"/>
      <c r="Y30" s="71"/>
      <c r="Z30" s="71"/>
      <c r="AA30" s="71"/>
      <c r="AB30" s="71"/>
      <c r="AC30" s="71"/>
      <c r="AD30" s="71"/>
      <c r="AE30" s="71"/>
      <c r="AF30" s="71"/>
      <c r="AG30" s="71"/>
    </row>
    <row r="31" spans="1:33" s="94" customFormat="1" ht="43.5" customHeight="1">
      <c r="A31" s="89">
        <v>2</v>
      </c>
      <c r="B31" s="90" t="s">
        <v>516</v>
      </c>
      <c r="C31" s="89" t="s">
        <v>47</v>
      </c>
      <c r="D31" s="91"/>
      <c r="E31" s="91"/>
      <c r="F31" s="92">
        <v>2250</v>
      </c>
      <c r="G31" s="92">
        <v>50</v>
      </c>
      <c r="H31" s="92">
        <v>50</v>
      </c>
      <c r="I31" s="92">
        <v>50</v>
      </c>
      <c r="J31" s="92"/>
      <c r="K31" s="92"/>
      <c r="L31" s="92"/>
      <c r="M31" s="92">
        <v>200</v>
      </c>
      <c r="N31" s="92">
        <v>200</v>
      </c>
      <c r="O31" s="92">
        <v>50</v>
      </c>
      <c r="P31" s="92">
        <v>50</v>
      </c>
      <c r="Q31" s="92">
        <v>2200</v>
      </c>
      <c r="R31" s="319"/>
      <c r="S31" s="1"/>
      <c r="T31" s="71"/>
      <c r="U31" s="71"/>
      <c r="V31" s="71"/>
      <c r="W31" s="71"/>
      <c r="X31" s="71"/>
      <c r="Y31" s="71"/>
      <c r="Z31" s="71"/>
      <c r="AA31" s="71"/>
      <c r="AB31" s="71"/>
      <c r="AC31" s="71"/>
      <c r="AD31" s="71"/>
      <c r="AE31" s="71"/>
      <c r="AF31" s="71"/>
      <c r="AG31" s="71"/>
    </row>
    <row r="32" spans="1:33" s="76" customFormat="1" ht="29.25" customHeight="1">
      <c r="A32" s="95" t="s">
        <v>18</v>
      </c>
      <c r="B32" s="96" t="s">
        <v>36</v>
      </c>
      <c r="C32" s="95"/>
      <c r="D32" s="97"/>
      <c r="E32" s="97"/>
      <c r="F32" s="93">
        <v>3000</v>
      </c>
      <c r="G32" s="93">
        <v>1700</v>
      </c>
      <c r="H32" s="93"/>
      <c r="I32" s="93"/>
      <c r="J32" s="93"/>
      <c r="K32" s="93"/>
      <c r="L32" s="93"/>
      <c r="M32" s="93">
        <v>2200</v>
      </c>
      <c r="N32" s="93">
        <v>2200</v>
      </c>
      <c r="O32" s="93">
        <v>1700</v>
      </c>
      <c r="P32" s="93">
        <v>1730</v>
      </c>
      <c r="Q32" s="93">
        <v>1270</v>
      </c>
      <c r="R32" s="319"/>
      <c r="S32" s="1"/>
      <c r="T32" s="75"/>
      <c r="U32" s="75"/>
      <c r="V32" s="75"/>
      <c r="W32" s="75"/>
      <c r="X32" s="75"/>
      <c r="Y32" s="75"/>
      <c r="Z32" s="75"/>
      <c r="AA32" s="75"/>
      <c r="AB32" s="75"/>
      <c r="AC32" s="75"/>
      <c r="AD32" s="75"/>
      <c r="AE32" s="75"/>
      <c r="AF32" s="75"/>
      <c r="AG32" s="75"/>
    </row>
    <row r="33" spans="1:33" s="94" customFormat="1" ht="29.25" customHeight="1">
      <c r="A33" s="89">
        <v>1</v>
      </c>
      <c r="B33" s="90" t="s">
        <v>517</v>
      </c>
      <c r="C33" s="89" t="s">
        <v>518</v>
      </c>
      <c r="D33" s="91"/>
      <c r="E33" s="91"/>
      <c r="F33" s="92">
        <v>3000</v>
      </c>
      <c r="G33" s="92">
        <v>1700</v>
      </c>
      <c r="H33" s="92">
        <v>1700</v>
      </c>
      <c r="I33" s="92"/>
      <c r="J33" s="92"/>
      <c r="K33" s="92"/>
      <c r="L33" s="92"/>
      <c r="M33" s="92">
        <v>2200</v>
      </c>
      <c r="N33" s="92">
        <v>2200</v>
      </c>
      <c r="O33" s="92">
        <v>1700</v>
      </c>
      <c r="P33" s="92">
        <v>1730</v>
      </c>
      <c r="Q33" s="92">
        <v>1270</v>
      </c>
      <c r="R33" s="319"/>
      <c r="S33" s="1"/>
      <c r="T33" s="71"/>
      <c r="U33" s="71"/>
      <c r="V33" s="71"/>
      <c r="W33" s="71"/>
      <c r="X33" s="71"/>
      <c r="Y33" s="71"/>
      <c r="Z33" s="71"/>
      <c r="AA33" s="71"/>
      <c r="AB33" s="71"/>
      <c r="AC33" s="71"/>
      <c r="AD33" s="71"/>
      <c r="AE33" s="71"/>
      <c r="AF33" s="71"/>
      <c r="AG33" s="71"/>
    </row>
    <row r="34" spans="1:33" s="76" customFormat="1" ht="29.25" customHeight="1">
      <c r="A34" s="95" t="s">
        <v>18</v>
      </c>
      <c r="B34" s="96" t="s">
        <v>519</v>
      </c>
      <c r="C34" s="95"/>
      <c r="D34" s="97"/>
      <c r="E34" s="97"/>
      <c r="F34" s="93">
        <v>3050</v>
      </c>
      <c r="G34" s="93">
        <v>2500</v>
      </c>
      <c r="H34" s="93"/>
      <c r="I34" s="93"/>
      <c r="J34" s="93"/>
      <c r="K34" s="93"/>
      <c r="L34" s="93"/>
      <c r="M34" s="93">
        <v>2500</v>
      </c>
      <c r="N34" s="93">
        <v>2570</v>
      </c>
      <c r="O34" s="93">
        <v>2500</v>
      </c>
      <c r="P34" s="93">
        <v>2570</v>
      </c>
      <c r="Q34" s="93">
        <v>550</v>
      </c>
      <c r="R34" s="319"/>
      <c r="S34" s="1"/>
      <c r="T34" s="75"/>
      <c r="U34" s="75"/>
      <c r="V34" s="75"/>
      <c r="W34" s="75"/>
      <c r="X34" s="75"/>
      <c r="Y34" s="75"/>
      <c r="Z34" s="75"/>
      <c r="AA34" s="75"/>
      <c r="AB34" s="75"/>
      <c r="AC34" s="75"/>
      <c r="AD34" s="75"/>
      <c r="AE34" s="75"/>
      <c r="AF34" s="75"/>
      <c r="AG34" s="75"/>
    </row>
    <row r="35" spans="1:33" s="94" customFormat="1" ht="42" customHeight="1">
      <c r="A35" s="89">
        <v>1</v>
      </c>
      <c r="B35" s="90" t="s">
        <v>520</v>
      </c>
      <c r="C35" s="89" t="s">
        <v>81</v>
      </c>
      <c r="D35" s="91"/>
      <c r="E35" s="91"/>
      <c r="F35" s="92">
        <v>3050</v>
      </c>
      <c r="G35" s="92">
        <v>2500</v>
      </c>
      <c r="H35" s="92">
        <v>2500</v>
      </c>
      <c r="I35" s="92"/>
      <c r="J35" s="92"/>
      <c r="K35" s="92"/>
      <c r="L35" s="92"/>
      <c r="M35" s="92">
        <v>2500</v>
      </c>
      <c r="N35" s="92">
        <v>2570</v>
      </c>
      <c r="O35" s="92">
        <v>2500</v>
      </c>
      <c r="P35" s="92">
        <v>2570</v>
      </c>
      <c r="Q35" s="92">
        <v>550</v>
      </c>
      <c r="R35" s="319"/>
      <c r="S35" s="1"/>
      <c r="T35" s="71"/>
      <c r="U35" s="71"/>
      <c r="V35" s="71"/>
      <c r="W35" s="71"/>
      <c r="X35" s="71"/>
      <c r="Y35" s="71"/>
      <c r="Z35" s="71"/>
      <c r="AA35" s="71"/>
      <c r="AB35" s="71"/>
      <c r="AC35" s="71"/>
      <c r="AD35" s="71"/>
      <c r="AE35" s="71"/>
      <c r="AF35" s="71"/>
      <c r="AG35" s="71"/>
    </row>
    <row r="36" spans="1:33" s="76" customFormat="1" ht="29.25" customHeight="1">
      <c r="A36" s="95" t="s">
        <v>18</v>
      </c>
      <c r="B36" s="96" t="s">
        <v>521</v>
      </c>
      <c r="C36" s="95"/>
      <c r="D36" s="97"/>
      <c r="E36" s="97"/>
      <c r="F36" s="93">
        <v>2550</v>
      </c>
      <c r="G36" s="93">
        <v>1900</v>
      </c>
      <c r="H36" s="93"/>
      <c r="I36" s="93"/>
      <c r="J36" s="93"/>
      <c r="K36" s="93"/>
      <c r="L36" s="93"/>
      <c r="M36" s="93">
        <v>1700</v>
      </c>
      <c r="N36" s="93">
        <v>1700</v>
      </c>
      <c r="O36" s="93">
        <v>1450</v>
      </c>
      <c r="P36" s="93">
        <v>1480</v>
      </c>
      <c r="Q36" s="93">
        <v>650</v>
      </c>
      <c r="R36" s="319"/>
      <c r="S36" s="1"/>
      <c r="T36" s="75"/>
      <c r="U36" s="75"/>
      <c r="V36" s="75"/>
      <c r="W36" s="75"/>
      <c r="X36" s="75"/>
      <c r="Y36" s="75"/>
      <c r="Z36" s="75"/>
      <c r="AA36" s="75"/>
      <c r="AB36" s="75"/>
      <c r="AC36" s="75"/>
      <c r="AD36" s="75"/>
      <c r="AE36" s="75"/>
      <c r="AF36" s="75"/>
      <c r="AG36" s="75"/>
    </row>
    <row r="37" spans="1:33" s="94" customFormat="1" ht="29.25" customHeight="1">
      <c r="A37" s="89">
        <v>1</v>
      </c>
      <c r="B37" s="90" t="s">
        <v>522</v>
      </c>
      <c r="C37" s="89" t="s">
        <v>42</v>
      </c>
      <c r="D37" s="91"/>
      <c r="E37" s="91"/>
      <c r="F37" s="92">
        <v>1150</v>
      </c>
      <c r="G37" s="92">
        <v>1000</v>
      </c>
      <c r="H37" s="92">
        <v>1000</v>
      </c>
      <c r="I37" s="92"/>
      <c r="J37" s="92"/>
      <c r="K37" s="92"/>
      <c r="L37" s="92"/>
      <c r="M37" s="92">
        <v>600</v>
      </c>
      <c r="N37" s="92">
        <v>600</v>
      </c>
      <c r="O37" s="92">
        <v>550</v>
      </c>
      <c r="P37" s="92">
        <v>580</v>
      </c>
      <c r="Q37" s="92">
        <v>150</v>
      </c>
      <c r="R37" s="319"/>
      <c r="S37" s="1"/>
      <c r="T37" s="71"/>
      <c r="U37" s="71"/>
      <c r="V37" s="71"/>
      <c r="W37" s="71"/>
      <c r="X37" s="71"/>
      <c r="Y37" s="71"/>
      <c r="Z37" s="71"/>
      <c r="AA37" s="71"/>
      <c r="AB37" s="71"/>
      <c r="AC37" s="71"/>
      <c r="AD37" s="71"/>
      <c r="AE37" s="71"/>
      <c r="AF37" s="71"/>
      <c r="AG37" s="71"/>
    </row>
    <row r="38" spans="1:33" s="94" customFormat="1" ht="29.25" customHeight="1">
      <c r="A38" s="89">
        <v>2</v>
      </c>
      <c r="B38" s="90" t="s">
        <v>523</v>
      </c>
      <c r="C38" s="89" t="s">
        <v>42</v>
      </c>
      <c r="D38" s="91"/>
      <c r="E38" s="91"/>
      <c r="F38" s="92">
        <v>1400</v>
      </c>
      <c r="G38" s="92">
        <v>900</v>
      </c>
      <c r="H38" s="92">
        <v>900</v>
      </c>
      <c r="I38" s="92"/>
      <c r="J38" s="92"/>
      <c r="K38" s="92"/>
      <c r="L38" s="92"/>
      <c r="M38" s="92">
        <v>1100</v>
      </c>
      <c r="N38" s="92">
        <v>1100</v>
      </c>
      <c r="O38" s="92">
        <v>900</v>
      </c>
      <c r="P38" s="92">
        <v>900</v>
      </c>
      <c r="Q38" s="92">
        <v>500</v>
      </c>
      <c r="R38" s="319"/>
      <c r="S38" s="1"/>
      <c r="T38" s="71"/>
      <c r="U38" s="71"/>
      <c r="V38" s="71"/>
      <c r="W38" s="71"/>
      <c r="X38" s="71"/>
      <c r="Y38" s="71"/>
      <c r="Z38" s="71"/>
      <c r="AA38" s="71"/>
      <c r="AB38" s="71"/>
      <c r="AC38" s="71"/>
      <c r="AD38" s="71"/>
      <c r="AE38" s="71"/>
      <c r="AF38" s="71"/>
      <c r="AG38" s="71"/>
    </row>
    <row r="39" spans="1:33" s="88" customFormat="1" ht="29.25" customHeight="1">
      <c r="A39" s="95" t="s">
        <v>18</v>
      </c>
      <c r="B39" s="96" t="s">
        <v>524</v>
      </c>
      <c r="C39" s="95"/>
      <c r="D39" s="97"/>
      <c r="E39" s="97"/>
      <c r="F39" s="93">
        <v>5330</v>
      </c>
      <c r="G39" s="93">
        <v>3900</v>
      </c>
      <c r="H39" s="93"/>
      <c r="I39" s="93"/>
      <c r="J39" s="93"/>
      <c r="K39" s="93"/>
      <c r="L39" s="93"/>
      <c r="M39" s="93">
        <v>2650</v>
      </c>
      <c r="N39" s="93">
        <v>2650</v>
      </c>
      <c r="O39" s="93">
        <v>2000</v>
      </c>
      <c r="P39" s="93">
        <v>2080</v>
      </c>
      <c r="Q39" s="93"/>
      <c r="R39" s="319"/>
      <c r="S39" s="1"/>
      <c r="T39" s="75"/>
      <c r="U39" s="98"/>
      <c r="V39" s="98"/>
      <c r="W39" s="98"/>
      <c r="X39" s="98"/>
      <c r="Y39" s="98"/>
      <c r="Z39" s="98"/>
      <c r="AA39" s="98"/>
      <c r="AB39" s="98"/>
      <c r="AC39" s="98"/>
      <c r="AD39" s="98"/>
      <c r="AE39" s="98"/>
      <c r="AF39" s="98"/>
      <c r="AG39" s="98"/>
    </row>
    <row r="40" spans="1:33" s="94" customFormat="1" ht="29.25" customHeight="1">
      <c r="A40" s="89">
        <v>1</v>
      </c>
      <c r="B40" s="90" t="s">
        <v>525</v>
      </c>
      <c r="C40" s="89" t="s">
        <v>50</v>
      </c>
      <c r="D40" s="91"/>
      <c r="E40" s="91"/>
      <c r="F40" s="92">
        <v>3430</v>
      </c>
      <c r="G40" s="92">
        <v>2700</v>
      </c>
      <c r="H40" s="92">
        <v>2700</v>
      </c>
      <c r="I40" s="92"/>
      <c r="J40" s="92"/>
      <c r="K40" s="92"/>
      <c r="L40" s="92"/>
      <c r="M40" s="92">
        <v>2500</v>
      </c>
      <c r="N40" s="92">
        <v>2500</v>
      </c>
      <c r="O40" s="92">
        <v>2000</v>
      </c>
      <c r="P40" s="92">
        <v>2080</v>
      </c>
      <c r="Q40" s="92">
        <v>730</v>
      </c>
      <c r="R40" s="319"/>
      <c r="S40" s="1"/>
      <c r="T40" s="71"/>
      <c r="U40" s="71"/>
      <c r="V40" s="71"/>
      <c r="W40" s="71"/>
      <c r="X40" s="71"/>
      <c r="Y40" s="71"/>
      <c r="Z40" s="71"/>
      <c r="AA40" s="71"/>
      <c r="AB40" s="71"/>
      <c r="AC40" s="71"/>
      <c r="AD40" s="71"/>
      <c r="AE40" s="71"/>
      <c r="AF40" s="71"/>
      <c r="AG40" s="71"/>
    </row>
    <row r="41" spans="1:33" s="94" customFormat="1" ht="29.25" customHeight="1">
      <c r="A41" s="89">
        <v>2</v>
      </c>
      <c r="B41" s="90" t="s">
        <v>526</v>
      </c>
      <c r="C41" s="89" t="s">
        <v>50</v>
      </c>
      <c r="D41" s="91"/>
      <c r="E41" s="91"/>
      <c r="F41" s="92">
        <v>1900</v>
      </c>
      <c r="G41" s="92">
        <v>1200</v>
      </c>
      <c r="H41" s="92">
        <v>1200</v>
      </c>
      <c r="I41" s="92"/>
      <c r="J41" s="92"/>
      <c r="K41" s="92"/>
      <c r="L41" s="92"/>
      <c r="M41" s="92">
        <v>150</v>
      </c>
      <c r="N41" s="92">
        <v>150</v>
      </c>
      <c r="O41" s="92"/>
      <c r="P41" s="92"/>
      <c r="Q41" s="90"/>
      <c r="R41" s="319"/>
      <c r="S41" s="1"/>
      <c r="T41" s="71"/>
      <c r="U41" s="71"/>
      <c r="V41" s="71"/>
      <c r="W41" s="71"/>
      <c r="X41" s="71"/>
      <c r="Y41" s="71"/>
      <c r="Z41" s="71"/>
      <c r="AA41" s="71"/>
      <c r="AB41" s="71"/>
      <c r="AC41" s="71"/>
      <c r="AD41" s="71"/>
      <c r="AE41" s="71"/>
      <c r="AF41" s="71"/>
      <c r="AG41" s="71"/>
    </row>
    <row r="42" spans="1:33" s="76" customFormat="1" ht="29.25" customHeight="1">
      <c r="A42" s="95" t="s">
        <v>18</v>
      </c>
      <c r="B42" s="96" t="s">
        <v>527</v>
      </c>
      <c r="C42" s="95"/>
      <c r="D42" s="97"/>
      <c r="E42" s="97"/>
      <c r="F42" s="93">
        <v>4350</v>
      </c>
      <c r="G42" s="93">
        <v>2800</v>
      </c>
      <c r="H42" s="93"/>
      <c r="I42" s="93"/>
      <c r="J42" s="93"/>
      <c r="K42" s="93"/>
      <c r="L42" s="93"/>
      <c r="M42" s="93">
        <v>1850</v>
      </c>
      <c r="N42" s="93">
        <v>1850</v>
      </c>
      <c r="O42" s="93">
        <v>1700</v>
      </c>
      <c r="P42" s="93">
        <v>1700</v>
      </c>
      <c r="Q42" s="93">
        <v>600</v>
      </c>
      <c r="R42" s="319"/>
      <c r="S42" s="1"/>
      <c r="T42" s="75"/>
      <c r="U42" s="75"/>
      <c r="V42" s="75"/>
      <c r="W42" s="75"/>
      <c r="X42" s="75"/>
      <c r="Y42" s="75"/>
      <c r="Z42" s="75"/>
      <c r="AA42" s="75"/>
      <c r="AB42" s="75"/>
      <c r="AC42" s="75"/>
      <c r="AD42" s="75"/>
      <c r="AE42" s="75"/>
      <c r="AF42" s="75"/>
      <c r="AG42" s="75"/>
    </row>
    <row r="43" spans="1:33" s="94" customFormat="1" ht="29.25" customHeight="1">
      <c r="A43" s="89">
        <v>1</v>
      </c>
      <c r="B43" s="90" t="s">
        <v>528</v>
      </c>
      <c r="C43" s="89" t="s">
        <v>40</v>
      </c>
      <c r="D43" s="91"/>
      <c r="E43" s="91"/>
      <c r="F43" s="92">
        <v>2300</v>
      </c>
      <c r="G43" s="92">
        <v>1700</v>
      </c>
      <c r="H43" s="92">
        <v>1700</v>
      </c>
      <c r="I43" s="92"/>
      <c r="J43" s="92"/>
      <c r="K43" s="92"/>
      <c r="L43" s="92"/>
      <c r="M43" s="92">
        <v>1700</v>
      </c>
      <c r="N43" s="92">
        <v>1700</v>
      </c>
      <c r="O43" s="92">
        <v>1700</v>
      </c>
      <c r="P43" s="92">
        <v>1700</v>
      </c>
      <c r="Q43" s="92">
        <v>600</v>
      </c>
      <c r="R43" s="319"/>
      <c r="S43" s="1"/>
      <c r="T43" s="71"/>
      <c r="U43" s="71"/>
      <c r="V43" s="71"/>
      <c r="W43" s="71"/>
      <c r="X43" s="71"/>
      <c r="Y43" s="71"/>
      <c r="Z43" s="71"/>
      <c r="AA43" s="71"/>
      <c r="AB43" s="71"/>
      <c r="AC43" s="71"/>
      <c r="AD43" s="71"/>
      <c r="AE43" s="71"/>
      <c r="AF43" s="71"/>
      <c r="AG43" s="71"/>
    </row>
    <row r="44" spans="1:33" s="94" customFormat="1" ht="29.25" customHeight="1">
      <c r="A44" s="89">
        <v>2</v>
      </c>
      <c r="B44" s="90" t="s">
        <v>529</v>
      </c>
      <c r="C44" s="89" t="s">
        <v>40</v>
      </c>
      <c r="D44" s="91"/>
      <c r="E44" s="91"/>
      <c r="F44" s="92">
        <v>2050</v>
      </c>
      <c r="G44" s="92">
        <v>1100</v>
      </c>
      <c r="H44" s="92">
        <v>1100</v>
      </c>
      <c r="I44" s="92"/>
      <c r="J44" s="92"/>
      <c r="K44" s="92"/>
      <c r="L44" s="92"/>
      <c r="M44" s="92">
        <v>150</v>
      </c>
      <c r="N44" s="92">
        <v>150</v>
      </c>
      <c r="O44" s="92"/>
      <c r="P44" s="92"/>
      <c r="Q44" s="90"/>
      <c r="R44" s="319"/>
      <c r="S44" s="1"/>
      <c r="T44" s="71"/>
      <c r="U44" s="71"/>
      <c r="V44" s="71"/>
      <c r="W44" s="71"/>
      <c r="X44" s="71"/>
      <c r="Y44" s="71"/>
      <c r="Z44" s="71"/>
      <c r="AA44" s="71"/>
      <c r="AB44" s="71"/>
      <c r="AC44" s="71"/>
      <c r="AD44" s="71"/>
      <c r="AE44" s="71"/>
      <c r="AF44" s="71"/>
      <c r="AG44" s="71"/>
    </row>
    <row r="45" spans="1:33" s="76" customFormat="1" ht="29.25" customHeight="1">
      <c r="A45" s="95" t="s">
        <v>18</v>
      </c>
      <c r="B45" s="96" t="s">
        <v>530</v>
      </c>
      <c r="C45" s="95"/>
      <c r="D45" s="97"/>
      <c r="E45" s="97"/>
      <c r="F45" s="93">
        <v>2300</v>
      </c>
      <c r="G45" s="93">
        <v>1500</v>
      </c>
      <c r="H45" s="93"/>
      <c r="I45" s="93"/>
      <c r="J45" s="93"/>
      <c r="K45" s="93"/>
      <c r="L45" s="93"/>
      <c r="M45" s="93">
        <v>200</v>
      </c>
      <c r="N45" s="93">
        <v>200</v>
      </c>
      <c r="O45" s="93"/>
      <c r="P45" s="93"/>
      <c r="Q45" s="96"/>
      <c r="R45" s="319"/>
      <c r="S45" s="1"/>
      <c r="T45" s="75"/>
      <c r="U45" s="75"/>
      <c r="V45" s="75"/>
      <c r="W45" s="75"/>
      <c r="X45" s="75"/>
      <c r="Y45" s="75"/>
      <c r="Z45" s="75"/>
      <c r="AA45" s="75"/>
      <c r="AB45" s="75"/>
      <c r="AC45" s="75"/>
      <c r="AD45" s="75"/>
      <c r="AE45" s="75"/>
      <c r="AF45" s="75"/>
      <c r="AG45" s="75"/>
    </row>
    <row r="46" spans="1:33" s="94" customFormat="1" ht="29.25" customHeight="1">
      <c r="A46" s="89">
        <v>1</v>
      </c>
      <c r="B46" s="90" t="s">
        <v>531</v>
      </c>
      <c r="C46" s="89" t="s">
        <v>37</v>
      </c>
      <c r="D46" s="91"/>
      <c r="E46" s="91"/>
      <c r="F46" s="92">
        <v>2300</v>
      </c>
      <c r="G46" s="92">
        <v>1500</v>
      </c>
      <c r="H46" s="92">
        <v>1500</v>
      </c>
      <c r="I46" s="92"/>
      <c r="J46" s="92"/>
      <c r="K46" s="92"/>
      <c r="L46" s="92"/>
      <c r="M46" s="92">
        <v>200</v>
      </c>
      <c r="N46" s="92">
        <v>200</v>
      </c>
      <c r="O46" s="92"/>
      <c r="P46" s="92"/>
      <c r="Q46" s="90"/>
      <c r="R46" s="319"/>
      <c r="S46" s="1"/>
      <c r="T46" s="71"/>
      <c r="U46" s="71"/>
      <c r="V46" s="71"/>
      <c r="W46" s="71"/>
      <c r="X46" s="71"/>
      <c r="Y46" s="71"/>
      <c r="Z46" s="71"/>
      <c r="AA46" s="71"/>
      <c r="AB46" s="71"/>
      <c r="AC46" s="71"/>
      <c r="AD46" s="71"/>
      <c r="AE46" s="71"/>
      <c r="AF46" s="71"/>
      <c r="AG46" s="71"/>
    </row>
    <row r="47" spans="1:33" s="76" customFormat="1" ht="29.25" customHeight="1">
      <c r="A47" s="95" t="s">
        <v>18</v>
      </c>
      <c r="B47" s="96" t="s">
        <v>532</v>
      </c>
      <c r="C47" s="95"/>
      <c r="D47" s="97"/>
      <c r="E47" s="97"/>
      <c r="F47" s="93">
        <v>1800</v>
      </c>
      <c r="G47" s="93">
        <v>1000</v>
      </c>
      <c r="H47" s="93"/>
      <c r="I47" s="93"/>
      <c r="J47" s="93"/>
      <c r="K47" s="93"/>
      <c r="L47" s="93"/>
      <c r="M47" s="93">
        <v>300</v>
      </c>
      <c r="N47" s="93">
        <v>300</v>
      </c>
      <c r="O47" s="93">
        <v>750</v>
      </c>
      <c r="P47" s="93">
        <v>750</v>
      </c>
      <c r="Q47" s="93">
        <v>800</v>
      </c>
      <c r="R47" s="319"/>
      <c r="S47" s="1"/>
      <c r="T47" s="75"/>
      <c r="U47" s="75"/>
      <c r="V47" s="75"/>
      <c r="W47" s="75"/>
      <c r="X47" s="75"/>
      <c r="Y47" s="75"/>
      <c r="Z47" s="75"/>
      <c r="AA47" s="75"/>
      <c r="AB47" s="75"/>
      <c r="AC47" s="75"/>
      <c r="AD47" s="75"/>
      <c r="AE47" s="75"/>
      <c r="AF47" s="75"/>
      <c r="AG47" s="75"/>
    </row>
    <row r="48" spans="1:33" s="94" customFormat="1" ht="29.25" customHeight="1">
      <c r="A48" s="89">
        <v>1</v>
      </c>
      <c r="B48" s="90" t="s">
        <v>533</v>
      </c>
      <c r="C48" s="89" t="s">
        <v>95</v>
      </c>
      <c r="D48" s="91"/>
      <c r="E48" s="91"/>
      <c r="F48" s="92">
        <v>1800</v>
      </c>
      <c r="G48" s="92">
        <v>1000</v>
      </c>
      <c r="H48" s="92">
        <v>1000</v>
      </c>
      <c r="I48" s="92"/>
      <c r="J48" s="92"/>
      <c r="K48" s="92"/>
      <c r="L48" s="92"/>
      <c r="M48" s="92">
        <v>500</v>
      </c>
      <c r="N48" s="92">
        <v>500</v>
      </c>
      <c r="O48" s="92">
        <v>750</v>
      </c>
      <c r="P48" s="92">
        <v>750</v>
      </c>
      <c r="Q48" s="92">
        <v>800</v>
      </c>
      <c r="R48" s="109"/>
      <c r="S48" s="1"/>
      <c r="T48" s="71"/>
      <c r="U48" s="71"/>
      <c r="V48" s="71"/>
      <c r="W48" s="71"/>
      <c r="X48" s="71"/>
      <c r="Y48" s="71"/>
      <c r="Z48" s="71"/>
      <c r="AA48" s="71"/>
      <c r="AB48" s="71"/>
      <c r="AC48" s="71"/>
      <c r="AD48" s="71"/>
      <c r="AE48" s="71"/>
      <c r="AF48" s="71"/>
      <c r="AG48" s="71"/>
    </row>
    <row r="49" spans="1:33" s="72" customFormat="1" ht="37.5" customHeight="1">
      <c r="A49" s="43" t="s">
        <v>69</v>
      </c>
      <c r="B49" s="77" t="s">
        <v>94</v>
      </c>
      <c r="C49" s="2"/>
      <c r="D49" s="2"/>
      <c r="E49" s="2"/>
      <c r="F49" s="78">
        <f aca="true" t="shared" si="4" ref="F49:Q49">SUM(F50:F55)</f>
        <v>52638</v>
      </c>
      <c r="G49" s="78">
        <f t="shared" si="4"/>
        <v>800</v>
      </c>
      <c r="H49" s="78"/>
      <c r="I49" s="78"/>
      <c r="J49" s="78"/>
      <c r="K49" s="78"/>
      <c r="L49" s="78"/>
      <c r="M49" s="78">
        <f t="shared" si="4"/>
        <v>950</v>
      </c>
      <c r="N49" s="78">
        <f t="shared" si="4"/>
        <v>950</v>
      </c>
      <c r="O49" s="78">
        <f t="shared" si="4"/>
        <v>800</v>
      </c>
      <c r="P49" s="78">
        <f t="shared" si="4"/>
        <v>800</v>
      </c>
      <c r="Q49" s="78">
        <f t="shared" si="4"/>
        <v>51838</v>
      </c>
      <c r="R49" s="78"/>
      <c r="S49" s="1"/>
      <c r="T49" s="71"/>
      <c r="U49" s="71"/>
      <c r="V49" s="71"/>
      <c r="W49" s="71"/>
      <c r="X49" s="71"/>
      <c r="Y49" s="71"/>
      <c r="Z49" s="71"/>
      <c r="AA49" s="71"/>
      <c r="AB49" s="71"/>
      <c r="AC49" s="71"/>
      <c r="AD49" s="71"/>
      <c r="AE49" s="71"/>
      <c r="AF49" s="71"/>
      <c r="AG49" s="71"/>
    </row>
    <row r="50" spans="1:33" s="72" customFormat="1" ht="33" customHeight="1">
      <c r="A50" s="2">
        <v>1</v>
      </c>
      <c r="B50" s="3" t="s">
        <v>93</v>
      </c>
      <c r="C50" s="2" t="s">
        <v>45</v>
      </c>
      <c r="D50" s="2" t="s">
        <v>56</v>
      </c>
      <c r="E50" s="2"/>
      <c r="F50" s="81">
        <v>5700</v>
      </c>
      <c r="G50" s="86">
        <v>200</v>
      </c>
      <c r="H50" s="86">
        <v>200</v>
      </c>
      <c r="I50" s="86"/>
      <c r="J50" s="86"/>
      <c r="K50" s="86"/>
      <c r="L50" s="86"/>
      <c r="M50" s="81">
        <v>200</v>
      </c>
      <c r="N50" s="81">
        <v>200</v>
      </c>
      <c r="O50" s="81">
        <v>200</v>
      </c>
      <c r="P50" s="81">
        <v>200</v>
      </c>
      <c r="Q50" s="81">
        <v>5500</v>
      </c>
      <c r="R50" s="81"/>
      <c r="S50" s="1"/>
      <c r="T50" s="71"/>
      <c r="U50" s="71"/>
      <c r="V50" s="71"/>
      <c r="W50" s="71"/>
      <c r="X50" s="71"/>
      <c r="Y50" s="71"/>
      <c r="Z50" s="71"/>
      <c r="AA50" s="71"/>
      <c r="AB50" s="71"/>
      <c r="AC50" s="71"/>
      <c r="AD50" s="71"/>
      <c r="AE50" s="71"/>
      <c r="AF50" s="71"/>
      <c r="AG50" s="71"/>
    </row>
    <row r="51" spans="1:33" s="72" customFormat="1" ht="31.5">
      <c r="A51" s="2">
        <v>2</v>
      </c>
      <c r="B51" s="3" t="s">
        <v>92</v>
      </c>
      <c r="C51" s="2" t="s">
        <v>91</v>
      </c>
      <c r="D51" s="2" t="s">
        <v>56</v>
      </c>
      <c r="E51" s="2"/>
      <c r="F51" s="81">
        <v>11500</v>
      </c>
      <c r="G51" s="86">
        <v>200</v>
      </c>
      <c r="H51" s="86">
        <v>200</v>
      </c>
      <c r="I51" s="86"/>
      <c r="J51" s="86"/>
      <c r="K51" s="86"/>
      <c r="L51" s="86"/>
      <c r="M51" s="81">
        <v>200</v>
      </c>
      <c r="N51" s="81">
        <v>200</v>
      </c>
      <c r="O51" s="81">
        <v>200</v>
      </c>
      <c r="P51" s="81">
        <v>200</v>
      </c>
      <c r="Q51" s="81">
        <v>11300</v>
      </c>
      <c r="R51" s="81"/>
      <c r="S51" s="1"/>
      <c r="T51" s="71"/>
      <c r="U51" s="71"/>
      <c r="V51" s="71"/>
      <c r="W51" s="71"/>
      <c r="X51" s="71"/>
      <c r="Y51" s="71"/>
      <c r="Z51" s="71"/>
      <c r="AA51" s="71"/>
      <c r="AB51" s="71"/>
      <c r="AC51" s="71"/>
      <c r="AD51" s="71"/>
      <c r="AE51" s="71"/>
      <c r="AF51" s="71"/>
      <c r="AG51" s="71"/>
    </row>
    <row r="52" spans="1:33" s="72" customFormat="1" ht="54.75" customHeight="1">
      <c r="A52" s="2">
        <v>3</v>
      </c>
      <c r="B52" s="3" t="s">
        <v>90</v>
      </c>
      <c r="C52" s="2" t="s">
        <v>14</v>
      </c>
      <c r="D52" s="2" t="s">
        <v>56</v>
      </c>
      <c r="E52" s="2"/>
      <c r="F52" s="81">
        <v>14100</v>
      </c>
      <c r="G52" s="86">
        <v>200</v>
      </c>
      <c r="H52" s="86">
        <v>200</v>
      </c>
      <c r="I52" s="86"/>
      <c r="J52" s="86"/>
      <c r="K52" s="86"/>
      <c r="L52" s="86"/>
      <c r="M52" s="81">
        <v>200</v>
      </c>
      <c r="N52" s="81">
        <v>200</v>
      </c>
      <c r="O52" s="81">
        <v>200</v>
      </c>
      <c r="P52" s="81">
        <v>200</v>
      </c>
      <c r="Q52" s="81">
        <v>13900</v>
      </c>
      <c r="R52" s="81"/>
      <c r="S52" s="1"/>
      <c r="T52" s="71"/>
      <c r="U52" s="71"/>
      <c r="V52" s="71"/>
      <c r="W52" s="71"/>
      <c r="X52" s="71"/>
      <c r="Y52" s="71"/>
      <c r="Z52" s="71"/>
      <c r="AA52" s="71"/>
      <c r="AB52" s="71"/>
      <c r="AC52" s="71"/>
      <c r="AD52" s="71"/>
      <c r="AE52" s="71"/>
      <c r="AF52" s="71"/>
      <c r="AG52" s="71"/>
    </row>
    <row r="53" spans="1:33" s="72" customFormat="1" ht="33" customHeight="1">
      <c r="A53" s="2">
        <v>4</v>
      </c>
      <c r="B53" s="3" t="s">
        <v>89</v>
      </c>
      <c r="C53" s="2" t="s">
        <v>88</v>
      </c>
      <c r="D53" s="2" t="s">
        <v>56</v>
      </c>
      <c r="E53" s="2"/>
      <c r="F53" s="81">
        <v>6000</v>
      </c>
      <c r="G53" s="86">
        <v>100</v>
      </c>
      <c r="H53" s="86">
        <v>100</v>
      </c>
      <c r="I53" s="86"/>
      <c r="J53" s="86"/>
      <c r="K53" s="86"/>
      <c r="L53" s="86"/>
      <c r="M53" s="81">
        <v>200</v>
      </c>
      <c r="N53" s="81">
        <v>200</v>
      </c>
      <c r="O53" s="81">
        <v>100</v>
      </c>
      <c r="P53" s="81">
        <v>100</v>
      </c>
      <c r="Q53" s="81">
        <v>5900</v>
      </c>
      <c r="R53" s="81"/>
      <c r="S53" s="1"/>
      <c r="T53" s="71"/>
      <c r="U53" s="71"/>
      <c r="V53" s="71"/>
      <c r="W53" s="71"/>
      <c r="X53" s="71"/>
      <c r="Y53" s="71"/>
      <c r="Z53" s="71"/>
      <c r="AA53" s="71"/>
      <c r="AB53" s="71"/>
      <c r="AC53" s="71"/>
      <c r="AD53" s="71"/>
      <c r="AE53" s="71"/>
      <c r="AF53" s="71"/>
      <c r="AG53" s="71"/>
    </row>
    <row r="54" spans="1:33" s="87" customFormat="1" ht="56.25" customHeight="1">
      <c r="A54" s="2">
        <v>5</v>
      </c>
      <c r="B54" s="3" t="s">
        <v>87</v>
      </c>
      <c r="C54" s="2" t="s">
        <v>74</v>
      </c>
      <c r="D54" s="2" t="s">
        <v>56</v>
      </c>
      <c r="E54" s="2"/>
      <c r="F54" s="81">
        <v>9500</v>
      </c>
      <c r="G54" s="86">
        <v>100</v>
      </c>
      <c r="H54" s="86"/>
      <c r="I54" s="86">
        <v>100</v>
      </c>
      <c r="J54" s="86"/>
      <c r="K54" s="86"/>
      <c r="L54" s="86"/>
      <c r="M54" s="81">
        <v>150</v>
      </c>
      <c r="N54" s="81">
        <v>150</v>
      </c>
      <c r="O54" s="81">
        <v>100</v>
      </c>
      <c r="P54" s="81">
        <v>100</v>
      </c>
      <c r="Q54" s="81">
        <v>9400</v>
      </c>
      <c r="R54" s="81"/>
      <c r="S54" s="1"/>
      <c r="T54" s="71"/>
      <c r="U54" s="71"/>
      <c r="V54" s="71"/>
      <c r="W54" s="71"/>
      <c r="X54" s="71"/>
      <c r="Y54" s="71"/>
      <c r="Z54" s="71"/>
      <c r="AA54" s="71"/>
      <c r="AB54" s="71"/>
      <c r="AC54" s="71"/>
      <c r="AD54" s="71"/>
      <c r="AE54" s="71"/>
      <c r="AF54" s="71"/>
      <c r="AG54" s="71"/>
    </row>
    <row r="55" spans="1:33" s="72" customFormat="1" ht="39" customHeight="1">
      <c r="A55" s="2">
        <v>6</v>
      </c>
      <c r="B55" s="3" t="s">
        <v>86</v>
      </c>
      <c r="C55" s="2" t="s">
        <v>47</v>
      </c>
      <c r="D55" s="2"/>
      <c r="E55" s="2"/>
      <c r="F55" s="81">
        <v>5838</v>
      </c>
      <c r="G55" s="86"/>
      <c r="H55" s="86"/>
      <c r="I55" s="86"/>
      <c r="J55" s="86"/>
      <c r="K55" s="86"/>
      <c r="L55" s="86"/>
      <c r="M55" s="81"/>
      <c r="N55" s="81"/>
      <c r="O55" s="81"/>
      <c r="P55" s="81"/>
      <c r="Q55" s="81">
        <v>5838</v>
      </c>
      <c r="R55" s="81"/>
      <c r="S55" s="1"/>
      <c r="T55" s="71"/>
      <c r="U55" s="71"/>
      <c r="V55" s="71"/>
      <c r="W55" s="71"/>
      <c r="X55" s="71"/>
      <c r="Y55" s="71"/>
      <c r="Z55" s="71"/>
      <c r="AA55" s="71"/>
      <c r="AB55" s="71"/>
      <c r="AC55" s="71"/>
      <c r="AD55" s="71"/>
      <c r="AE55" s="71"/>
      <c r="AF55" s="71"/>
      <c r="AG55" s="71"/>
    </row>
    <row r="56" spans="1:33" s="76" customFormat="1" ht="39.75" customHeight="1">
      <c r="A56" s="43" t="s">
        <v>85</v>
      </c>
      <c r="B56" s="77" t="s">
        <v>84</v>
      </c>
      <c r="C56" s="43"/>
      <c r="D56" s="43"/>
      <c r="E56" s="43"/>
      <c r="F56" s="78">
        <f>F66+F57+F77</f>
        <v>55900</v>
      </c>
      <c r="G56" s="78">
        <f>G66+G57+G77</f>
        <v>20392.548</v>
      </c>
      <c r="H56" s="78"/>
      <c r="I56" s="78"/>
      <c r="J56" s="78"/>
      <c r="K56" s="78"/>
      <c r="L56" s="78"/>
      <c r="M56" s="78">
        <f>M66+M57+M77</f>
        <v>17733</v>
      </c>
      <c r="N56" s="78">
        <f>N66+N57+N77</f>
        <v>22369.377999999997</v>
      </c>
      <c r="O56" s="78">
        <f>O66+O57+O77</f>
        <v>18314.546</v>
      </c>
      <c r="P56" s="78">
        <f>P66+P57+P77</f>
        <v>24630.261</v>
      </c>
      <c r="Q56" s="78">
        <f>Q66+Q57+Q77</f>
        <v>22099.539</v>
      </c>
      <c r="R56" s="78"/>
      <c r="S56" s="1"/>
      <c r="T56" s="108"/>
      <c r="U56" s="75"/>
      <c r="V56" s="75"/>
      <c r="W56" s="75"/>
      <c r="X56" s="75"/>
      <c r="Y56" s="75"/>
      <c r="Z56" s="75"/>
      <c r="AA56" s="75"/>
      <c r="AB56" s="75"/>
      <c r="AC56" s="75"/>
      <c r="AD56" s="75"/>
      <c r="AE56" s="75"/>
      <c r="AF56" s="75"/>
      <c r="AG56" s="75"/>
    </row>
    <row r="57" spans="1:33" s="76" customFormat="1" ht="33" customHeight="1">
      <c r="A57" s="43" t="s">
        <v>53</v>
      </c>
      <c r="B57" s="77" t="s">
        <v>83</v>
      </c>
      <c r="C57" s="43"/>
      <c r="D57" s="43"/>
      <c r="E57" s="43"/>
      <c r="F57" s="78">
        <f>SUM(F59:F59)</f>
        <v>3500</v>
      </c>
      <c r="G57" s="109">
        <f>G58</f>
        <v>203.087</v>
      </c>
      <c r="H57" s="109"/>
      <c r="I57" s="109"/>
      <c r="J57" s="109"/>
      <c r="K57" s="109"/>
      <c r="L57" s="109"/>
      <c r="M57" s="78"/>
      <c r="N57" s="78">
        <f>SUM(N59:N59)</f>
        <v>3483.366</v>
      </c>
      <c r="O57" s="78">
        <f>O58</f>
        <v>203.087</v>
      </c>
      <c r="P57" s="78">
        <f>SUM(P59:P59)</f>
        <v>3350</v>
      </c>
      <c r="Q57" s="78"/>
      <c r="R57" s="78"/>
      <c r="S57" s="1"/>
      <c r="T57" s="75"/>
      <c r="U57" s="75"/>
      <c r="V57" s="75"/>
      <c r="W57" s="75"/>
      <c r="X57" s="75"/>
      <c r="Y57" s="75"/>
      <c r="Z57" s="75"/>
      <c r="AA57" s="75"/>
      <c r="AB57" s="75"/>
      <c r="AC57" s="75"/>
      <c r="AD57" s="75"/>
      <c r="AE57" s="75"/>
      <c r="AF57" s="75"/>
      <c r="AG57" s="75"/>
    </row>
    <row r="58" spans="1:33" s="76" customFormat="1" ht="28.5" customHeight="1">
      <c r="A58" s="43" t="s">
        <v>18</v>
      </c>
      <c r="B58" s="77" t="s">
        <v>17</v>
      </c>
      <c r="C58" s="43"/>
      <c r="D58" s="43"/>
      <c r="E58" s="43"/>
      <c r="F58" s="78">
        <f>F59</f>
        <v>3500</v>
      </c>
      <c r="G58" s="109">
        <f>SUM(G59:G65)</f>
        <v>203.087</v>
      </c>
      <c r="H58" s="109"/>
      <c r="I58" s="109"/>
      <c r="J58" s="109"/>
      <c r="K58" s="109"/>
      <c r="L58" s="109"/>
      <c r="M58" s="78"/>
      <c r="N58" s="109">
        <f>SUM(N59:N65)</f>
        <v>21820.658</v>
      </c>
      <c r="O58" s="109">
        <f>SUM(O59:O65)</f>
        <v>203.087</v>
      </c>
      <c r="P58" s="109">
        <f>SUM(P59:P65)</f>
        <v>21664.59</v>
      </c>
      <c r="Q58" s="78"/>
      <c r="R58" s="78"/>
      <c r="S58" s="1"/>
      <c r="T58" s="75"/>
      <c r="U58" s="75"/>
      <c r="V58" s="75"/>
      <c r="W58" s="75"/>
      <c r="X58" s="75"/>
      <c r="Y58" s="75"/>
      <c r="Z58" s="75"/>
      <c r="AA58" s="75"/>
      <c r="AB58" s="75"/>
      <c r="AC58" s="75"/>
      <c r="AD58" s="75"/>
      <c r="AE58" s="75"/>
      <c r="AF58" s="75"/>
      <c r="AG58" s="75"/>
    </row>
    <row r="59" spans="1:33" ht="39.75" customHeight="1">
      <c r="A59" s="2">
        <v>1</v>
      </c>
      <c r="B59" s="3" t="s">
        <v>82</v>
      </c>
      <c r="C59" s="2" t="s">
        <v>81</v>
      </c>
      <c r="D59" s="2" t="s">
        <v>80</v>
      </c>
      <c r="E59" s="2" t="s">
        <v>79</v>
      </c>
      <c r="F59" s="81">
        <v>3500</v>
      </c>
      <c r="G59" s="86">
        <v>50</v>
      </c>
      <c r="H59" s="86">
        <v>50</v>
      </c>
      <c r="I59" s="86"/>
      <c r="J59" s="86"/>
      <c r="K59" s="86"/>
      <c r="L59" s="86"/>
      <c r="M59" s="81"/>
      <c r="N59" s="81">
        <v>3483.366</v>
      </c>
      <c r="O59" s="81">
        <v>50</v>
      </c>
      <c r="P59" s="81">
        <v>3350</v>
      </c>
      <c r="Q59" s="3"/>
      <c r="R59" s="3"/>
      <c r="S59" s="1"/>
      <c r="T59" s="71"/>
      <c r="U59" s="71"/>
      <c r="V59" s="71"/>
      <c r="W59" s="71"/>
      <c r="X59" s="71"/>
      <c r="Y59" s="71"/>
      <c r="Z59" s="71"/>
      <c r="AA59" s="71"/>
      <c r="AB59" s="71"/>
      <c r="AC59" s="71"/>
      <c r="AD59" s="71"/>
      <c r="AE59" s="71"/>
      <c r="AF59" s="71"/>
      <c r="AG59" s="71"/>
    </row>
    <row r="60" spans="1:33" ht="39.75" customHeight="1">
      <c r="A60" s="2">
        <v>2</v>
      </c>
      <c r="B60" s="3" t="s">
        <v>103</v>
      </c>
      <c r="C60" s="2" t="s">
        <v>102</v>
      </c>
      <c r="D60" s="2"/>
      <c r="E60" s="2"/>
      <c r="F60" s="81">
        <v>10900</v>
      </c>
      <c r="G60" s="86">
        <v>19.318</v>
      </c>
      <c r="H60" s="86"/>
      <c r="I60" s="86"/>
      <c r="J60" s="86">
        <v>19.318</v>
      </c>
      <c r="K60" s="86"/>
      <c r="L60" s="86"/>
      <c r="M60" s="81"/>
      <c r="N60" s="81">
        <v>3439.837</v>
      </c>
      <c r="O60" s="86">
        <v>19.318</v>
      </c>
      <c r="P60" s="81">
        <v>3439.837</v>
      </c>
      <c r="Q60" s="3"/>
      <c r="R60" s="3"/>
      <c r="S60" s="1"/>
      <c r="T60" s="71"/>
      <c r="U60" s="71"/>
      <c r="V60" s="71"/>
      <c r="W60" s="71"/>
      <c r="X60" s="71"/>
      <c r="Y60" s="71"/>
      <c r="Z60" s="71"/>
      <c r="AA60" s="71"/>
      <c r="AB60" s="71"/>
      <c r="AC60" s="71"/>
      <c r="AD60" s="71"/>
      <c r="AE60" s="71"/>
      <c r="AF60" s="71"/>
      <c r="AG60" s="71"/>
    </row>
    <row r="61" spans="1:33" ht="39.75" customHeight="1">
      <c r="A61" s="2">
        <v>3</v>
      </c>
      <c r="B61" s="3" t="s">
        <v>107</v>
      </c>
      <c r="C61" s="2" t="s">
        <v>74</v>
      </c>
      <c r="D61" s="2"/>
      <c r="E61" s="2"/>
      <c r="F61" s="81">
        <v>7000</v>
      </c>
      <c r="G61" s="86">
        <v>39.999</v>
      </c>
      <c r="H61" s="86"/>
      <c r="I61" s="86"/>
      <c r="J61" s="86">
        <v>39.999</v>
      </c>
      <c r="K61" s="86"/>
      <c r="L61" s="86"/>
      <c r="M61" s="81"/>
      <c r="N61" s="81">
        <v>1875</v>
      </c>
      <c r="O61" s="86">
        <v>39.999</v>
      </c>
      <c r="P61" s="81">
        <v>1875</v>
      </c>
      <c r="Q61" s="3"/>
      <c r="R61" s="3"/>
      <c r="S61" s="1"/>
      <c r="T61" s="71"/>
      <c r="U61" s="71"/>
      <c r="V61" s="71"/>
      <c r="W61" s="71"/>
      <c r="X61" s="71"/>
      <c r="Y61" s="71"/>
      <c r="Z61" s="71"/>
      <c r="AA61" s="71"/>
      <c r="AB61" s="71"/>
      <c r="AC61" s="71"/>
      <c r="AD61" s="71"/>
      <c r="AE61" s="71"/>
      <c r="AF61" s="71"/>
      <c r="AG61" s="71"/>
    </row>
    <row r="62" spans="1:33" ht="39.75" customHeight="1">
      <c r="A62" s="2">
        <v>4</v>
      </c>
      <c r="B62" s="3" t="s">
        <v>462</v>
      </c>
      <c r="C62" s="2" t="s">
        <v>163</v>
      </c>
      <c r="D62" s="2"/>
      <c r="E62" s="2"/>
      <c r="F62" s="81">
        <v>1890</v>
      </c>
      <c r="G62" s="81">
        <v>10.27</v>
      </c>
      <c r="H62" s="81"/>
      <c r="I62" s="81"/>
      <c r="J62" s="81">
        <v>231.058</v>
      </c>
      <c r="K62" s="81"/>
      <c r="L62" s="81">
        <v>10.27</v>
      </c>
      <c r="M62" s="81"/>
      <c r="N62" s="81">
        <v>1661.469</v>
      </c>
      <c r="O62" s="81">
        <v>10.27</v>
      </c>
      <c r="P62" s="81">
        <f>1643.514+O62</f>
        <v>1653.7839999999999</v>
      </c>
      <c r="Q62" s="3"/>
      <c r="R62" s="81"/>
      <c r="S62" s="363" t="s">
        <v>510</v>
      </c>
      <c r="T62" s="71"/>
      <c r="U62" s="71"/>
      <c r="V62" s="71"/>
      <c r="W62" s="71"/>
      <c r="X62" s="71"/>
      <c r="Y62" s="71"/>
      <c r="Z62" s="71"/>
      <c r="AA62" s="71"/>
      <c r="AB62" s="71"/>
      <c r="AC62" s="71"/>
      <c r="AD62" s="71"/>
      <c r="AE62" s="71"/>
      <c r="AF62" s="71"/>
      <c r="AG62" s="71"/>
    </row>
    <row r="63" spans="1:33" ht="39.75" customHeight="1">
      <c r="A63" s="2">
        <v>5</v>
      </c>
      <c r="B63" s="3" t="s">
        <v>465</v>
      </c>
      <c r="C63" s="2" t="s">
        <v>57</v>
      </c>
      <c r="D63" s="2"/>
      <c r="E63" s="2"/>
      <c r="F63" s="81">
        <v>4950</v>
      </c>
      <c r="G63" s="81">
        <v>47.025</v>
      </c>
      <c r="H63" s="81"/>
      <c r="I63" s="81"/>
      <c r="J63" s="81">
        <v>184.766</v>
      </c>
      <c r="K63" s="81"/>
      <c r="L63" s="81">
        <v>47.025</v>
      </c>
      <c r="M63" s="81"/>
      <c r="N63" s="81">
        <v>4612.259</v>
      </c>
      <c r="O63" s="81">
        <v>47.025</v>
      </c>
      <c r="P63" s="81">
        <f>4565.234+O63</f>
        <v>4612.259</v>
      </c>
      <c r="Q63" s="3"/>
      <c r="R63" s="3"/>
      <c r="S63" s="363"/>
      <c r="T63" s="71"/>
      <c r="U63" s="71"/>
      <c r="V63" s="71"/>
      <c r="W63" s="71"/>
      <c r="X63" s="71"/>
      <c r="Y63" s="71"/>
      <c r="Z63" s="71"/>
      <c r="AA63" s="71"/>
      <c r="AB63" s="71"/>
      <c r="AC63" s="71"/>
      <c r="AD63" s="71"/>
      <c r="AE63" s="71"/>
      <c r="AF63" s="71"/>
      <c r="AG63" s="71"/>
    </row>
    <row r="64" spans="1:33" ht="39.75" customHeight="1">
      <c r="A64" s="2">
        <v>6</v>
      </c>
      <c r="B64" s="3" t="s">
        <v>463</v>
      </c>
      <c r="C64" s="2" t="s">
        <v>160</v>
      </c>
      <c r="D64" s="2"/>
      <c r="E64" s="2"/>
      <c r="F64" s="81">
        <v>4000</v>
      </c>
      <c r="G64" s="81">
        <v>36.475</v>
      </c>
      <c r="H64" s="81"/>
      <c r="I64" s="81"/>
      <c r="J64" s="81">
        <v>73.52</v>
      </c>
      <c r="K64" s="81"/>
      <c r="L64" s="81">
        <v>36.475</v>
      </c>
      <c r="M64" s="81"/>
      <c r="N64" s="81">
        <v>3837.972</v>
      </c>
      <c r="O64" s="81">
        <v>36.475</v>
      </c>
      <c r="P64" s="81">
        <v>3822.955</v>
      </c>
      <c r="Q64" s="3"/>
      <c r="R64" s="81"/>
      <c r="S64" s="363"/>
      <c r="T64" s="71"/>
      <c r="U64" s="71"/>
      <c r="V64" s="71"/>
      <c r="W64" s="71"/>
      <c r="X64" s="71"/>
      <c r="Y64" s="71"/>
      <c r="Z64" s="71"/>
      <c r="AA64" s="71"/>
      <c r="AB64" s="71"/>
      <c r="AC64" s="71"/>
      <c r="AD64" s="71"/>
      <c r="AE64" s="71"/>
      <c r="AF64" s="71"/>
      <c r="AG64" s="71"/>
    </row>
    <row r="65" spans="1:33" ht="39.75" customHeight="1">
      <c r="A65" s="2">
        <v>7</v>
      </c>
      <c r="B65" s="3" t="s">
        <v>464</v>
      </c>
      <c r="C65" s="2" t="s">
        <v>88</v>
      </c>
      <c r="D65" s="2"/>
      <c r="E65" s="2"/>
      <c r="F65" s="81">
        <v>3000</v>
      </c>
      <c r="G65" s="81">
        <v>0</v>
      </c>
      <c r="H65" s="81"/>
      <c r="I65" s="81"/>
      <c r="J65" s="81">
        <v>75.887</v>
      </c>
      <c r="K65" s="81"/>
      <c r="L65" s="81"/>
      <c r="M65" s="81"/>
      <c r="N65" s="81">
        <v>2910.755</v>
      </c>
      <c r="O65" s="81">
        <v>0</v>
      </c>
      <c r="P65" s="81">
        <v>2910.755</v>
      </c>
      <c r="Q65" s="3"/>
      <c r="R65" s="3"/>
      <c r="S65" s="363"/>
      <c r="T65" s="71"/>
      <c r="U65" s="71"/>
      <c r="V65" s="71"/>
      <c r="W65" s="71"/>
      <c r="X65" s="71"/>
      <c r="Y65" s="71"/>
      <c r="Z65" s="71"/>
      <c r="AA65" s="71"/>
      <c r="AB65" s="71"/>
      <c r="AC65" s="71"/>
      <c r="AD65" s="71"/>
      <c r="AE65" s="71"/>
      <c r="AF65" s="71"/>
      <c r="AG65" s="71"/>
    </row>
    <row r="66" spans="1:33" s="76" customFormat="1" ht="34.5" customHeight="1">
      <c r="A66" s="43" t="s">
        <v>30</v>
      </c>
      <c r="B66" s="77" t="s">
        <v>78</v>
      </c>
      <c r="C66" s="43"/>
      <c r="D66" s="43"/>
      <c r="E66" s="43"/>
      <c r="F66" s="78">
        <f>F67+F71+F73+F75</f>
        <v>27000</v>
      </c>
      <c r="G66" s="78">
        <f aca="true" t="shared" si="5" ref="G66:Q66">G67+G71+G73+G75</f>
        <v>16658</v>
      </c>
      <c r="H66" s="78">
        <f t="shared" si="5"/>
        <v>0</v>
      </c>
      <c r="I66" s="78">
        <f t="shared" si="5"/>
        <v>0</v>
      </c>
      <c r="J66" s="78">
        <f t="shared" si="5"/>
        <v>0</v>
      </c>
      <c r="K66" s="78">
        <f t="shared" si="5"/>
        <v>0</v>
      </c>
      <c r="L66" s="78">
        <f t="shared" si="5"/>
        <v>0</v>
      </c>
      <c r="M66" s="78">
        <f t="shared" si="5"/>
        <v>15853</v>
      </c>
      <c r="N66" s="78">
        <f t="shared" si="5"/>
        <v>17006.012</v>
      </c>
      <c r="O66" s="78">
        <f t="shared" si="5"/>
        <v>14579.998</v>
      </c>
      <c r="P66" s="78">
        <f t="shared" si="5"/>
        <v>17748.8</v>
      </c>
      <c r="Q66" s="78">
        <f t="shared" si="5"/>
        <v>231</v>
      </c>
      <c r="R66" s="78"/>
      <c r="S66" s="1"/>
      <c r="T66" s="75"/>
      <c r="U66" s="75"/>
      <c r="V66" s="75"/>
      <c r="W66" s="75"/>
      <c r="X66" s="75"/>
      <c r="Y66" s="75"/>
      <c r="Z66" s="75"/>
      <c r="AA66" s="75"/>
      <c r="AB66" s="75"/>
      <c r="AC66" s="75"/>
      <c r="AD66" s="75"/>
      <c r="AE66" s="75"/>
      <c r="AF66" s="75"/>
      <c r="AG66" s="75"/>
    </row>
    <row r="67" spans="1:33" s="76" customFormat="1" ht="33.75" customHeight="1">
      <c r="A67" s="43" t="s">
        <v>18</v>
      </c>
      <c r="B67" s="77" t="s">
        <v>17</v>
      </c>
      <c r="C67" s="43"/>
      <c r="D67" s="43"/>
      <c r="E67" s="43"/>
      <c r="F67" s="78">
        <f aca="true" t="shared" si="6" ref="F67:Q67">SUM(F68:F70)</f>
        <v>19000</v>
      </c>
      <c r="G67" s="78">
        <f t="shared" si="6"/>
        <v>9433</v>
      </c>
      <c r="H67" s="78"/>
      <c r="I67" s="78"/>
      <c r="J67" s="78"/>
      <c r="K67" s="78"/>
      <c r="L67" s="78"/>
      <c r="M67" s="78">
        <f t="shared" si="6"/>
        <v>10133</v>
      </c>
      <c r="N67" s="78">
        <f t="shared" si="6"/>
        <v>11286.011999999999</v>
      </c>
      <c r="O67" s="78">
        <f t="shared" si="6"/>
        <v>8404.998</v>
      </c>
      <c r="P67" s="78">
        <f t="shared" si="6"/>
        <v>11286</v>
      </c>
      <c r="Q67" s="78">
        <f t="shared" si="6"/>
        <v>231</v>
      </c>
      <c r="R67" s="78"/>
      <c r="S67" s="1"/>
      <c r="T67" s="75"/>
      <c r="U67" s="75"/>
      <c r="V67" s="75"/>
      <c r="W67" s="75"/>
      <c r="X67" s="75"/>
      <c r="Y67" s="75"/>
      <c r="Z67" s="75"/>
      <c r="AA67" s="75"/>
      <c r="AB67" s="75"/>
      <c r="AC67" s="75"/>
      <c r="AD67" s="75"/>
      <c r="AE67" s="75"/>
      <c r="AF67" s="75"/>
      <c r="AG67" s="75"/>
    </row>
    <row r="68" spans="1:33" s="72" customFormat="1" ht="34.5" customHeight="1">
      <c r="A68" s="2">
        <v>1</v>
      </c>
      <c r="B68" s="3" t="s">
        <v>77</v>
      </c>
      <c r="C68" s="2" t="s">
        <v>76</v>
      </c>
      <c r="D68" s="2" t="s">
        <v>56</v>
      </c>
      <c r="E68" s="2"/>
      <c r="F68" s="81">
        <v>2800</v>
      </c>
      <c r="G68" s="81">
        <v>3380</v>
      </c>
      <c r="H68" s="81">
        <v>3380</v>
      </c>
      <c r="I68" s="81"/>
      <c r="J68" s="81"/>
      <c r="K68" s="81"/>
      <c r="L68" s="81"/>
      <c r="M68" s="81">
        <v>2519</v>
      </c>
      <c r="N68" s="81">
        <v>2658.0119999999997</v>
      </c>
      <c r="O68" s="81">
        <v>2557.998</v>
      </c>
      <c r="P68" s="81">
        <v>2658</v>
      </c>
      <c r="Q68" s="3"/>
      <c r="R68" s="3"/>
      <c r="S68" s="1"/>
      <c r="T68" s="71"/>
      <c r="U68" s="83"/>
      <c r="V68" s="83"/>
      <c r="W68" s="83"/>
      <c r="X68" s="71"/>
      <c r="Y68" s="71"/>
      <c r="Z68" s="71"/>
      <c r="AA68" s="71"/>
      <c r="AB68" s="71"/>
      <c r="AC68" s="71"/>
      <c r="AD68" s="71"/>
      <c r="AE68" s="71"/>
      <c r="AF68" s="71"/>
      <c r="AG68" s="71"/>
    </row>
    <row r="69" spans="1:33" s="87" customFormat="1" ht="38.25" customHeight="1">
      <c r="A69" s="2">
        <v>2</v>
      </c>
      <c r="B69" s="3" t="s">
        <v>75</v>
      </c>
      <c r="C69" s="2" t="s">
        <v>74</v>
      </c>
      <c r="D69" s="2" t="s">
        <v>56</v>
      </c>
      <c r="E69" s="2"/>
      <c r="F69" s="81">
        <v>4200</v>
      </c>
      <c r="G69" s="86">
        <v>1394</v>
      </c>
      <c r="H69" s="86">
        <v>1394</v>
      </c>
      <c r="I69" s="86"/>
      <c r="J69" s="86"/>
      <c r="K69" s="86"/>
      <c r="L69" s="86"/>
      <c r="M69" s="81">
        <f>2600+355</f>
        <v>2955</v>
      </c>
      <c r="N69" s="81">
        <f>3614+355</f>
        <v>3969</v>
      </c>
      <c r="O69" s="81">
        <v>1188</v>
      </c>
      <c r="P69" s="81">
        <v>3969</v>
      </c>
      <c r="Q69" s="81">
        <v>231</v>
      </c>
      <c r="R69" s="81"/>
      <c r="S69" s="1"/>
      <c r="T69" s="71"/>
      <c r="U69" s="83"/>
      <c r="V69" s="83"/>
      <c r="W69" s="83"/>
      <c r="X69" s="71"/>
      <c r="Y69" s="71"/>
      <c r="Z69" s="71"/>
      <c r="AA69" s="71"/>
      <c r="AB69" s="71"/>
      <c r="AC69" s="71"/>
      <c r="AD69" s="71"/>
      <c r="AE69" s="71"/>
      <c r="AF69" s="71"/>
      <c r="AG69" s="71"/>
    </row>
    <row r="70" spans="1:33" s="87" customFormat="1" ht="34.5" customHeight="1">
      <c r="A70" s="2">
        <v>3</v>
      </c>
      <c r="B70" s="3" t="s">
        <v>73</v>
      </c>
      <c r="C70" s="2" t="s">
        <v>72</v>
      </c>
      <c r="D70" s="2" t="s">
        <v>56</v>
      </c>
      <c r="E70" s="2"/>
      <c r="F70" s="81">
        <v>12000</v>
      </c>
      <c r="G70" s="86">
        <v>4659</v>
      </c>
      <c r="H70" s="86">
        <v>4659</v>
      </c>
      <c r="I70" s="86"/>
      <c r="J70" s="86"/>
      <c r="K70" s="86"/>
      <c r="L70" s="86"/>
      <c r="M70" s="81">
        <v>4659</v>
      </c>
      <c r="N70" s="81">
        <v>4659</v>
      </c>
      <c r="O70" s="81">
        <v>4659</v>
      </c>
      <c r="P70" s="81">
        <v>4659</v>
      </c>
      <c r="Q70" s="3"/>
      <c r="R70" s="3"/>
      <c r="S70" s="1"/>
      <c r="T70" s="71"/>
      <c r="U70" s="71"/>
      <c r="V70" s="83"/>
      <c r="W70" s="71"/>
      <c r="X70" s="71"/>
      <c r="Y70" s="71"/>
      <c r="Z70" s="71"/>
      <c r="AA70" s="71"/>
      <c r="AB70" s="71"/>
      <c r="AC70" s="71"/>
      <c r="AD70" s="71"/>
      <c r="AE70" s="71"/>
      <c r="AF70" s="71"/>
      <c r="AG70" s="71"/>
    </row>
    <row r="71" spans="1:33" s="76" customFormat="1" ht="30.75" customHeight="1">
      <c r="A71" s="110" t="s">
        <v>18</v>
      </c>
      <c r="B71" s="111" t="s">
        <v>36</v>
      </c>
      <c r="C71" s="110"/>
      <c r="D71" s="43"/>
      <c r="E71" s="43"/>
      <c r="F71" s="112">
        <v>4500</v>
      </c>
      <c r="G71" s="112">
        <v>4328</v>
      </c>
      <c r="H71" s="112"/>
      <c r="I71" s="112"/>
      <c r="J71" s="112"/>
      <c r="K71" s="112"/>
      <c r="L71" s="112"/>
      <c r="M71" s="112">
        <v>3720</v>
      </c>
      <c r="N71" s="112">
        <v>3720</v>
      </c>
      <c r="O71" s="112">
        <v>3570</v>
      </c>
      <c r="P71" s="112">
        <v>3720</v>
      </c>
      <c r="Q71" s="78"/>
      <c r="R71" s="78"/>
      <c r="S71" s="1"/>
      <c r="T71" s="75"/>
      <c r="U71" s="75"/>
      <c r="V71" s="75"/>
      <c r="W71" s="75"/>
      <c r="X71" s="75"/>
      <c r="Y71" s="75"/>
      <c r="Z71" s="75"/>
      <c r="AA71" s="75"/>
      <c r="AB71" s="75"/>
      <c r="AC71" s="75"/>
      <c r="AD71" s="75"/>
      <c r="AE71" s="75"/>
      <c r="AF71" s="75"/>
      <c r="AG71" s="75"/>
    </row>
    <row r="72" spans="1:33" s="94" customFormat="1" ht="42" customHeight="1">
      <c r="A72" s="113">
        <v>1</v>
      </c>
      <c r="B72" s="114" t="s">
        <v>535</v>
      </c>
      <c r="C72" s="113" t="s">
        <v>34</v>
      </c>
      <c r="D72" s="2"/>
      <c r="E72" s="2"/>
      <c r="F72" s="115">
        <v>4500</v>
      </c>
      <c r="G72" s="115">
        <v>4328</v>
      </c>
      <c r="H72" s="115">
        <v>4328</v>
      </c>
      <c r="I72" s="115"/>
      <c r="J72" s="115"/>
      <c r="K72" s="115"/>
      <c r="L72" s="115"/>
      <c r="M72" s="115">
        <v>3720</v>
      </c>
      <c r="N72" s="115">
        <v>3720</v>
      </c>
      <c r="O72" s="115">
        <v>3570</v>
      </c>
      <c r="P72" s="115">
        <v>3720</v>
      </c>
      <c r="Q72" s="3"/>
      <c r="R72" s="318"/>
      <c r="S72" s="1"/>
      <c r="T72" s="71"/>
      <c r="U72" s="71"/>
      <c r="V72" s="71"/>
      <c r="W72" s="71"/>
      <c r="X72" s="71"/>
      <c r="Y72" s="71"/>
      <c r="Z72" s="71"/>
      <c r="AA72" s="71"/>
      <c r="AB72" s="71"/>
      <c r="AC72" s="71"/>
      <c r="AD72" s="71"/>
      <c r="AE72" s="71"/>
      <c r="AF72" s="71"/>
      <c r="AG72" s="71"/>
    </row>
    <row r="73" spans="1:33" s="76" customFormat="1" ht="30.75" customHeight="1">
      <c r="A73" s="110" t="s">
        <v>18</v>
      </c>
      <c r="B73" s="111" t="s">
        <v>514</v>
      </c>
      <c r="C73" s="110"/>
      <c r="D73" s="43"/>
      <c r="E73" s="43"/>
      <c r="F73" s="112">
        <v>2000</v>
      </c>
      <c r="G73" s="112">
        <v>1905</v>
      </c>
      <c r="H73" s="112"/>
      <c r="I73" s="112"/>
      <c r="J73" s="112"/>
      <c r="K73" s="112"/>
      <c r="L73" s="112"/>
      <c r="M73" s="112">
        <v>1200</v>
      </c>
      <c r="N73" s="112">
        <v>1200</v>
      </c>
      <c r="O73" s="112">
        <v>1905</v>
      </c>
      <c r="P73" s="112">
        <v>1985</v>
      </c>
      <c r="Q73" s="78"/>
      <c r="R73" s="318"/>
      <c r="S73" s="1"/>
      <c r="T73" s="75"/>
      <c r="U73" s="75"/>
      <c r="V73" s="75"/>
      <c r="W73" s="75"/>
      <c r="X73" s="75"/>
      <c r="Y73" s="75"/>
      <c r="Z73" s="75"/>
      <c r="AA73" s="75"/>
      <c r="AB73" s="75"/>
      <c r="AC73" s="75"/>
      <c r="AD73" s="75"/>
      <c r="AE73" s="75"/>
      <c r="AF73" s="75"/>
      <c r="AG73" s="75"/>
    </row>
    <row r="74" spans="1:33" s="94" customFormat="1" ht="35.25" customHeight="1">
      <c r="A74" s="113">
        <v>1</v>
      </c>
      <c r="B74" s="114" t="s">
        <v>536</v>
      </c>
      <c r="C74" s="113" t="s">
        <v>71</v>
      </c>
      <c r="D74" s="2"/>
      <c r="E74" s="2"/>
      <c r="F74" s="115">
        <v>2000</v>
      </c>
      <c r="G74" s="115">
        <v>1905</v>
      </c>
      <c r="H74" s="115">
        <v>1905</v>
      </c>
      <c r="I74" s="115"/>
      <c r="J74" s="115"/>
      <c r="K74" s="115"/>
      <c r="L74" s="115"/>
      <c r="M74" s="115">
        <v>1200</v>
      </c>
      <c r="N74" s="115">
        <v>1200</v>
      </c>
      <c r="O74" s="115">
        <v>1905</v>
      </c>
      <c r="P74" s="115">
        <v>1985</v>
      </c>
      <c r="Q74" s="3"/>
      <c r="R74" s="318"/>
      <c r="S74" s="1"/>
      <c r="T74" s="83"/>
      <c r="U74" s="71"/>
      <c r="V74" s="71"/>
      <c r="W74" s="71"/>
      <c r="X74" s="71"/>
      <c r="Y74" s="71"/>
      <c r="Z74" s="71"/>
      <c r="AA74" s="71"/>
      <c r="AB74" s="71"/>
      <c r="AC74" s="71"/>
      <c r="AD74" s="71"/>
      <c r="AE74" s="71"/>
      <c r="AF74" s="71"/>
      <c r="AG74" s="71"/>
    </row>
    <row r="75" spans="1:33" s="76" customFormat="1" ht="33" customHeight="1">
      <c r="A75" s="110" t="s">
        <v>18</v>
      </c>
      <c r="B75" s="111" t="s">
        <v>530</v>
      </c>
      <c r="C75" s="110"/>
      <c r="D75" s="43"/>
      <c r="E75" s="43"/>
      <c r="F75" s="112">
        <v>1500</v>
      </c>
      <c r="G75" s="112">
        <v>992</v>
      </c>
      <c r="H75" s="112"/>
      <c r="I75" s="112"/>
      <c r="J75" s="112"/>
      <c r="K75" s="112"/>
      <c r="L75" s="112"/>
      <c r="M75" s="112">
        <v>800</v>
      </c>
      <c r="N75" s="112">
        <v>800</v>
      </c>
      <c r="O75" s="112">
        <v>700</v>
      </c>
      <c r="P75" s="112">
        <v>757.8</v>
      </c>
      <c r="Q75" s="78"/>
      <c r="R75" s="318"/>
      <c r="S75" s="1"/>
      <c r="T75" s="75"/>
      <c r="U75" s="75"/>
      <c r="V75" s="75"/>
      <c r="W75" s="75"/>
      <c r="X75" s="75"/>
      <c r="Y75" s="75"/>
      <c r="Z75" s="75"/>
      <c r="AA75" s="75"/>
      <c r="AB75" s="75"/>
      <c r="AC75" s="75"/>
      <c r="AD75" s="75"/>
      <c r="AE75" s="75"/>
      <c r="AF75" s="75"/>
      <c r="AG75" s="75"/>
    </row>
    <row r="76" spans="1:33" s="94" customFormat="1" ht="35.25" customHeight="1">
      <c r="A76" s="113">
        <v>1</v>
      </c>
      <c r="B76" s="114" t="s">
        <v>537</v>
      </c>
      <c r="C76" s="113" t="s">
        <v>70</v>
      </c>
      <c r="D76" s="2"/>
      <c r="E76" s="2"/>
      <c r="F76" s="115">
        <v>1500</v>
      </c>
      <c r="G76" s="115">
        <v>992</v>
      </c>
      <c r="H76" s="115">
        <v>992</v>
      </c>
      <c r="I76" s="115"/>
      <c r="J76" s="115"/>
      <c r="K76" s="115"/>
      <c r="L76" s="115"/>
      <c r="M76" s="115">
        <v>800</v>
      </c>
      <c r="N76" s="115">
        <v>800</v>
      </c>
      <c r="O76" s="115">
        <v>700</v>
      </c>
      <c r="P76" s="115">
        <v>757.8</v>
      </c>
      <c r="Q76" s="115">
        <v>508</v>
      </c>
      <c r="R76" s="78"/>
      <c r="S76" s="1"/>
      <c r="T76" s="71"/>
      <c r="U76" s="71"/>
      <c r="V76" s="71"/>
      <c r="W76" s="71"/>
      <c r="X76" s="71"/>
      <c r="Y76" s="71"/>
      <c r="Z76" s="71"/>
      <c r="AA76" s="71"/>
      <c r="AB76" s="71"/>
      <c r="AC76" s="71"/>
      <c r="AD76" s="71"/>
      <c r="AE76" s="71"/>
      <c r="AF76" s="71"/>
      <c r="AG76" s="71"/>
    </row>
    <row r="77" spans="1:33" s="85" customFormat="1" ht="31.5" customHeight="1">
      <c r="A77" s="43" t="s">
        <v>69</v>
      </c>
      <c r="B77" s="77" t="s">
        <v>68</v>
      </c>
      <c r="C77" s="43"/>
      <c r="D77" s="43"/>
      <c r="E77" s="43"/>
      <c r="F77" s="78">
        <f aca="true" t="shared" si="7" ref="F77:Q77">F78</f>
        <v>25400</v>
      </c>
      <c r="G77" s="78">
        <f t="shared" si="7"/>
        <v>3531.4610000000002</v>
      </c>
      <c r="H77" s="78"/>
      <c r="I77" s="78"/>
      <c r="J77" s="78"/>
      <c r="K77" s="78"/>
      <c r="L77" s="78"/>
      <c r="M77" s="78">
        <f t="shared" si="7"/>
        <v>1880</v>
      </c>
      <c r="N77" s="78">
        <f t="shared" si="7"/>
        <v>1880</v>
      </c>
      <c r="O77" s="78">
        <f t="shared" si="7"/>
        <v>3531.4610000000002</v>
      </c>
      <c r="P77" s="78">
        <f t="shared" si="7"/>
        <v>3531.4610000000002</v>
      </c>
      <c r="Q77" s="78">
        <f t="shared" si="7"/>
        <v>21868.539</v>
      </c>
      <c r="R77" s="78"/>
      <c r="S77" s="1"/>
      <c r="T77" s="75"/>
      <c r="U77" s="75"/>
      <c r="V77" s="75"/>
      <c r="W77" s="75"/>
      <c r="X77" s="75"/>
      <c r="Y77" s="75"/>
      <c r="Z77" s="75"/>
      <c r="AA77" s="75"/>
      <c r="AB77" s="75"/>
      <c r="AC77" s="75"/>
      <c r="AD77" s="75"/>
      <c r="AE77" s="75"/>
      <c r="AF77" s="75"/>
      <c r="AG77" s="75"/>
    </row>
    <row r="78" spans="1:33" s="76" customFormat="1" ht="31.5" customHeight="1">
      <c r="A78" s="43" t="s">
        <v>18</v>
      </c>
      <c r="B78" s="77" t="s">
        <v>17</v>
      </c>
      <c r="C78" s="43"/>
      <c r="D78" s="43"/>
      <c r="E78" s="43"/>
      <c r="F78" s="78">
        <f aca="true" t="shared" si="8" ref="F78:Q78">SUM(F79:F84)</f>
        <v>25400</v>
      </c>
      <c r="G78" s="109">
        <f t="shared" si="8"/>
        <v>3531.4610000000002</v>
      </c>
      <c r="H78" s="109"/>
      <c r="I78" s="109"/>
      <c r="J78" s="109"/>
      <c r="K78" s="109"/>
      <c r="L78" s="109"/>
      <c r="M78" s="78">
        <f t="shared" si="8"/>
        <v>1880</v>
      </c>
      <c r="N78" s="78">
        <f t="shared" si="8"/>
        <v>1880</v>
      </c>
      <c r="O78" s="78">
        <f t="shared" si="8"/>
        <v>3531.4610000000002</v>
      </c>
      <c r="P78" s="78">
        <f t="shared" si="8"/>
        <v>3531.4610000000002</v>
      </c>
      <c r="Q78" s="78">
        <f t="shared" si="8"/>
        <v>21868.539</v>
      </c>
      <c r="R78" s="78"/>
      <c r="S78" s="1"/>
      <c r="T78" s="75"/>
      <c r="U78" s="75"/>
      <c r="V78" s="75"/>
      <c r="W78" s="75"/>
      <c r="X78" s="75"/>
      <c r="Y78" s="75"/>
      <c r="Z78" s="75"/>
      <c r="AA78" s="75"/>
      <c r="AB78" s="75"/>
      <c r="AC78" s="75"/>
      <c r="AD78" s="75"/>
      <c r="AE78" s="75"/>
      <c r="AF78" s="75"/>
      <c r="AG78" s="75"/>
    </row>
    <row r="79" spans="1:33" ht="39.75" customHeight="1">
      <c r="A79" s="2">
        <v>1</v>
      </c>
      <c r="B79" s="3" t="s">
        <v>67</v>
      </c>
      <c r="C79" s="2" t="s">
        <v>66</v>
      </c>
      <c r="D79" s="2" t="s">
        <v>56</v>
      </c>
      <c r="E79" s="2"/>
      <c r="F79" s="81">
        <v>5200</v>
      </c>
      <c r="G79" s="86">
        <v>200</v>
      </c>
      <c r="H79" s="86">
        <v>200</v>
      </c>
      <c r="I79" s="86"/>
      <c r="J79" s="86"/>
      <c r="K79" s="86"/>
      <c r="L79" s="86"/>
      <c r="M79" s="81">
        <v>200</v>
      </c>
      <c r="N79" s="81">
        <v>200</v>
      </c>
      <c r="O79" s="81">
        <v>200</v>
      </c>
      <c r="P79" s="81">
        <v>200</v>
      </c>
      <c r="Q79" s="81">
        <v>5000</v>
      </c>
      <c r="R79" s="81"/>
      <c r="S79" s="1"/>
      <c r="T79" s="71"/>
      <c r="U79" s="71"/>
      <c r="V79" s="71"/>
      <c r="W79" s="71"/>
      <c r="X79" s="71"/>
      <c r="Y79" s="71"/>
      <c r="Z79" s="71"/>
      <c r="AA79" s="71"/>
      <c r="AB79" s="71"/>
      <c r="AC79" s="71"/>
      <c r="AD79" s="71"/>
      <c r="AE79" s="71"/>
      <c r="AF79" s="71"/>
      <c r="AG79" s="71"/>
    </row>
    <row r="80" spans="1:33" ht="35.25" customHeight="1">
      <c r="A80" s="2">
        <v>2</v>
      </c>
      <c r="B80" s="3" t="s">
        <v>65</v>
      </c>
      <c r="C80" s="2" t="s">
        <v>64</v>
      </c>
      <c r="D80" s="2" t="s">
        <v>56</v>
      </c>
      <c r="E80" s="2"/>
      <c r="F80" s="81">
        <v>1100</v>
      </c>
      <c r="G80" s="86">
        <v>50</v>
      </c>
      <c r="H80" s="86">
        <v>50</v>
      </c>
      <c r="I80" s="86"/>
      <c r="J80" s="86"/>
      <c r="K80" s="86"/>
      <c r="L80" s="86"/>
      <c r="M80" s="81">
        <v>80</v>
      </c>
      <c r="N80" s="81">
        <v>80</v>
      </c>
      <c r="O80" s="81">
        <v>50</v>
      </c>
      <c r="P80" s="81">
        <v>50</v>
      </c>
      <c r="Q80" s="81">
        <v>1050</v>
      </c>
      <c r="R80" s="81"/>
      <c r="S80" s="1"/>
      <c r="T80" s="71"/>
      <c r="U80" s="71"/>
      <c r="V80" s="71"/>
      <c r="W80" s="71"/>
      <c r="X80" s="71"/>
      <c r="Y80" s="71"/>
      <c r="Z80" s="71"/>
      <c r="AA80" s="71"/>
      <c r="AB80" s="71"/>
      <c r="AC80" s="71"/>
      <c r="AD80" s="71"/>
      <c r="AE80" s="71"/>
      <c r="AF80" s="71"/>
      <c r="AG80" s="71"/>
    </row>
    <row r="81" spans="1:33" ht="31.5">
      <c r="A81" s="2">
        <v>3</v>
      </c>
      <c r="B81" s="3" t="s">
        <v>63</v>
      </c>
      <c r="C81" s="2" t="s">
        <v>62</v>
      </c>
      <c r="D81" s="2" t="s">
        <v>56</v>
      </c>
      <c r="E81" s="2"/>
      <c r="F81" s="81">
        <v>1550</v>
      </c>
      <c r="G81" s="86">
        <v>50</v>
      </c>
      <c r="H81" s="86">
        <v>50</v>
      </c>
      <c r="I81" s="86"/>
      <c r="J81" s="86"/>
      <c r="K81" s="86"/>
      <c r="L81" s="86"/>
      <c r="M81" s="81">
        <v>100</v>
      </c>
      <c r="N81" s="81">
        <v>100</v>
      </c>
      <c r="O81" s="81">
        <v>50</v>
      </c>
      <c r="P81" s="81">
        <v>50</v>
      </c>
      <c r="Q81" s="81">
        <v>1500</v>
      </c>
      <c r="R81" s="81"/>
      <c r="S81" s="1"/>
      <c r="T81" s="71"/>
      <c r="U81" s="71"/>
      <c r="V81" s="71"/>
      <c r="W81" s="71"/>
      <c r="X81" s="71"/>
      <c r="Y81" s="71"/>
      <c r="Z81" s="71"/>
      <c r="AA81" s="71"/>
      <c r="AB81" s="71"/>
      <c r="AC81" s="71"/>
      <c r="AD81" s="71"/>
      <c r="AE81" s="71"/>
      <c r="AF81" s="71"/>
      <c r="AG81" s="71"/>
    </row>
    <row r="82" spans="1:33" ht="31.5">
      <c r="A82" s="2">
        <v>4</v>
      </c>
      <c r="B82" s="3" t="s">
        <v>61</v>
      </c>
      <c r="C82" s="2" t="s">
        <v>59</v>
      </c>
      <c r="D82" s="2" t="s">
        <v>56</v>
      </c>
      <c r="E82" s="2"/>
      <c r="F82" s="81">
        <v>2000</v>
      </c>
      <c r="G82" s="86">
        <v>1000</v>
      </c>
      <c r="H82" s="86">
        <v>1000</v>
      </c>
      <c r="I82" s="86"/>
      <c r="J82" s="86"/>
      <c r="K82" s="86"/>
      <c r="L82" s="86"/>
      <c r="M82" s="81">
        <v>500</v>
      </c>
      <c r="N82" s="81">
        <v>500</v>
      </c>
      <c r="O82" s="81">
        <v>1000</v>
      </c>
      <c r="P82" s="81">
        <v>1000</v>
      </c>
      <c r="Q82" s="81">
        <v>1000</v>
      </c>
      <c r="R82" s="81"/>
      <c r="S82" s="1"/>
      <c r="T82" s="71"/>
      <c r="U82" s="71"/>
      <c r="V82" s="71"/>
      <c r="W82" s="71"/>
      <c r="X82" s="71"/>
      <c r="Y82" s="71"/>
      <c r="Z82" s="71"/>
      <c r="AA82" s="71"/>
      <c r="AB82" s="71"/>
      <c r="AC82" s="71"/>
      <c r="AD82" s="71"/>
      <c r="AE82" s="71"/>
      <c r="AF82" s="71"/>
      <c r="AG82" s="71"/>
    </row>
    <row r="83" spans="1:33" ht="31.5">
      <c r="A83" s="2">
        <v>5</v>
      </c>
      <c r="B83" s="3" t="s">
        <v>60</v>
      </c>
      <c r="C83" s="2" t="s">
        <v>59</v>
      </c>
      <c r="D83" s="2" t="s">
        <v>56</v>
      </c>
      <c r="E83" s="2"/>
      <c r="F83" s="81">
        <v>1050</v>
      </c>
      <c r="G83" s="86">
        <v>500</v>
      </c>
      <c r="H83" s="86">
        <v>500</v>
      </c>
      <c r="I83" s="86"/>
      <c r="J83" s="86"/>
      <c r="K83" s="86"/>
      <c r="L83" s="86"/>
      <c r="M83" s="81">
        <v>500</v>
      </c>
      <c r="N83" s="81">
        <v>500</v>
      </c>
      <c r="O83" s="81">
        <v>500</v>
      </c>
      <c r="P83" s="81">
        <v>500</v>
      </c>
      <c r="Q83" s="81">
        <v>550</v>
      </c>
      <c r="R83" s="81"/>
      <c r="S83" s="1"/>
      <c r="T83" s="71"/>
      <c r="U83" s="71"/>
      <c r="V83" s="71"/>
      <c r="W83" s="71"/>
      <c r="X83" s="71"/>
      <c r="Y83" s="71"/>
      <c r="Z83" s="71"/>
      <c r="AA83" s="71"/>
      <c r="AB83" s="71"/>
      <c r="AC83" s="71"/>
      <c r="AD83" s="71"/>
      <c r="AE83" s="71"/>
      <c r="AF83" s="71"/>
      <c r="AG83" s="71"/>
    </row>
    <row r="84" spans="1:33" ht="31.5" customHeight="1">
      <c r="A84" s="2">
        <v>6</v>
      </c>
      <c r="B84" s="3" t="s">
        <v>58</v>
      </c>
      <c r="C84" s="2" t="s">
        <v>57</v>
      </c>
      <c r="D84" s="2" t="s">
        <v>56</v>
      </c>
      <c r="E84" s="2"/>
      <c r="F84" s="81">
        <v>14500</v>
      </c>
      <c r="G84" s="86">
        <f>1260+471.461</f>
        <v>1731.461</v>
      </c>
      <c r="H84" s="86">
        <v>1260</v>
      </c>
      <c r="I84" s="86"/>
      <c r="J84" s="86"/>
      <c r="K84" s="86"/>
      <c r="L84" s="86">
        <v>1731.461</v>
      </c>
      <c r="M84" s="81">
        <v>500</v>
      </c>
      <c r="N84" s="81">
        <v>500</v>
      </c>
      <c r="O84" s="81">
        <f>1260+471.461</f>
        <v>1731.461</v>
      </c>
      <c r="P84" s="81">
        <f>1260+471.461</f>
        <v>1731.461</v>
      </c>
      <c r="Q84" s="81">
        <f>13240-471.461</f>
        <v>12768.539</v>
      </c>
      <c r="R84" s="81"/>
      <c r="S84" s="1"/>
      <c r="T84" s="71"/>
      <c r="U84" s="71"/>
      <c r="V84" s="71"/>
      <c r="W84" s="71"/>
      <c r="X84" s="71"/>
      <c r="Y84" s="71"/>
      <c r="Z84" s="71"/>
      <c r="AA84" s="71"/>
      <c r="AB84" s="71"/>
      <c r="AC84" s="71"/>
      <c r="AD84" s="71"/>
      <c r="AE84" s="71"/>
      <c r="AF84" s="71"/>
      <c r="AG84" s="71"/>
    </row>
    <row r="85" spans="1:33" s="76" customFormat="1" ht="60" customHeight="1">
      <c r="A85" s="43" t="s">
        <v>55</v>
      </c>
      <c r="B85" s="77" t="s">
        <v>54</v>
      </c>
      <c r="C85" s="43"/>
      <c r="D85" s="43"/>
      <c r="E85" s="43"/>
      <c r="F85" s="78">
        <f aca="true" t="shared" si="9" ref="F85:Q85">+F86+F101</f>
        <v>65898.5</v>
      </c>
      <c r="G85" s="78">
        <f t="shared" si="9"/>
        <v>44355</v>
      </c>
      <c r="H85" s="78"/>
      <c r="I85" s="78"/>
      <c r="J85" s="78"/>
      <c r="K85" s="78"/>
      <c r="L85" s="78"/>
      <c r="M85" s="78">
        <f t="shared" si="9"/>
        <v>22169.145</v>
      </c>
      <c r="N85" s="78">
        <f t="shared" si="9"/>
        <v>23575.964</v>
      </c>
      <c r="O85" s="78">
        <f t="shared" si="9"/>
        <v>40438.6</v>
      </c>
      <c r="P85" s="78">
        <f t="shared" si="9"/>
        <v>41842.6</v>
      </c>
      <c r="Q85" s="78">
        <f t="shared" si="9"/>
        <v>13342</v>
      </c>
      <c r="R85" s="78"/>
      <c r="S85" s="1"/>
      <c r="T85" s="108"/>
      <c r="U85" s="75"/>
      <c r="V85" s="75"/>
      <c r="W85" s="75"/>
      <c r="X85" s="75"/>
      <c r="Y85" s="75"/>
      <c r="Z85" s="75"/>
      <c r="AA85" s="75"/>
      <c r="AB85" s="75"/>
      <c r="AC85" s="75"/>
      <c r="AD85" s="75"/>
      <c r="AE85" s="75"/>
      <c r="AF85" s="75"/>
      <c r="AG85" s="75"/>
    </row>
    <row r="86" spans="1:33" s="85" customFormat="1" ht="44.25" customHeight="1">
      <c r="A86" s="43" t="s">
        <v>53</v>
      </c>
      <c r="B86" s="77" t="s">
        <v>52</v>
      </c>
      <c r="C86" s="43"/>
      <c r="D86" s="43"/>
      <c r="E86" s="43"/>
      <c r="F86" s="78">
        <f>F87+F97+F99</f>
        <v>51598.5</v>
      </c>
      <c r="G86" s="78">
        <f aca="true" t="shared" si="10" ref="G86:Q86">G87+G97+G99</f>
        <v>37027</v>
      </c>
      <c r="H86" s="78"/>
      <c r="I86" s="78"/>
      <c r="J86" s="78"/>
      <c r="K86" s="78"/>
      <c r="L86" s="78"/>
      <c r="M86" s="78">
        <f t="shared" si="10"/>
        <v>20969.145</v>
      </c>
      <c r="N86" s="78">
        <f t="shared" si="10"/>
        <v>22375.964</v>
      </c>
      <c r="O86" s="78">
        <f t="shared" si="10"/>
        <v>33110.6</v>
      </c>
      <c r="P86" s="78">
        <f t="shared" si="10"/>
        <v>34514.6</v>
      </c>
      <c r="Q86" s="78">
        <f t="shared" si="10"/>
        <v>7400</v>
      </c>
      <c r="R86" s="78"/>
      <c r="S86" s="1"/>
      <c r="T86" s="75"/>
      <c r="U86" s="75"/>
      <c r="V86" s="75"/>
      <c r="W86" s="75"/>
      <c r="X86" s="75"/>
      <c r="Y86" s="75"/>
      <c r="Z86" s="75"/>
      <c r="AA86" s="75"/>
      <c r="AB86" s="75"/>
      <c r="AC86" s="75"/>
      <c r="AD86" s="75"/>
      <c r="AE86" s="75"/>
      <c r="AF86" s="75"/>
      <c r="AG86" s="75"/>
    </row>
    <row r="87" spans="1:33" s="76" customFormat="1" ht="34.5" customHeight="1">
      <c r="A87" s="43" t="s">
        <v>18</v>
      </c>
      <c r="B87" s="77" t="s">
        <v>17</v>
      </c>
      <c r="C87" s="43"/>
      <c r="D87" s="43"/>
      <c r="E87" s="43"/>
      <c r="F87" s="78">
        <f aca="true" t="shared" si="11" ref="F87:Q87">SUM(F88:F96)</f>
        <v>44098.5</v>
      </c>
      <c r="G87" s="78">
        <f t="shared" si="11"/>
        <v>32003.6</v>
      </c>
      <c r="H87" s="78"/>
      <c r="I87" s="78"/>
      <c r="J87" s="78"/>
      <c r="K87" s="78"/>
      <c r="L87" s="78"/>
      <c r="M87" s="78">
        <f t="shared" si="11"/>
        <v>20669.145</v>
      </c>
      <c r="N87" s="78">
        <f t="shared" si="11"/>
        <v>22075.964</v>
      </c>
      <c r="O87" s="78">
        <f t="shared" si="11"/>
        <v>32003.6</v>
      </c>
      <c r="P87" s="78">
        <f t="shared" si="11"/>
        <v>33407.6</v>
      </c>
      <c r="Q87" s="78">
        <f t="shared" si="11"/>
        <v>7400</v>
      </c>
      <c r="R87" s="78"/>
      <c r="S87" s="1"/>
      <c r="T87" s="75"/>
      <c r="U87" s="75"/>
      <c r="V87" s="75"/>
      <c r="W87" s="75"/>
      <c r="X87" s="75"/>
      <c r="Y87" s="75"/>
      <c r="Z87" s="75"/>
      <c r="AA87" s="75"/>
      <c r="AB87" s="75"/>
      <c r="AC87" s="75"/>
      <c r="AD87" s="75"/>
      <c r="AE87" s="75"/>
      <c r="AF87" s="75"/>
      <c r="AG87" s="75"/>
    </row>
    <row r="88" spans="1:33" s="72" customFormat="1" ht="33.75" customHeight="1">
      <c r="A88" s="2">
        <v>1</v>
      </c>
      <c r="B88" s="3" t="s">
        <v>51</v>
      </c>
      <c r="C88" s="2" t="s">
        <v>50</v>
      </c>
      <c r="D88" s="2" t="s">
        <v>10</v>
      </c>
      <c r="E88" s="2"/>
      <c r="F88" s="81">
        <v>2000</v>
      </c>
      <c r="G88" s="81">
        <v>1750.5</v>
      </c>
      <c r="H88" s="81">
        <v>1500</v>
      </c>
      <c r="I88" s="81">
        <v>1750</v>
      </c>
      <c r="J88" s="81"/>
      <c r="K88" s="81"/>
      <c r="L88" s="81"/>
      <c r="M88" s="81">
        <v>1646.1</v>
      </c>
      <c r="N88" s="81">
        <v>1816.1</v>
      </c>
      <c r="O88" s="81">
        <v>1750.5</v>
      </c>
      <c r="P88" s="81">
        <v>1920.5</v>
      </c>
      <c r="Q88" s="81"/>
      <c r="R88" s="81"/>
      <c r="S88" s="1"/>
      <c r="T88" s="83"/>
      <c r="U88" s="83"/>
      <c r="V88" s="71"/>
      <c r="W88" s="81"/>
      <c r="X88" s="83"/>
      <c r="Y88" s="71"/>
      <c r="Z88" s="71"/>
      <c r="AA88" s="71"/>
      <c r="AB88" s="71"/>
      <c r="AC88" s="71"/>
      <c r="AD88" s="71"/>
      <c r="AE88" s="71"/>
      <c r="AF88" s="71"/>
      <c r="AG88" s="71"/>
    </row>
    <row r="89" spans="1:33" s="72" customFormat="1" ht="33.75" customHeight="1">
      <c r="A89" s="2">
        <v>2</v>
      </c>
      <c r="B89" s="3" t="s">
        <v>49</v>
      </c>
      <c r="C89" s="2" t="s">
        <v>40</v>
      </c>
      <c r="D89" s="2" t="s">
        <v>9</v>
      </c>
      <c r="E89" s="2"/>
      <c r="F89" s="81">
        <v>5128.5</v>
      </c>
      <c r="G89" s="81">
        <v>4697</v>
      </c>
      <c r="H89" s="81">
        <v>2700</v>
      </c>
      <c r="I89" s="81">
        <v>4679</v>
      </c>
      <c r="J89" s="81"/>
      <c r="K89" s="81"/>
      <c r="L89" s="81"/>
      <c r="M89" s="81">
        <v>3500</v>
      </c>
      <c r="N89" s="81">
        <v>3760</v>
      </c>
      <c r="O89" s="81">
        <v>4697</v>
      </c>
      <c r="P89" s="81">
        <v>4957</v>
      </c>
      <c r="Q89" s="81"/>
      <c r="R89" s="81"/>
      <c r="S89" s="1"/>
      <c r="T89" s="83"/>
      <c r="U89" s="83"/>
      <c r="V89" s="71"/>
      <c r="W89" s="81"/>
      <c r="X89" s="83"/>
      <c r="Y89" s="71"/>
      <c r="Z89" s="71"/>
      <c r="AA89" s="71"/>
      <c r="AB89" s="71"/>
      <c r="AC89" s="71"/>
      <c r="AD89" s="71"/>
      <c r="AE89" s="71"/>
      <c r="AF89" s="71"/>
      <c r="AG89" s="71"/>
    </row>
    <row r="90" spans="1:33" s="72" customFormat="1" ht="33.75" customHeight="1">
      <c r="A90" s="2">
        <v>3</v>
      </c>
      <c r="B90" s="3" t="s">
        <v>48</v>
      </c>
      <c r="C90" s="2" t="s">
        <v>47</v>
      </c>
      <c r="D90" s="2" t="s">
        <v>8</v>
      </c>
      <c r="E90" s="2"/>
      <c r="F90" s="81">
        <v>2000</v>
      </c>
      <c r="G90" s="81">
        <v>1812.5</v>
      </c>
      <c r="H90" s="81">
        <v>1200</v>
      </c>
      <c r="I90" s="81">
        <v>1812.5</v>
      </c>
      <c r="J90" s="81"/>
      <c r="K90" s="81"/>
      <c r="L90" s="81"/>
      <c r="M90" s="81">
        <v>1714</v>
      </c>
      <c r="N90" s="81">
        <v>1801.819</v>
      </c>
      <c r="O90" s="81">
        <v>1812.5</v>
      </c>
      <c r="P90" s="81">
        <v>1897.5</v>
      </c>
      <c r="Q90" s="81"/>
      <c r="R90" s="81"/>
      <c r="S90" s="1"/>
      <c r="T90" s="83"/>
      <c r="U90" s="83"/>
      <c r="V90" s="71"/>
      <c r="W90" s="81"/>
      <c r="X90" s="83"/>
      <c r="Y90" s="71"/>
      <c r="Z90" s="71"/>
      <c r="AA90" s="71"/>
      <c r="AB90" s="71"/>
      <c r="AC90" s="71"/>
      <c r="AD90" s="71"/>
      <c r="AE90" s="71"/>
      <c r="AF90" s="71"/>
      <c r="AG90" s="71"/>
    </row>
    <row r="91" spans="1:33" s="72" customFormat="1" ht="33.75" customHeight="1">
      <c r="A91" s="2">
        <v>4</v>
      </c>
      <c r="B91" s="3" t="s">
        <v>46</v>
      </c>
      <c r="C91" s="2" t="s">
        <v>45</v>
      </c>
      <c r="D91" s="2" t="s">
        <v>7</v>
      </c>
      <c r="E91" s="2"/>
      <c r="F91" s="81">
        <v>6330</v>
      </c>
      <c r="G91" s="81">
        <v>4753.6</v>
      </c>
      <c r="H91" s="81">
        <v>3800</v>
      </c>
      <c r="I91" s="81">
        <v>4753.6</v>
      </c>
      <c r="J91" s="81"/>
      <c r="K91" s="81"/>
      <c r="L91" s="81"/>
      <c r="M91" s="81">
        <v>4468</v>
      </c>
      <c r="N91" s="81">
        <v>4708</v>
      </c>
      <c r="O91" s="81">
        <v>4753.6</v>
      </c>
      <c r="P91" s="81">
        <v>4993.6</v>
      </c>
      <c r="Q91" s="81"/>
      <c r="R91" s="81"/>
      <c r="S91" s="1"/>
      <c r="T91" s="83"/>
      <c r="U91" s="83"/>
      <c r="V91" s="71"/>
      <c r="W91" s="81"/>
      <c r="X91" s="83"/>
      <c r="Y91" s="71"/>
      <c r="Z91" s="71"/>
      <c r="AA91" s="71"/>
      <c r="AB91" s="71"/>
      <c r="AC91" s="71"/>
      <c r="AD91" s="71"/>
      <c r="AE91" s="71"/>
      <c r="AF91" s="71"/>
      <c r="AG91" s="71"/>
    </row>
    <row r="92" spans="1:33" s="72" customFormat="1" ht="33.75" customHeight="1">
      <c r="A92" s="2">
        <v>5</v>
      </c>
      <c r="B92" s="3" t="s">
        <v>44</v>
      </c>
      <c r="C92" s="2" t="s">
        <v>40</v>
      </c>
      <c r="D92" s="2" t="s">
        <v>5</v>
      </c>
      <c r="E92" s="2"/>
      <c r="F92" s="81">
        <v>3200</v>
      </c>
      <c r="G92" s="81">
        <v>2805.5</v>
      </c>
      <c r="H92" s="81">
        <v>1700</v>
      </c>
      <c r="I92" s="81">
        <v>2805.5</v>
      </c>
      <c r="J92" s="81"/>
      <c r="K92" s="81"/>
      <c r="L92" s="81"/>
      <c r="M92" s="81">
        <v>2000</v>
      </c>
      <c r="N92" s="81">
        <v>2235</v>
      </c>
      <c r="O92" s="81">
        <v>2805.5</v>
      </c>
      <c r="P92" s="81">
        <v>3040.5</v>
      </c>
      <c r="Q92" s="81"/>
      <c r="R92" s="81"/>
      <c r="S92" s="1"/>
      <c r="T92" s="83"/>
      <c r="U92" s="83"/>
      <c r="V92" s="71"/>
      <c r="W92" s="81"/>
      <c r="X92" s="83"/>
      <c r="Y92" s="71"/>
      <c r="Z92" s="71"/>
      <c r="AA92" s="71"/>
      <c r="AB92" s="71"/>
      <c r="AC92" s="71"/>
      <c r="AD92" s="71"/>
      <c r="AE92" s="71"/>
      <c r="AF92" s="71"/>
      <c r="AG92" s="71"/>
    </row>
    <row r="93" spans="1:33" s="72" customFormat="1" ht="33.75" customHeight="1">
      <c r="A93" s="2">
        <v>6</v>
      </c>
      <c r="B93" s="3" t="s">
        <v>43</v>
      </c>
      <c r="C93" s="2" t="s">
        <v>42</v>
      </c>
      <c r="D93" s="2" t="s">
        <v>4</v>
      </c>
      <c r="E93" s="2"/>
      <c r="F93" s="81">
        <v>2500</v>
      </c>
      <c r="G93" s="81">
        <v>2041</v>
      </c>
      <c r="H93" s="81">
        <v>1200</v>
      </c>
      <c r="I93" s="81">
        <v>2041</v>
      </c>
      <c r="J93" s="81"/>
      <c r="K93" s="81"/>
      <c r="L93" s="81"/>
      <c r="M93" s="81">
        <v>2041.045</v>
      </c>
      <c r="N93" s="81">
        <v>2125.045</v>
      </c>
      <c r="O93" s="81">
        <v>2041</v>
      </c>
      <c r="P93" s="81">
        <v>2125</v>
      </c>
      <c r="Q93" s="81"/>
      <c r="R93" s="81"/>
      <c r="S93" s="1"/>
      <c r="T93" s="83"/>
      <c r="U93" s="83"/>
      <c r="V93" s="71"/>
      <c r="W93" s="81"/>
      <c r="X93" s="83"/>
      <c r="Y93" s="71"/>
      <c r="Z93" s="71"/>
      <c r="AA93" s="71"/>
      <c r="AB93" s="71"/>
      <c r="AC93" s="71"/>
      <c r="AD93" s="71"/>
      <c r="AE93" s="71"/>
      <c r="AF93" s="71"/>
      <c r="AG93" s="71"/>
    </row>
    <row r="94" spans="1:33" s="72" customFormat="1" ht="33.75" customHeight="1">
      <c r="A94" s="2">
        <v>7</v>
      </c>
      <c r="B94" s="3" t="s">
        <v>41</v>
      </c>
      <c r="C94" s="2" t="s">
        <v>40</v>
      </c>
      <c r="D94" s="2" t="s">
        <v>3</v>
      </c>
      <c r="E94" s="2"/>
      <c r="F94" s="81">
        <v>3500</v>
      </c>
      <c r="G94" s="81">
        <v>2850.2</v>
      </c>
      <c r="H94" s="81">
        <v>1800</v>
      </c>
      <c r="I94" s="81">
        <v>2850.2</v>
      </c>
      <c r="J94" s="81"/>
      <c r="K94" s="81"/>
      <c r="L94" s="81"/>
      <c r="M94" s="81">
        <v>2000</v>
      </c>
      <c r="N94" s="81">
        <v>2160</v>
      </c>
      <c r="O94" s="81">
        <v>2850.2</v>
      </c>
      <c r="P94" s="81">
        <v>3010.2</v>
      </c>
      <c r="Q94" s="81"/>
      <c r="R94" s="81"/>
      <c r="S94" s="1"/>
      <c r="T94" s="83"/>
      <c r="U94" s="83"/>
      <c r="V94" s="71"/>
      <c r="W94" s="81"/>
      <c r="X94" s="83"/>
      <c r="Y94" s="71"/>
      <c r="Z94" s="71"/>
      <c r="AA94" s="71"/>
      <c r="AB94" s="71"/>
      <c r="AC94" s="71"/>
      <c r="AD94" s="71"/>
      <c r="AE94" s="71"/>
      <c r="AF94" s="71"/>
      <c r="AG94" s="71"/>
    </row>
    <row r="95" spans="1:33" s="72" customFormat="1" ht="33.75" customHeight="1">
      <c r="A95" s="2">
        <v>8</v>
      </c>
      <c r="B95" s="3" t="s">
        <v>39</v>
      </c>
      <c r="C95" s="2" t="s">
        <v>37</v>
      </c>
      <c r="D95" s="2" t="s">
        <v>2</v>
      </c>
      <c r="E95" s="2"/>
      <c r="F95" s="81">
        <v>4450</v>
      </c>
      <c r="G95" s="81">
        <v>3793.3</v>
      </c>
      <c r="H95" s="81">
        <v>2800</v>
      </c>
      <c r="I95" s="81">
        <v>3793.3</v>
      </c>
      <c r="J95" s="81"/>
      <c r="K95" s="81"/>
      <c r="L95" s="81"/>
      <c r="M95" s="81">
        <v>3000</v>
      </c>
      <c r="N95" s="81">
        <v>3170</v>
      </c>
      <c r="O95" s="81">
        <v>3793.3</v>
      </c>
      <c r="P95" s="81">
        <v>3963.3</v>
      </c>
      <c r="Q95" s="81"/>
      <c r="R95" s="81"/>
      <c r="S95" s="1"/>
      <c r="T95" s="83"/>
      <c r="U95" s="83"/>
      <c r="V95" s="71"/>
      <c r="W95" s="81"/>
      <c r="X95" s="83"/>
      <c r="Y95" s="71"/>
      <c r="Z95" s="71"/>
      <c r="AA95" s="71"/>
      <c r="AB95" s="71"/>
      <c r="AC95" s="71"/>
      <c r="AD95" s="71"/>
      <c r="AE95" s="71"/>
      <c r="AF95" s="71"/>
      <c r="AG95" s="71"/>
    </row>
    <row r="96" spans="1:33" s="72" customFormat="1" ht="40.5" customHeight="1">
      <c r="A96" s="2">
        <v>9</v>
      </c>
      <c r="B96" s="3" t="s">
        <v>38</v>
      </c>
      <c r="C96" s="2" t="s">
        <v>37</v>
      </c>
      <c r="D96" s="2" t="s">
        <v>1</v>
      </c>
      <c r="E96" s="2"/>
      <c r="F96" s="81">
        <v>14990</v>
      </c>
      <c r="G96" s="81">
        <v>7500</v>
      </c>
      <c r="H96" s="81">
        <v>10079</v>
      </c>
      <c r="I96" s="81">
        <v>669</v>
      </c>
      <c r="J96" s="81"/>
      <c r="K96" s="81"/>
      <c r="L96" s="81">
        <v>7500</v>
      </c>
      <c r="M96" s="81">
        <v>300</v>
      </c>
      <c r="N96" s="81">
        <v>300</v>
      </c>
      <c r="O96" s="81">
        <v>7500</v>
      </c>
      <c r="P96" s="81">
        <f>O96</f>
        <v>7500</v>
      </c>
      <c r="Q96" s="81">
        <f>14900-G96</f>
        <v>7400</v>
      </c>
      <c r="R96" s="81"/>
      <c r="S96" s="1"/>
      <c r="T96" s="83"/>
      <c r="U96" s="83"/>
      <c r="V96" s="71"/>
      <c r="W96" s="71"/>
      <c r="X96" s="71"/>
      <c r="Y96" s="71"/>
      <c r="Z96" s="71"/>
      <c r="AA96" s="71"/>
      <c r="AB96" s="71"/>
      <c r="AC96" s="71"/>
      <c r="AD96" s="71"/>
      <c r="AE96" s="71"/>
      <c r="AF96" s="71"/>
      <c r="AG96" s="71"/>
    </row>
    <row r="97" spans="1:33" s="72" customFormat="1" ht="33.75" customHeight="1">
      <c r="A97" s="97" t="s">
        <v>18</v>
      </c>
      <c r="B97" s="116" t="s">
        <v>36</v>
      </c>
      <c r="C97" s="97"/>
      <c r="D97" s="97"/>
      <c r="E97" s="97"/>
      <c r="F97" s="93">
        <v>3000</v>
      </c>
      <c r="G97" s="93">
        <v>917</v>
      </c>
      <c r="H97" s="93"/>
      <c r="I97" s="93"/>
      <c r="J97" s="93"/>
      <c r="K97" s="93"/>
      <c r="L97" s="93"/>
      <c r="M97" s="93"/>
      <c r="N97" s="93"/>
      <c r="O97" s="93">
        <v>917</v>
      </c>
      <c r="P97" s="93">
        <v>917</v>
      </c>
      <c r="Q97" s="117"/>
      <c r="R97" s="77"/>
      <c r="S97" s="1"/>
      <c r="T97" s="71"/>
      <c r="U97" s="71"/>
      <c r="V97" s="71"/>
      <c r="W97" s="71"/>
      <c r="X97" s="71"/>
      <c r="Y97" s="71"/>
      <c r="Z97" s="71"/>
      <c r="AA97" s="71"/>
      <c r="AB97" s="71"/>
      <c r="AC97" s="71"/>
      <c r="AD97" s="71"/>
      <c r="AE97" s="71"/>
      <c r="AF97" s="71"/>
      <c r="AG97" s="71"/>
    </row>
    <row r="98" spans="1:33" s="72" customFormat="1" ht="33.75" customHeight="1">
      <c r="A98" s="91">
        <v>1</v>
      </c>
      <c r="B98" s="117" t="s">
        <v>35</v>
      </c>
      <c r="C98" s="91" t="s">
        <v>34</v>
      </c>
      <c r="D98" s="91"/>
      <c r="E98" s="91"/>
      <c r="F98" s="92">
        <v>3000</v>
      </c>
      <c r="G98" s="92">
        <v>917</v>
      </c>
      <c r="H98" s="92">
        <v>917</v>
      </c>
      <c r="I98" s="92">
        <v>917</v>
      </c>
      <c r="J98" s="92"/>
      <c r="K98" s="92"/>
      <c r="L98" s="92"/>
      <c r="M98" s="92"/>
      <c r="N98" s="92"/>
      <c r="O98" s="92">
        <v>917</v>
      </c>
      <c r="P98" s="92">
        <v>917</v>
      </c>
      <c r="Q98" s="117"/>
      <c r="R98" s="317"/>
      <c r="S98" s="1"/>
      <c r="T98" s="71"/>
      <c r="U98" s="71"/>
      <c r="V98" s="71"/>
      <c r="W98" s="71"/>
      <c r="X98" s="71"/>
      <c r="Y98" s="71"/>
      <c r="Z98" s="71"/>
      <c r="AA98" s="71"/>
      <c r="AB98" s="71"/>
      <c r="AC98" s="71"/>
      <c r="AD98" s="71"/>
      <c r="AE98" s="71"/>
      <c r="AF98" s="71"/>
      <c r="AG98" s="71"/>
    </row>
    <row r="99" spans="1:33" s="76" customFormat="1" ht="28.5" customHeight="1">
      <c r="A99" s="97" t="s">
        <v>18</v>
      </c>
      <c r="B99" s="116" t="s">
        <v>33</v>
      </c>
      <c r="C99" s="97"/>
      <c r="D99" s="97"/>
      <c r="E99" s="97"/>
      <c r="F99" s="93">
        <v>4500</v>
      </c>
      <c r="G99" s="93">
        <v>4106.4</v>
      </c>
      <c r="H99" s="93"/>
      <c r="I99" s="93"/>
      <c r="J99" s="93"/>
      <c r="K99" s="93"/>
      <c r="L99" s="93"/>
      <c r="M99" s="93">
        <v>300</v>
      </c>
      <c r="N99" s="93">
        <v>300</v>
      </c>
      <c r="O99" s="93">
        <v>190</v>
      </c>
      <c r="P99" s="93">
        <v>190</v>
      </c>
      <c r="Q99" s="109"/>
      <c r="R99" s="317"/>
      <c r="S99" s="1"/>
      <c r="T99" s="1"/>
      <c r="U99" s="75"/>
      <c r="V99" s="75"/>
      <c r="W99" s="75"/>
      <c r="X99" s="75"/>
      <c r="Y99" s="75"/>
      <c r="Z99" s="75"/>
      <c r="AA99" s="75"/>
      <c r="AB99" s="75"/>
      <c r="AC99" s="75"/>
      <c r="AD99" s="75"/>
      <c r="AE99" s="75"/>
      <c r="AF99" s="75"/>
      <c r="AG99" s="75"/>
    </row>
    <row r="100" spans="1:33" s="94" customFormat="1" ht="29.25" customHeight="1">
      <c r="A100" s="91">
        <v>1</v>
      </c>
      <c r="B100" s="117" t="s">
        <v>32</v>
      </c>
      <c r="C100" s="91" t="s">
        <v>31</v>
      </c>
      <c r="D100" s="91" t="s">
        <v>6</v>
      </c>
      <c r="E100" s="91"/>
      <c r="F100" s="92">
        <v>4500</v>
      </c>
      <c r="G100" s="92">
        <v>4106.4</v>
      </c>
      <c r="H100" s="92">
        <v>2500</v>
      </c>
      <c r="I100" s="92">
        <v>4106.4</v>
      </c>
      <c r="J100" s="92"/>
      <c r="K100" s="92"/>
      <c r="L100" s="92"/>
      <c r="M100" s="92">
        <v>300</v>
      </c>
      <c r="N100" s="92">
        <v>300</v>
      </c>
      <c r="O100" s="92">
        <v>190</v>
      </c>
      <c r="P100" s="92">
        <v>190</v>
      </c>
      <c r="Q100" s="117"/>
      <c r="R100" s="77"/>
      <c r="S100" s="1"/>
      <c r="T100" s="71"/>
      <c r="U100" s="71"/>
      <c r="V100" s="71"/>
      <c r="W100" s="71"/>
      <c r="X100" s="71"/>
      <c r="Y100" s="71"/>
      <c r="Z100" s="71"/>
      <c r="AA100" s="71"/>
      <c r="AB100" s="71"/>
      <c r="AC100" s="71"/>
      <c r="AD100" s="71"/>
      <c r="AE100" s="71"/>
      <c r="AF100" s="71"/>
      <c r="AG100" s="71"/>
    </row>
    <row r="101" spans="1:33" s="88" customFormat="1" ht="42" customHeight="1">
      <c r="A101" s="97" t="s">
        <v>30</v>
      </c>
      <c r="B101" s="116" t="s">
        <v>29</v>
      </c>
      <c r="C101" s="97"/>
      <c r="D101" s="97"/>
      <c r="E101" s="97"/>
      <c r="F101" s="109">
        <f aca="true" t="shared" si="12" ref="F101:Q101">F102</f>
        <v>14300</v>
      </c>
      <c r="G101" s="109">
        <f t="shared" si="12"/>
        <v>7328</v>
      </c>
      <c r="H101" s="109"/>
      <c r="I101" s="109"/>
      <c r="J101" s="109"/>
      <c r="K101" s="109"/>
      <c r="L101" s="109"/>
      <c r="M101" s="109">
        <f t="shared" si="12"/>
        <v>1200</v>
      </c>
      <c r="N101" s="109">
        <f t="shared" si="12"/>
        <v>1200</v>
      </c>
      <c r="O101" s="109">
        <f t="shared" si="12"/>
        <v>7328</v>
      </c>
      <c r="P101" s="109">
        <f t="shared" si="12"/>
        <v>7328</v>
      </c>
      <c r="Q101" s="109">
        <f t="shared" si="12"/>
        <v>5942</v>
      </c>
      <c r="R101" s="109"/>
      <c r="S101" s="1"/>
      <c r="T101" s="75"/>
      <c r="U101" s="98"/>
      <c r="V101" s="98"/>
      <c r="W101" s="98"/>
      <c r="X101" s="98"/>
      <c r="Y101" s="98"/>
      <c r="Z101" s="98"/>
      <c r="AA101" s="98"/>
      <c r="AB101" s="98"/>
      <c r="AC101" s="98"/>
      <c r="AD101" s="98"/>
      <c r="AE101" s="98"/>
      <c r="AF101" s="98"/>
      <c r="AG101" s="98"/>
    </row>
    <row r="102" spans="1:33" s="76" customFormat="1" ht="35.25" customHeight="1">
      <c r="A102" s="43" t="s">
        <v>18</v>
      </c>
      <c r="B102" s="77" t="s">
        <v>17</v>
      </c>
      <c r="C102" s="43"/>
      <c r="D102" s="43"/>
      <c r="E102" s="43"/>
      <c r="F102" s="78">
        <f aca="true" t="shared" si="13" ref="F102:Q102">SUM(F103:F104)</f>
        <v>14300</v>
      </c>
      <c r="G102" s="78">
        <f t="shared" si="13"/>
        <v>7328</v>
      </c>
      <c r="H102" s="78"/>
      <c r="I102" s="78"/>
      <c r="J102" s="78"/>
      <c r="K102" s="78"/>
      <c r="L102" s="78"/>
      <c r="M102" s="78">
        <f t="shared" si="13"/>
        <v>1200</v>
      </c>
      <c r="N102" s="78">
        <f t="shared" si="13"/>
        <v>1200</v>
      </c>
      <c r="O102" s="78">
        <f t="shared" si="13"/>
        <v>7328</v>
      </c>
      <c r="P102" s="78">
        <f t="shared" si="13"/>
        <v>7328</v>
      </c>
      <c r="Q102" s="78">
        <f t="shared" si="13"/>
        <v>5942</v>
      </c>
      <c r="R102" s="78"/>
      <c r="S102" s="1"/>
      <c r="T102" s="75"/>
      <c r="U102" s="75"/>
      <c r="V102" s="75"/>
      <c r="W102" s="75"/>
      <c r="X102" s="75"/>
      <c r="Y102" s="75"/>
      <c r="Z102" s="75"/>
      <c r="AA102" s="75"/>
      <c r="AB102" s="75"/>
      <c r="AC102" s="75"/>
      <c r="AD102" s="75"/>
      <c r="AE102" s="75"/>
      <c r="AF102" s="75"/>
      <c r="AG102" s="75"/>
    </row>
    <row r="103" spans="1:33" ht="31.5">
      <c r="A103" s="2">
        <v>1</v>
      </c>
      <c r="B103" s="3" t="s">
        <v>28</v>
      </c>
      <c r="C103" s="2" t="s">
        <v>25</v>
      </c>
      <c r="D103" s="2" t="s">
        <v>27</v>
      </c>
      <c r="E103" s="2"/>
      <c r="F103" s="81">
        <v>11500</v>
      </c>
      <c r="G103" s="86">
        <v>6000</v>
      </c>
      <c r="H103" s="86">
        <v>6000</v>
      </c>
      <c r="I103" s="86"/>
      <c r="J103" s="86"/>
      <c r="K103" s="86">
        <v>1000</v>
      </c>
      <c r="L103" s="86">
        <v>6000</v>
      </c>
      <c r="M103" s="81">
        <v>1000</v>
      </c>
      <c r="N103" s="81">
        <v>1000</v>
      </c>
      <c r="O103" s="81">
        <v>6000</v>
      </c>
      <c r="P103" s="81">
        <v>6000</v>
      </c>
      <c r="Q103" s="81">
        <v>4642</v>
      </c>
      <c r="R103" s="81"/>
      <c r="S103" s="1"/>
      <c r="T103" s="83"/>
      <c r="U103" s="71"/>
      <c r="V103" s="71"/>
      <c r="W103" s="71"/>
      <c r="X103" s="71"/>
      <c r="Y103" s="71"/>
      <c r="Z103" s="71"/>
      <c r="AA103" s="71"/>
      <c r="AB103" s="71"/>
      <c r="AC103" s="71"/>
      <c r="AD103" s="71"/>
      <c r="AE103" s="71"/>
      <c r="AF103" s="71"/>
      <c r="AG103" s="71"/>
    </row>
    <row r="104" spans="1:33" ht="33.75" customHeight="1">
      <c r="A104" s="2">
        <v>2</v>
      </c>
      <c r="B104" s="3" t="s">
        <v>26</v>
      </c>
      <c r="C104" s="2" t="s">
        <v>25</v>
      </c>
      <c r="D104" s="2"/>
      <c r="E104" s="2"/>
      <c r="F104" s="81">
        <v>2800</v>
      </c>
      <c r="G104" s="86">
        <v>1328</v>
      </c>
      <c r="H104" s="86"/>
      <c r="I104" s="86"/>
      <c r="J104" s="86"/>
      <c r="K104" s="86">
        <v>200</v>
      </c>
      <c r="L104" s="86">
        <v>1328</v>
      </c>
      <c r="M104" s="81">
        <v>200</v>
      </c>
      <c r="N104" s="81">
        <v>200</v>
      </c>
      <c r="O104" s="81">
        <v>1328</v>
      </c>
      <c r="P104" s="81">
        <v>1328</v>
      </c>
      <c r="Q104" s="81">
        <v>1300</v>
      </c>
      <c r="R104" s="81"/>
      <c r="S104" s="1"/>
      <c r="T104" s="71"/>
      <c r="U104" s="71"/>
      <c r="V104" s="71"/>
      <c r="W104" s="71"/>
      <c r="X104" s="71"/>
      <c r="Y104" s="71"/>
      <c r="Z104" s="71"/>
      <c r="AA104" s="71"/>
      <c r="AB104" s="71"/>
      <c r="AC104" s="71"/>
      <c r="AD104" s="71"/>
      <c r="AE104" s="71"/>
      <c r="AF104" s="71"/>
      <c r="AG104" s="71"/>
    </row>
    <row r="105" spans="1:33" s="76" customFormat="1" ht="38.25" customHeight="1">
      <c r="A105" s="43" t="s">
        <v>22</v>
      </c>
      <c r="B105" s="77" t="s">
        <v>21</v>
      </c>
      <c r="C105" s="43"/>
      <c r="D105" s="43"/>
      <c r="E105" s="43"/>
      <c r="F105" s="109">
        <f>F106</f>
        <v>52000</v>
      </c>
      <c r="G105" s="109">
        <f>G106</f>
        <v>482</v>
      </c>
      <c r="H105" s="109"/>
      <c r="I105" s="109"/>
      <c r="J105" s="109"/>
      <c r="K105" s="109"/>
      <c r="L105" s="109"/>
      <c r="M105" s="109"/>
      <c r="N105" s="109"/>
      <c r="O105" s="109">
        <f>O106</f>
        <v>482</v>
      </c>
      <c r="P105" s="109"/>
      <c r="Q105" s="109"/>
      <c r="R105" s="372" t="s">
        <v>567</v>
      </c>
      <c r="S105" s="1"/>
      <c r="T105" s="1"/>
      <c r="U105" s="75"/>
      <c r="V105" s="75"/>
      <c r="W105" s="75"/>
      <c r="X105" s="75"/>
      <c r="Y105" s="75"/>
      <c r="Z105" s="75"/>
      <c r="AA105" s="75"/>
      <c r="AB105" s="75"/>
      <c r="AC105" s="75"/>
      <c r="AD105" s="75"/>
      <c r="AE105" s="75"/>
      <c r="AF105" s="75"/>
      <c r="AG105" s="75"/>
    </row>
    <row r="106" spans="1:33" s="76" customFormat="1" ht="36" customHeight="1">
      <c r="A106" s="43" t="s">
        <v>20</v>
      </c>
      <c r="B106" s="77" t="s">
        <v>19</v>
      </c>
      <c r="C106" s="43"/>
      <c r="D106" s="43"/>
      <c r="E106" s="43"/>
      <c r="F106" s="109">
        <f>F108</f>
        <v>52000</v>
      </c>
      <c r="G106" s="109">
        <f>G108</f>
        <v>482</v>
      </c>
      <c r="H106" s="109"/>
      <c r="I106" s="109"/>
      <c r="J106" s="109"/>
      <c r="K106" s="109"/>
      <c r="L106" s="109"/>
      <c r="M106" s="109"/>
      <c r="N106" s="109"/>
      <c r="O106" s="109">
        <f>O108</f>
        <v>482</v>
      </c>
      <c r="P106" s="109"/>
      <c r="Q106" s="109"/>
      <c r="R106" s="373"/>
      <c r="S106" s="1"/>
      <c r="T106" s="75"/>
      <c r="U106" s="75"/>
      <c r="V106" s="75"/>
      <c r="W106" s="75"/>
      <c r="X106" s="75"/>
      <c r="Y106" s="75"/>
      <c r="Z106" s="75"/>
      <c r="AA106" s="75"/>
      <c r="AB106" s="75"/>
      <c r="AC106" s="75"/>
      <c r="AD106" s="75"/>
      <c r="AE106" s="75"/>
      <c r="AF106" s="75"/>
      <c r="AG106" s="75"/>
    </row>
    <row r="107" spans="1:33" s="76" customFormat="1" ht="24" customHeight="1">
      <c r="A107" s="43" t="s">
        <v>18</v>
      </c>
      <c r="B107" s="77" t="s">
        <v>17</v>
      </c>
      <c r="C107" s="43"/>
      <c r="D107" s="43"/>
      <c r="E107" s="43"/>
      <c r="F107" s="109">
        <f>F108</f>
        <v>52000</v>
      </c>
      <c r="G107" s="109">
        <f>G108</f>
        <v>482</v>
      </c>
      <c r="H107" s="109"/>
      <c r="I107" s="109"/>
      <c r="J107" s="109"/>
      <c r="K107" s="109"/>
      <c r="L107" s="109"/>
      <c r="M107" s="109"/>
      <c r="N107" s="109"/>
      <c r="O107" s="109">
        <f>O108</f>
        <v>482</v>
      </c>
      <c r="P107" s="109"/>
      <c r="Q107" s="109"/>
      <c r="R107" s="373"/>
      <c r="S107" s="1"/>
      <c r="T107" s="75"/>
      <c r="U107" s="75"/>
      <c r="V107" s="75"/>
      <c r="W107" s="75"/>
      <c r="X107" s="75"/>
      <c r="Y107" s="75"/>
      <c r="Z107" s="75"/>
      <c r="AA107" s="75"/>
      <c r="AB107" s="75"/>
      <c r="AC107" s="75"/>
      <c r="AD107" s="75"/>
      <c r="AE107" s="75"/>
      <c r="AF107" s="75"/>
      <c r="AG107" s="75"/>
    </row>
    <row r="108" spans="1:33" ht="63">
      <c r="A108" s="2" t="s">
        <v>16</v>
      </c>
      <c r="B108" s="3" t="s">
        <v>15</v>
      </c>
      <c r="C108" s="2" t="s">
        <v>14</v>
      </c>
      <c r="D108" s="2" t="s">
        <v>13</v>
      </c>
      <c r="E108" s="2" t="s">
        <v>12</v>
      </c>
      <c r="F108" s="81">
        <v>52000</v>
      </c>
      <c r="G108" s="81">
        <f>SUM(G109:G109)</f>
        <v>482</v>
      </c>
      <c r="H108" s="81"/>
      <c r="I108" s="81"/>
      <c r="J108" s="81"/>
      <c r="K108" s="81"/>
      <c r="L108" s="81"/>
      <c r="M108" s="81"/>
      <c r="N108" s="81"/>
      <c r="O108" s="81">
        <f>SUM(O109:O109)</f>
        <v>482</v>
      </c>
      <c r="P108" s="81"/>
      <c r="Q108" s="3"/>
      <c r="R108" s="373"/>
      <c r="S108" s="1"/>
      <c r="T108" s="71"/>
      <c r="U108" s="71"/>
      <c r="V108" s="71"/>
      <c r="W108" s="71"/>
      <c r="X108" s="71"/>
      <c r="Y108" s="71"/>
      <c r="Z108" s="71"/>
      <c r="AA108" s="71"/>
      <c r="AB108" s="71"/>
      <c r="AC108" s="71"/>
      <c r="AD108" s="71"/>
      <c r="AE108" s="71"/>
      <c r="AF108" s="71"/>
      <c r="AG108" s="71"/>
    </row>
    <row r="109" spans="1:33" ht="58.5" customHeight="1">
      <c r="A109" s="118" t="s">
        <v>461</v>
      </c>
      <c r="B109" s="3" t="s">
        <v>455</v>
      </c>
      <c r="C109" s="2"/>
      <c r="D109" s="2"/>
      <c r="E109" s="2"/>
      <c r="F109" s="81">
        <v>42500</v>
      </c>
      <c r="G109" s="86">
        <v>482</v>
      </c>
      <c r="H109" s="86">
        <v>482</v>
      </c>
      <c r="I109" s="86"/>
      <c r="J109" s="86"/>
      <c r="K109" s="86"/>
      <c r="L109" s="86"/>
      <c r="M109" s="81"/>
      <c r="N109" s="81">
        <v>37830.073</v>
      </c>
      <c r="O109" s="81">
        <v>482</v>
      </c>
      <c r="P109" s="81">
        <v>37830.073</v>
      </c>
      <c r="Q109" s="3"/>
      <c r="R109" s="372"/>
      <c r="S109" s="1"/>
      <c r="T109" s="71"/>
      <c r="U109" s="71"/>
      <c r="V109" s="71"/>
      <c r="W109" s="71"/>
      <c r="X109" s="71"/>
      <c r="Y109" s="71"/>
      <c r="Z109" s="71"/>
      <c r="AA109" s="71"/>
      <c r="AB109" s="71"/>
      <c r="AC109" s="71"/>
      <c r="AD109" s="71"/>
      <c r="AE109" s="71"/>
      <c r="AF109" s="71"/>
      <c r="AG109" s="71"/>
    </row>
    <row r="110" spans="1:19" ht="15.75" customHeight="1" thickBot="1">
      <c r="A110" s="119"/>
      <c r="B110" s="120"/>
      <c r="C110" s="119"/>
      <c r="D110" s="119"/>
      <c r="E110" s="119"/>
      <c r="F110" s="120"/>
      <c r="G110" s="120"/>
      <c r="H110" s="120"/>
      <c r="I110" s="120"/>
      <c r="J110" s="120"/>
      <c r="K110" s="120"/>
      <c r="L110" s="120"/>
      <c r="M110" s="120"/>
      <c r="N110" s="120"/>
      <c r="O110" s="120"/>
      <c r="P110" s="120"/>
      <c r="Q110" s="120"/>
      <c r="R110" s="120"/>
      <c r="S110" s="1"/>
    </row>
    <row r="111" ht="15.75" customHeight="1" thickTop="1"/>
    <row r="112" ht="15.75" customHeight="1"/>
    <row r="122" ht="15.75" customHeight="1" hidden="1">
      <c r="B122" s="102" t="s">
        <v>11</v>
      </c>
    </row>
    <row r="123" spans="2:6" ht="15.75">
      <c r="B123" s="371"/>
      <c r="C123" s="371"/>
      <c r="D123" s="371"/>
      <c r="E123" s="371"/>
      <c r="F123" s="371"/>
    </row>
    <row r="125" ht="15.75">
      <c r="D125" s="121" t="s">
        <v>10</v>
      </c>
    </row>
    <row r="126" ht="15.75">
      <c r="D126" s="121" t="s">
        <v>9</v>
      </c>
    </row>
    <row r="127" ht="15.75">
      <c r="D127" s="121" t="s">
        <v>8</v>
      </c>
    </row>
    <row r="128" ht="15.75">
      <c r="D128" s="121" t="s">
        <v>7</v>
      </c>
    </row>
    <row r="129" ht="15.75">
      <c r="D129" s="121" t="s">
        <v>6</v>
      </c>
    </row>
    <row r="130" ht="15.75">
      <c r="D130" s="121" t="s">
        <v>5</v>
      </c>
    </row>
    <row r="131" ht="15.75">
      <c r="D131" s="121" t="s">
        <v>4</v>
      </c>
    </row>
    <row r="132" ht="15.75">
      <c r="D132" s="121" t="s">
        <v>3</v>
      </c>
    </row>
    <row r="133" ht="15.75">
      <c r="D133" s="121" t="s">
        <v>2</v>
      </c>
    </row>
    <row r="134" ht="15.75">
      <c r="D134" s="121" t="s">
        <v>1</v>
      </c>
    </row>
    <row r="136" ht="15.75">
      <c r="D136" s="121" t="s">
        <v>0</v>
      </c>
    </row>
  </sheetData>
  <sheetProtection/>
  <mergeCells count="23">
    <mergeCell ref="B123:F123"/>
    <mergeCell ref="R5:R7"/>
    <mergeCell ref="M5:N6"/>
    <mergeCell ref="O5:P6"/>
    <mergeCell ref="Q5:Q7"/>
    <mergeCell ref="G5:G7"/>
    <mergeCell ref="R105:R109"/>
    <mergeCell ref="A1:B1"/>
    <mergeCell ref="A2:R2"/>
    <mergeCell ref="E5:E7"/>
    <mergeCell ref="A5:A7"/>
    <mergeCell ref="B5:B7"/>
    <mergeCell ref="C5:C7"/>
    <mergeCell ref="D5:D7"/>
    <mergeCell ref="F5:F7"/>
    <mergeCell ref="A3:R3"/>
    <mergeCell ref="H5:H7"/>
    <mergeCell ref="A4:R4"/>
    <mergeCell ref="S62:S65"/>
    <mergeCell ref="K5:K7"/>
    <mergeCell ref="L5:L7"/>
    <mergeCell ref="I5:I7"/>
    <mergeCell ref="J5:J7"/>
  </mergeCells>
  <printOptions/>
  <pageMargins left="0.39" right="0.27" top="0.47" bottom="0.22" header="0.3" footer="0.2"/>
  <pageSetup horizontalDpi="600" verticalDpi="600" orientation="landscape" paperSize="9" scale="8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tabColor rgb="FFFFFF00"/>
  </sheetPr>
  <dimension ref="A1:W51"/>
  <sheetViews>
    <sheetView view="pageBreakPreview" zoomScale="70" zoomScaleNormal="85" zoomScaleSheetLayoutView="70" zoomScalePageLayoutView="0" workbookViewId="0" topLeftCell="A1">
      <pane ySplit="7" topLeftCell="BM8" activePane="bottomLeft" state="frozen"/>
      <selection pane="topLeft" activeCell="A1" sqref="A1"/>
      <selection pane="bottomLeft" activeCell="A1" sqref="A1:B1"/>
    </sheetView>
  </sheetViews>
  <sheetFormatPr defaultColWidth="9.00390625" defaultRowHeight="15.75"/>
  <cols>
    <col min="1" max="1" width="4.50390625" style="143" customWidth="1"/>
    <col min="2" max="2" width="38.25390625" style="137" customWidth="1"/>
    <col min="3" max="3" width="9.375" style="143" customWidth="1"/>
    <col min="4" max="4" width="8.25390625" style="137" hidden="1" customWidth="1"/>
    <col min="5" max="5" width="10.50390625" style="137" hidden="1" customWidth="1"/>
    <col min="6" max="6" width="10.75390625" style="137" customWidth="1"/>
    <col min="7" max="7" width="10.375" style="137" customWidth="1"/>
    <col min="8" max="12" width="10.375" style="137" hidden="1" customWidth="1"/>
    <col min="13" max="13" width="10.125" style="137" customWidth="1"/>
    <col min="14" max="14" width="11.75390625" style="137" customWidth="1"/>
    <col min="15" max="15" width="9.75390625" style="137" customWidth="1"/>
    <col min="16" max="16" width="11.75390625" style="137" customWidth="1"/>
    <col min="17" max="17" width="10.375" style="137" customWidth="1"/>
    <col min="18" max="18" width="11.625" style="137" customWidth="1"/>
    <col min="19" max="19" width="37.00390625" style="137" customWidth="1"/>
    <col min="20" max="20" width="9.00390625" style="137" customWidth="1"/>
    <col min="21" max="21" width="10.75390625" style="137" customWidth="1"/>
    <col min="22" max="16384" width="9.00390625" style="137" customWidth="1"/>
  </cols>
  <sheetData>
    <row r="1" spans="1:20" s="126" customFormat="1" ht="15.75">
      <c r="A1" s="367" t="s">
        <v>181</v>
      </c>
      <c r="B1" s="367"/>
      <c r="C1" s="101"/>
      <c r="D1" s="101"/>
      <c r="E1" s="101"/>
      <c r="F1" s="101"/>
      <c r="G1" s="101"/>
      <c r="H1" s="101"/>
      <c r="I1" s="101"/>
      <c r="J1" s="101"/>
      <c r="K1" s="101"/>
      <c r="L1" s="101"/>
      <c r="M1" s="368"/>
      <c r="N1" s="368"/>
      <c r="O1" s="368"/>
      <c r="P1" s="368"/>
      <c r="Q1" s="368"/>
      <c r="R1" s="368"/>
      <c r="S1" s="101"/>
      <c r="T1" s="101"/>
    </row>
    <row r="2" spans="1:20" s="126" customFormat="1" ht="15.75">
      <c r="A2" s="368" t="s">
        <v>180</v>
      </c>
      <c r="B2" s="368"/>
      <c r="C2" s="368"/>
      <c r="D2" s="368"/>
      <c r="E2" s="368"/>
      <c r="F2" s="368"/>
      <c r="G2" s="368"/>
      <c r="H2" s="368"/>
      <c r="I2" s="368"/>
      <c r="J2" s="368"/>
      <c r="K2" s="368"/>
      <c r="L2" s="368"/>
      <c r="M2" s="368"/>
      <c r="N2" s="368"/>
      <c r="O2" s="368"/>
      <c r="P2" s="368"/>
      <c r="Q2" s="368"/>
      <c r="R2" s="368"/>
      <c r="S2" s="101"/>
      <c r="T2" s="101"/>
    </row>
    <row r="3" spans="1:20" s="126" customFormat="1" ht="15.75">
      <c r="A3" s="370" t="str">
        <f>'VỐN ĐT NGUỒN NSTW'!A3:F3</f>
        <v>(Kèm theo Báo cáo số       /BC-UBND ngày       tháng 11 năm 2019 của UBND huyện Tuần Giáo)</v>
      </c>
      <c r="B3" s="370"/>
      <c r="C3" s="370"/>
      <c r="D3" s="370"/>
      <c r="E3" s="370"/>
      <c r="F3" s="370"/>
      <c r="G3" s="370"/>
      <c r="H3" s="370"/>
      <c r="I3" s="370"/>
      <c r="J3" s="370"/>
      <c r="K3" s="370"/>
      <c r="L3" s="370"/>
      <c r="M3" s="370"/>
      <c r="N3" s="370"/>
      <c r="O3" s="370"/>
      <c r="P3" s="370"/>
      <c r="Q3" s="370"/>
      <c r="R3" s="370"/>
      <c r="S3" s="101"/>
      <c r="T3" s="101"/>
    </row>
    <row r="4" spans="1:20" s="126" customFormat="1" ht="18" customHeight="1">
      <c r="A4" s="374" t="s">
        <v>128</v>
      </c>
      <c r="B4" s="374"/>
      <c r="C4" s="374"/>
      <c r="D4" s="374"/>
      <c r="E4" s="374"/>
      <c r="F4" s="374"/>
      <c r="G4" s="374"/>
      <c r="H4" s="374"/>
      <c r="I4" s="374"/>
      <c r="J4" s="374"/>
      <c r="K4" s="374"/>
      <c r="L4" s="374"/>
      <c r="M4" s="374"/>
      <c r="N4" s="374"/>
      <c r="O4" s="374"/>
      <c r="P4" s="374"/>
      <c r="Q4" s="374"/>
      <c r="R4" s="374"/>
      <c r="S4" s="101"/>
      <c r="T4" s="101"/>
    </row>
    <row r="5" spans="1:23" s="126" customFormat="1" ht="18" customHeight="1">
      <c r="A5" s="369" t="s">
        <v>179</v>
      </c>
      <c r="B5" s="369" t="s">
        <v>126</v>
      </c>
      <c r="C5" s="369" t="s">
        <v>125</v>
      </c>
      <c r="D5" s="369" t="s">
        <v>124</v>
      </c>
      <c r="E5" s="369" t="s">
        <v>123</v>
      </c>
      <c r="F5" s="343" t="s">
        <v>178</v>
      </c>
      <c r="G5" s="369" t="s">
        <v>177</v>
      </c>
      <c r="H5" s="364" t="s">
        <v>548</v>
      </c>
      <c r="I5" s="364" t="s">
        <v>550</v>
      </c>
      <c r="J5" s="364" t="s">
        <v>552</v>
      </c>
      <c r="K5" s="364" t="s">
        <v>145</v>
      </c>
      <c r="L5" s="364" t="s">
        <v>554</v>
      </c>
      <c r="M5" s="369" t="s">
        <v>176</v>
      </c>
      <c r="N5" s="369"/>
      <c r="O5" s="369" t="s">
        <v>305</v>
      </c>
      <c r="P5" s="369"/>
      <c r="Q5" s="364" t="s">
        <v>175</v>
      </c>
      <c r="R5" s="369" t="s">
        <v>174</v>
      </c>
      <c r="S5" s="101"/>
      <c r="T5" s="67"/>
      <c r="U5" s="375"/>
      <c r="V5" s="375"/>
      <c r="W5" s="375"/>
    </row>
    <row r="6" spans="1:23" s="126" customFormat="1" ht="3" customHeight="1">
      <c r="A6" s="369"/>
      <c r="B6" s="369"/>
      <c r="C6" s="369"/>
      <c r="D6" s="369"/>
      <c r="E6" s="369"/>
      <c r="F6" s="344"/>
      <c r="G6" s="369"/>
      <c r="H6" s="365"/>
      <c r="I6" s="365"/>
      <c r="J6" s="365"/>
      <c r="K6" s="365"/>
      <c r="L6" s="365"/>
      <c r="M6" s="369"/>
      <c r="N6" s="369"/>
      <c r="O6" s="369"/>
      <c r="P6" s="369"/>
      <c r="Q6" s="365"/>
      <c r="R6" s="369"/>
      <c r="S6" s="101"/>
      <c r="T6" s="67"/>
      <c r="U6" s="127"/>
      <c r="V6" s="375"/>
      <c r="W6" s="375"/>
    </row>
    <row r="7" spans="1:23" s="126" customFormat="1" ht="44.25" customHeight="1">
      <c r="A7" s="369"/>
      <c r="B7" s="369"/>
      <c r="C7" s="369"/>
      <c r="D7" s="369"/>
      <c r="E7" s="369"/>
      <c r="F7" s="345"/>
      <c r="G7" s="369"/>
      <c r="H7" s="366"/>
      <c r="I7" s="366"/>
      <c r="J7" s="366"/>
      <c r="K7" s="366"/>
      <c r="L7" s="366"/>
      <c r="M7" s="31" t="s">
        <v>172</v>
      </c>
      <c r="N7" s="31" t="s">
        <v>173</v>
      </c>
      <c r="O7" s="31" t="s">
        <v>172</v>
      </c>
      <c r="P7" s="31" t="s">
        <v>171</v>
      </c>
      <c r="Q7" s="366"/>
      <c r="R7" s="369"/>
      <c r="S7" s="101"/>
      <c r="T7" s="67"/>
      <c r="U7" s="128"/>
      <c r="V7" s="128"/>
      <c r="W7" s="128"/>
    </row>
    <row r="8" spans="1:23" s="135" customFormat="1" ht="36" customHeight="1">
      <c r="A8" s="129"/>
      <c r="B8" s="130" t="s">
        <v>121</v>
      </c>
      <c r="C8" s="129"/>
      <c r="D8" s="130"/>
      <c r="E8" s="130"/>
      <c r="F8" s="131">
        <f>F9+F31</f>
        <v>175941</v>
      </c>
      <c r="G8" s="131">
        <f>G9+G31</f>
        <v>46467.37900000001</v>
      </c>
      <c r="H8" s="131"/>
      <c r="I8" s="131"/>
      <c r="J8" s="131"/>
      <c r="K8" s="131"/>
      <c r="L8" s="131"/>
      <c r="M8" s="131">
        <f>M9+M31</f>
        <v>46105.5</v>
      </c>
      <c r="N8" s="131">
        <f>N9+N31</f>
        <v>128351.16399999999</v>
      </c>
      <c r="O8" s="131">
        <f>O9+O31</f>
        <v>45648.385</v>
      </c>
      <c r="P8" s="131">
        <f>P9+P31</f>
        <v>130055.07400000001</v>
      </c>
      <c r="Q8" s="131">
        <f>Q9+Q31</f>
        <v>34284.998</v>
      </c>
      <c r="R8" s="130"/>
      <c r="S8" s="1"/>
      <c r="T8" s="132"/>
      <c r="U8" s="133"/>
      <c r="V8" s="133"/>
      <c r="W8" s="134"/>
    </row>
    <row r="9" spans="1:20" s="135" customFormat="1" ht="31.5">
      <c r="A9" s="43" t="s">
        <v>120</v>
      </c>
      <c r="B9" s="77" t="s">
        <v>170</v>
      </c>
      <c r="C9" s="43"/>
      <c r="D9" s="77"/>
      <c r="E9" s="77"/>
      <c r="F9" s="78">
        <f>F13+F26+F10</f>
        <v>159741</v>
      </c>
      <c r="G9" s="78">
        <f>G13+G26+G10</f>
        <v>42371.971000000005</v>
      </c>
      <c r="H9" s="78"/>
      <c r="I9" s="78"/>
      <c r="J9" s="78"/>
      <c r="K9" s="78"/>
      <c r="L9" s="78"/>
      <c r="M9" s="78">
        <f>M13+M26+M10</f>
        <v>41875.6</v>
      </c>
      <c r="N9" s="78">
        <f>N13+N26+N10</f>
        <v>116725.756</v>
      </c>
      <c r="O9" s="78">
        <f>O13+O26+O10</f>
        <v>41552.933000000005</v>
      </c>
      <c r="P9" s="78">
        <f>P13+P26+P10</f>
        <v>118509.622</v>
      </c>
      <c r="Q9" s="78">
        <f>Q13+Q26+Q10</f>
        <v>30284.998</v>
      </c>
      <c r="R9" s="77"/>
      <c r="S9" s="75"/>
      <c r="T9" s="75"/>
    </row>
    <row r="10" spans="1:20" s="135" customFormat="1" ht="15.75">
      <c r="A10" s="43" t="s">
        <v>53</v>
      </c>
      <c r="B10" s="77" t="s">
        <v>466</v>
      </c>
      <c r="C10" s="43"/>
      <c r="D10" s="77"/>
      <c r="E10" s="77"/>
      <c r="F10" s="78">
        <f>SUM(F11:F12)</f>
        <v>57000</v>
      </c>
      <c r="G10" s="78">
        <f aca="true" t="shared" si="0" ref="G10:Q10">SUM(G11:G12)</f>
        <v>609.8</v>
      </c>
      <c r="H10" s="78"/>
      <c r="I10" s="78"/>
      <c r="J10" s="78"/>
      <c r="K10" s="78"/>
      <c r="L10" s="78"/>
      <c r="M10" s="78">
        <f t="shared" si="0"/>
        <v>0</v>
      </c>
      <c r="N10" s="78">
        <f t="shared" si="0"/>
        <v>50522.043</v>
      </c>
      <c r="O10" s="78">
        <f t="shared" si="0"/>
        <v>609.8</v>
      </c>
      <c r="P10" s="78">
        <f t="shared" si="0"/>
        <v>50522.043</v>
      </c>
      <c r="Q10" s="78">
        <f t="shared" si="0"/>
        <v>0</v>
      </c>
      <c r="R10" s="77"/>
      <c r="S10" s="75"/>
      <c r="T10" s="75"/>
    </row>
    <row r="11" spans="1:20" s="122" customFormat="1" ht="47.25">
      <c r="A11" s="2">
        <v>1</v>
      </c>
      <c r="B11" s="3" t="s">
        <v>467</v>
      </c>
      <c r="C11" s="2" t="s">
        <v>236</v>
      </c>
      <c r="D11" s="3"/>
      <c r="E11" s="3"/>
      <c r="F11" s="81">
        <v>14500</v>
      </c>
      <c r="G11" s="81">
        <v>204</v>
      </c>
      <c r="H11" s="81"/>
      <c r="I11" s="81"/>
      <c r="J11" s="81"/>
      <c r="K11" s="81"/>
      <c r="L11" s="81"/>
      <c r="M11" s="81"/>
      <c r="N11" s="81">
        <v>12691.97</v>
      </c>
      <c r="O11" s="81">
        <v>204</v>
      </c>
      <c r="P11" s="81">
        <v>12691.97</v>
      </c>
      <c r="Q11" s="81"/>
      <c r="R11" s="3" t="s">
        <v>507</v>
      </c>
      <c r="S11" s="3" t="s">
        <v>562</v>
      </c>
      <c r="T11" s="71"/>
    </row>
    <row r="12" spans="1:20" s="122" customFormat="1" ht="94.5">
      <c r="A12" s="2">
        <v>2</v>
      </c>
      <c r="B12" s="3" t="s">
        <v>468</v>
      </c>
      <c r="C12" s="2" t="s">
        <v>469</v>
      </c>
      <c r="D12" s="3"/>
      <c r="E12" s="3"/>
      <c r="F12" s="81">
        <v>42500</v>
      </c>
      <c r="G12" s="81">
        <v>405.8</v>
      </c>
      <c r="H12" s="81"/>
      <c r="I12" s="81"/>
      <c r="J12" s="81"/>
      <c r="K12" s="81"/>
      <c r="L12" s="81">
        <v>405.8</v>
      </c>
      <c r="M12" s="81"/>
      <c r="N12" s="81">
        <v>37830.073</v>
      </c>
      <c r="O12" s="81">
        <v>405.8</v>
      </c>
      <c r="P12" s="81">
        <v>37830.073</v>
      </c>
      <c r="Q12" s="81"/>
      <c r="R12" s="3" t="s">
        <v>561</v>
      </c>
      <c r="S12" s="3" t="s">
        <v>563</v>
      </c>
      <c r="T12" s="71"/>
    </row>
    <row r="13" spans="1:20" s="135" customFormat="1" ht="27" customHeight="1">
      <c r="A13" s="43" t="s">
        <v>30</v>
      </c>
      <c r="B13" s="77" t="s">
        <v>169</v>
      </c>
      <c r="C13" s="43"/>
      <c r="D13" s="77"/>
      <c r="E13" s="77"/>
      <c r="F13" s="78">
        <f aca="true" t="shared" si="1" ref="F13:Q13">F14</f>
        <v>86741</v>
      </c>
      <c r="G13" s="78">
        <f t="shared" si="1"/>
        <v>41742.171</v>
      </c>
      <c r="H13" s="78"/>
      <c r="I13" s="78"/>
      <c r="J13" s="78"/>
      <c r="K13" s="78"/>
      <c r="L13" s="78"/>
      <c r="M13" s="78">
        <f t="shared" si="1"/>
        <v>41625.6</v>
      </c>
      <c r="N13" s="78">
        <f t="shared" si="1"/>
        <v>65808.12700000001</v>
      </c>
      <c r="O13" s="78">
        <f t="shared" si="1"/>
        <v>40923.133</v>
      </c>
      <c r="P13" s="78">
        <f t="shared" si="1"/>
        <v>67899.579</v>
      </c>
      <c r="Q13" s="78">
        <f t="shared" si="1"/>
        <v>14372.998</v>
      </c>
      <c r="R13" s="77"/>
      <c r="S13" s="75"/>
      <c r="T13" s="75"/>
    </row>
    <row r="14" spans="1:20" s="135" customFormat="1" ht="27" customHeight="1">
      <c r="A14" s="43" t="s">
        <v>18</v>
      </c>
      <c r="B14" s="77" t="s">
        <v>17</v>
      </c>
      <c r="C14" s="43"/>
      <c r="D14" s="77"/>
      <c r="E14" s="77"/>
      <c r="F14" s="78">
        <f aca="true" t="shared" si="2" ref="F14:Q14">SUM(F15:F25)</f>
        <v>86741</v>
      </c>
      <c r="G14" s="78">
        <f t="shared" si="2"/>
        <v>41742.171</v>
      </c>
      <c r="H14" s="78"/>
      <c r="I14" s="78"/>
      <c r="J14" s="78"/>
      <c r="K14" s="78"/>
      <c r="L14" s="78"/>
      <c r="M14" s="78">
        <f t="shared" si="2"/>
        <v>41625.6</v>
      </c>
      <c r="N14" s="78">
        <f t="shared" si="2"/>
        <v>65808.12700000001</v>
      </c>
      <c r="O14" s="78">
        <f t="shared" si="2"/>
        <v>40923.133</v>
      </c>
      <c r="P14" s="78">
        <f t="shared" si="2"/>
        <v>67899.579</v>
      </c>
      <c r="Q14" s="78">
        <f t="shared" si="2"/>
        <v>14372.998</v>
      </c>
      <c r="R14" s="77"/>
      <c r="S14" s="75"/>
      <c r="T14" s="75"/>
    </row>
    <row r="15" spans="1:20" ht="31.5">
      <c r="A15" s="2">
        <v>1</v>
      </c>
      <c r="B15" s="3" t="s">
        <v>168</v>
      </c>
      <c r="C15" s="2" t="s">
        <v>143</v>
      </c>
      <c r="D15" s="3"/>
      <c r="E15" s="3"/>
      <c r="F15" s="81">
        <v>6500</v>
      </c>
      <c r="G15" s="81">
        <f>2900+2100</f>
        <v>5000</v>
      </c>
      <c r="H15" s="81">
        <v>4000</v>
      </c>
      <c r="I15" s="81">
        <v>2900</v>
      </c>
      <c r="J15" s="81"/>
      <c r="K15" s="81"/>
      <c r="L15" s="81">
        <f>2900+2100</f>
        <v>5000</v>
      </c>
      <c r="M15" s="81">
        <f>4800+3.9</f>
        <v>4803.9</v>
      </c>
      <c r="N15" s="81">
        <f>5096.146+3.9</f>
        <v>5100.045999999999</v>
      </c>
      <c r="O15" s="81">
        <f>2900+2100</f>
        <v>5000</v>
      </c>
      <c r="P15" s="81">
        <f>3000+2100</f>
        <v>5100</v>
      </c>
      <c r="Q15" s="81">
        <f>2901.187-2100</f>
        <v>801.1869999999999</v>
      </c>
      <c r="R15" s="3"/>
      <c r="S15" s="136" t="s">
        <v>136</v>
      </c>
      <c r="T15" s="83">
        <f>P15-N15</f>
        <v>-0.04599999999936699</v>
      </c>
    </row>
    <row r="16" spans="1:20" ht="27" customHeight="1">
      <c r="A16" s="2">
        <v>2</v>
      </c>
      <c r="B16" s="3" t="s">
        <v>167</v>
      </c>
      <c r="C16" s="2" t="s">
        <v>166</v>
      </c>
      <c r="D16" s="3"/>
      <c r="E16" s="3"/>
      <c r="F16" s="81">
        <v>8000</v>
      </c>
      <c r="G16" s="81">
        <f>3034+2000</f>
        <v>5034</v>
      </c>
      <c r="H16" s="81">
        <v>4000</v>
      </c>
      <c r="I16" s="81">
        <v>3034</v>
      </c>
      <c r="J16" s="81"/>
      <c r="K16" s="81"/>
      <c r="L16" s="81">
        <f>3034+2000</f>
        <v>5034</v>
      </c>
      <c r="M16" s="81">
        <v>5300</v>
      </c>
      <c r="N16" s="81">
        <v>5695.2</v>
      </c>
      <c r="O16" s="81">
        <f>3034+2000</f>
        <v>5034</v>
      </c>
      <c r="P16" s="81">
        <f>3134+2000</f>
        <v>5134</v>
      </c>
      <c r="Q16" s="81">
        <f>4549.64-2000</f>
        <v>2549.6400000000003</v>
      </c>
      <c r="R16" s="3"/>
      <c r="S16" s="136" t="s">
        <v>136</v>
      </c>
      <c r="T16" s="83"/>
    </row>
    <row r="17" spans="1:20" ht="31.5">
      <c r="A17" s="2">
        <v>3</v>
      </c>
      <c r="B17" s="3" t="s">
        <v>165</v>
      </c>
      <c r="C17" s="2" t="s">
        <v>72</v>
      </c>
      <c r="D17" s="3"/>
      <c r="E17" s="3"/>
      <c r="F17" s="81">
        <v>6341</v>
      </c>
      <c r="G17" s="81">
        <v>825.267</v>
      </c>
      <c r="H17" s="81">
        <v>4000</v>
      </c>
      <c r="I17" s="81">
        <v>3000</v>
      </c>
      <c r="J17" s="81"/>
      <c r="K17" s="81"/>
      <c r="L17" s="81">
        <v>825.267</v>
      </c>
      <c r="M17" s="81">
        <v>2000</v>
      </c>
      <c r="N17" s="81">
        <v>2000</v>
      </c>
      <c r="O17" s="81">
        <v>825.267</v>
      </c>
      <c r="P17" s="81">
        <v>925.267</v>
      </c>
      <c r="Q17" s="81">
        <f>2733.83+2174.733</f>
        <v>4908.563</v>
      </c>
      <c r="R17" s="3"/>
      <c r="S17" s="136" t="s">
        <v>136</v>
      </c>
      <c r="T17" s="71"/>
    </row>
    <row r="18" spans="1:20" ht="31.5">
      <c r="A18" s="2">
        <v>4</v>
      </c>
      <c r="B18" s="3" t="s">
        <v>164</v>
      </c>
      <c r="C18" s="2" t="s">
        <v>163</v>
      </c>
      <c r="D18" s="3"/>
      <c r="E18" s="3"/>
      <c r="F18" s="81">
        <v>5000</v>
      </c>
      <c r="G18" s="81">
        <f>1500+2500</f>
        <v>4000</v>
      </c>
      <c r="H18" s="81">
        <v>2000</v>
      </c>
      <c r="I18" s="81">
        <v>1500</v>
      </c>
      <c r="J18" s="81"/>
      <c r="K18" s="81"/>
      <c r="L18" s="81">
        <f>1500+2500</f>
        <v>4000</v>
      </c>
      <c r="M18" s="81">
        <v>3500</v>
      </c>
      <c r="N18" s="81">
        <v>3710.3</v>
      </c>
      <c r="O18" s="327">
        <f>1500+2500</f>
        <v>4000</v>
      </c>
      <c r="P18" s="327">
        <f>1560+2500</f>
        <v>4060</v>
      </c>
      <c r="Q18" s="81">
        <f>2961.358-2500</f>
        <v>461.3580000000002</v>
      </c>
      <c r="R18" s="3"/>
      <c r="S18" s="136" t="s">
        <v>136</v>
      </c>
      <c r="T18" s="83">
        <f>3500-M18</f>
        <v>0</v>
      </c>
    </row>
    <row r="19" spans="1:20" ht="31.5">
      <c r="A19" s="2">
        <v>5</v>
      </c>
      <c r="B19" s="3" t="s">
        <v>162</v>
      </c>
      <c r="C19" s="2" t="s">
        <v>64</v>
      </c>
      <c r="D19" s="3"/>
      <c r="E19" s="3"/>
      <c r="F19" s="81">
        <v>7500</v>
      </c>
      <c r="G19" s="81">
        <v>1390.981</v>
      </c>
      <c r="H19" s="81">
        <v>1000</v>
      </c>
      <c r="I19" s="81">
        <v>1402</v>
      </c>
      <c r="J19" s="81"/>
      <c r="K19" s="81"/>
      <c r="L19" s="81">
        <v>1390.981</v>
      </c>
      <c r="M19" s="81"/>
      <c r="N19" s="81">
        <v>6669.981</v>
      </c>
      <c r="O19" s="327">
        <v>571.981</v>
      </c>
      <c r="P19" s="327">
        <v>6669.981</v>
      </c>
      <c r="Q19" s="81"/>
      <c r="R19" s="138"/>
      <c r="S19" s="136" t="s">
        <v>136</v>
      </c>
      <c r="T19" s="71"/>
    </row>
    <row r="20" spans="1:20" s="122" customFormat="1" ht="31.5">
      <c r="A20" s="2">
        <v>6</v>
      </c>
      <c r="B20" s="3" t="s">
        <v>161</v>
      </c>
      <c r="C20" s="2" t="s">
        <v>160</v>
      </c>
      <c r="D20" s="3"/>
      <c r="E20" s="3"/>
      <c r="F20" s="81">
        <v>19000</v>
      </c>
      <c r="G20" s="81">
        <v>7500</v>
      </c>
      <c r="H20" s="81">
        <v>6500</v>
      </c>
      <c r="I20" s="81">
        <v>7500</v>
      </c>
      <c r="J20" s="81"/>
      <c r="K20" s="81"/>
      <c r="L20" s="81"/>
      <c r="M20" s="81">
        <v>9000</v>
      </c>
      <c r="N20" s="81">
        <v>10378</v>
      </c>
      <c r="O20" s="81">
        <v>7500</v>
      </c>
      <c r="P20" s="81">
        <v>14378</v>
      </c>
      <c r="Q20" s="81">
        <v>4457.25</v>
      </c>
      <c r="R20" s="3"/>
      <c r="S20" s="136" t="s">
        <v>136</v>
      </c>
      <c r="T20" s="71">
        <f>9000-3000</f>
        <v>6000</v>
      </c>
    </row>
    <row r="21" spans="1:20" s="122" customFormat="1" ht="63">
      <c r="A21" s="2">
        <v>7</v>
      </c>
      <c r="B21" s="3" t="s">
        <v>159</v>
      </c>
      <c r="C21" s="2" t="s">
        <v>158</v>
      </c>
      <c r="D21" s="3" t="s">
        <v>27</v>
      </c>
      <c r="E21" s="3" t="s">
        <v>157</v>
      </c>
      <c r="F21" s="81">
        <v>7300</v>
      </c>
      <c r="G21" s="81">
        <f>4000+193.211+58.374</f>
        <v>4251.585</v>
      </c>
      <c r="H21" s="81">
        <v>3000</v>
      </c>
      <c r="I21" s="81">
        <v>4000</v>
      </c>
      <c r="J21" s="81"/>
      <c r="K21" s="81"/>
      <c r="L21" s="81">
        <f>4000+193.211+58.374</f>
        <v>4251.585</v>
      </c>
      <c r="M21" s="81">
        <v>5150</v>
      </c>
      <c r="N21" s="81">
        <v>7100</v>
      </c>
      <c r="O21" s="81">
        <f>G21</f>
        <v>4251.585</v>
      </c>
      <c r="P21" s="81">
        <v>6800.031</v>
      </c>
      <c r="Q21" s="81"/>
      <c r="R21" s="3"/>
      <c r="S21" s="136" t="s">
        <v>136</v>
      </c>
      <c r="T21" s="71"/>
    </row>
    <row r="22" spans="1:22" ht="63">
      <c r="A22" s="2">
        <v>8</v>
      </c>
      <c r="B22" s="3" t="s">
        <v>156</v>
      </c>
      <c r="C22" s="2" t="s">
        <v>155</v>
      </c>
      <c r="D22" s="3" t="s">
        <v>27</v>
      </c>
      <c r="E22" s="3" t="s">
        <v>154</v>
      </c>
      <c r="F22" s="81">
        <v>7300</v>
      </c>
      <c r="G22" s="81">
        <v>4105.338</v>
      </c>
      <c r="H22" s="81">
        <v>3000</v>
      </c>
      <c r="I22" s="81">
        <v>4200</v>
      </c>
      <c r="J22" s="81"/>
      <c r="K22" s="81"/>
      <c r="L22" s="81">
        <v>4105.338</v>
      </c>
      <c r="M22" s="81">
        <v>2537.3</v>
      </c>
      <c r="N22" s="81">
        <v>7003.3</v>
      </c>
      <c r="O22" s="81">
        <v>4105.3</v>
      </c>
      <c r="P22" s="81">
        <v>7003.3</v>
      </c>
      <c r="Q22" s="81"/>
      <c r="R22" s="3"/>
      <c r="S22" s="136" t="s">
        <v>136</v>
      </c>
      <c r="T22" s="71"/>
      <c r="U22" s="137">
        <v>7003.338</v>
      </c>
      <c r="V22" s="139">
        <f>P22-U22</f>
        <v>-0.03799999999955617</v>
      </c>
    </row>
    <row r="23" spans="1:20" ht="63">
      <c r="A23" s="2">
        <v>9</v>
      </c>
      <c r="B23" s="3" t="s">
        <v>153</v>
      </c>
      <c r="C23" s="2" t="s">
        <v>62</v>
      </c>
      <c r="D23" s="3" t="s">
        <v>27</v>
      </c>
      <c r="E23" s="3" t="s">
        <v>152</v>
      </c>
      <c r="F23" s="81">
        <v>7500</v>
      </c>
      <c r="G23" s="81">
        <v>4000</v>
      </c>
      <c r="H23" s="81">
        <v>3000</v>
      </c>
      <c r="I23" s="81">
        <v>2500</v>
      </c>
      <c r="J23" s="81"/>
      <c r="K23" s="81"/>
      <c r="L23" s="81">
        <v>4000</v>
      </c>
      <c r="M23" s="81">
        <v>2062.2</v>
      </c>
      <c r="N23" s="81">
        <v>6818.3</v>
      </c>
      <c r="O23" s="81">
        <f>G23</f>
        <v>4000</v>
      </c>
      <c r="P23" s="81">
        <f>5496+1000</f>
        <v>6496</v>
      </c>
      <c r="Q23" s="81">
        <f>1944-1000</f>
        <v>944</v>
      </c>
      <c r="R23" s="3"/>
      <c r="S23" s="136" t="s">
        <v>136</v>
      </c>
      <c r="T23" s="83"/>
    </row>
    <row r="24" spans="1:20" s="122" customFormat="1" ht="63">
      <c r="A24" s="2">
        <v>10</v>
      </c>
      <c r="B24" s="3" t="s">
        <v>151</v>
      </c>
      <c r="C24" s="2" t="s">
        <v>96</v>
      </c>
      <c r="D24" s="3" t="s">
        <v>27</v>
      </c>
      <c r="E24" s="3" t="s">
        <v>150</v>
      </c>
      <c r="F24" s="81">
        <v>7300</v>
      </c>
      <c r="G24" s="81">
        <f>2500+694.2+305.8</f>
        <v>3500</v>
      </c>
      <c r="H24" s="81">
        <v>3000</v>
      </c>
      <c r="I24" s="81">
        <v>2500</v>
      </c>
      <c r="J24" s="81"/>
      <c r="K24" s="81"/>
      <c r="L24" s="81">
        <f>2500+694.2+305.8</f>
        <v>3500</v>
      </c>
      <c r="M24" s="81">
        <f>3500+613.2</f>
        <v>4113.2</v>
      </c>
      <c r="N24" s="81">
        <f>5784.8+613.2</f>
        <v>6398</v>
      </c>
      <c r="O24" s="81">
        <f>2500+1000</f>
        <v>3500</v>
      </c>
      <c r="P24" s="81">
        <f>5398+1000</f>
        <v>6398</v>
      </c>
      <c r="Q24" s="81">
        <f>1251-1000</f>
        <v>251</v>
      </c>
      <c r="R24" s="81"/>
      <c r="S24" s="136" t="s">
        <v>136</v>
      </c>
      <c r="T24" s="83">
        <f>3500-M24</f>
        <v>-613.1999999999998</v>
      </c>
    </row>
    <row r="25" spans="1:22" s="122" customFormat="1" ht="63">
      <c r="A25" s="2">
        <v>11</v>
      </c>
      <c r="B25" s="3" t="s">
        <v>149</v>
      </c>
      <c r="C25" s="2" t="s">
        <v>70</v>
      </c>
      <c r="D25" s="3" t="s">
        <v>27</v>
      </c>
      <c r="E25" s="3" t="s">
        <v>148</v>
      </c>
      <c r="F25" s="81">
        <v>5000</v>
      </c>
      <c r="G25" s="81">
        <f>2135</f>
        <v>2135</v>
      </c>
      <c r="H25" s="81">
        <v>1500</v>
      </c>
      <c r="I25" s="81">
        <v>2135</v>
      </c>
      <c r="J25" s="81"/>
      <c r="K25" s="81"/>
      <c r="L25" s="81"/>
      <c r="M25" s="81">
        <v>3159</v>
      </c>
      <c r="N25" s="81">
        <v>4935</v>
      </c>
      <c r="O25" s="81">
        <v>2135</v>
      </c>
      <c r="P25" s="81">
        <v>4935</v>
      </c>
      <c r="Q25" s="81"/>
      <c r="R25" s="3"/>
      <c r="S25" s="136" t="s">
        <v>136</v>
      </c>
      <c r="T25" s="71"/>
      <c r="U25" s="123"/>
      <c r="V25" s="123">
        <f>P25-N25</f>
        <v>0</v>
      </c>
    </row>
    <row r="26" spans="1:21" s="135" customFormat="1" ht="29.25" customHeight="1">
      <c r="A26" s="43" t="s">
        <v>69</v>
      </c>
      <c r="B26" s="77" t="s">
        <v>147</v>
      </c>
      <c r="C26" s="43"/>
      <c r="D26" s="77"/>
      <c r="E26" s="77"/>
      <c r="F26" s="78">
        <f aca="true" t="shared" si="3" ref="F26:Q26">F27</f>
        <v>16000</v>
      </c>
      <c r="G26" s="78">
        <f t="shared" si="3"/>
        <v>20</v>
      </c>
      <c r="H26" s="78"/>
      <c r="I26" s="78"/>
      <c r="J26" s="78"/>
      <c r="K26" s="78"/>
      <c r="L26" s="78"/>
      <c r="M26" s="78">
        <f t="shared" si="3"/>
        <v>250</v>
      </c>
      <c r="N26" s="78">
        <f t="shared" si="3"/>
        <v>395.586</v>
      </c>
      <c r="O26" s="78">
        <f t="shared" si="3"/>
        <v>20</v>
      </c>
      <c r="P26" s="78">
        <f t="shared" si="3"/>
        <v>88</v>
      </c>
      <c r="Q26" s="78">
        <f t="shared" si="3"/>
        <v>15912</v>
      </c>
      <c r="R26" s="78"/>
      <c r="S26" s="75"/>
      <c r="T26" s="75"/>
      <c r="U26" s="140"/>
    </row>
    <row r="27" spans="1:20" s="124" customFormat="1" ht="29.25" customHeight="1">
      <c r="A27" s="97" t="s">
        <v>18</v>
      </c>
      <c r="B27" s="116" t="s">
        <v>17</v>
      </c>
      <c r="C27" s="97"/>
      <c r="D27" s="116"/>
      <c r="E27" s="116"/>
      <c r="F27" s="109">
        <f aca="true" t="shared" si="4" ref="F27:Q27">SUM(F28:F30)</f>
        <v>16000</v>
      </c>
      <c r="G27" s="109">
        <f t="shared" si="4"/>
        <v>20</v>
      </c>
      <c r="H27" s="109"/>
      <c r="I27" s="109"/>
      <c r="J27" s="109"/>
      <c r="K27" s="109"/>
      <c r="L27" s="109"/>
      <c r="M27" s="109">
        <f t="shared" si="4"/>
        <v>250</v>
      </c>
      <c r="N27" s="109">
        <f t="shared" si="4"/>
        <v>395.586</v>
      </c>
      <c r="O27" s="109">
        <f t="shared" si="4"/>
        <v>20</v>
      </c>
      <c r="P27" s="109">
        <f t="shared" si="4"/>
        <v>88</v>
      </c>
      <c r="Q27" s="109">
        <f t="shared" si="4"/>
        <v>15912</v>
      </c>
      <c r="R27" s="109"/>
      <c r="S27" s="98"/>
      <c r="T27" s="98"/>
    </row>
    <row r="28" spans="1:20" ht="53.25" customHeight="1">
      <c r="A28" s="2">
        <v>1</v>
      </c>
      <c r="B28" s="3" t="s">
        <v>146</v>
      </c>
      <c r="C28" s="2" t="s">
        <v>71</v>
      </c>
      <c r="D28" s="3" t="s">
        <v>56</v>
      </c>
      <c r="E28" s="3"/>
      <c r="F28" s="81">
        <v>3000</v>
      </c>
      <c r="G28" s="81"/>
      <c r="H28" s="81"/>
      <c r="I28" s="81"/>
      <c r="J28" s="81"/>
      <c r="K28" s="81"/>
      <c r="L28" s="81"/>
      <c r="M28" s="81"/>
      <c r="N28" s="81">
        <v>145.586</v>
      </c>
      <c r="O28" s="81"/>
      <c r="P28" s="81">
        <v>68</v>
      </c>
      <c r="Q28" s="81">
        <v>2932</v>
      </c>
      <c r="R28" s="2"/>
      <c r="S28" s="136" t="s">
        <v>136</v>
      </c>
      <c r="T28" s="71"/>
    </row>
    <row r="29" spans="1:20" ht="38.25">
      <c r="A29" s="2">
        <v>2</v>
      </c>
      <c r="B29" s="3" t="s">
        <v>144</v>
      </c>
      <c r="C29" s="2" t="s">
        <v>143</v>
      </c>
      <c r="D29" s="3" t="s">
        <v>56</v>
      </c>
      <c r="E29" s="3"/>
      <c r="F29" s="81">
        <v>8000</v>
      </c>
      <c r="G29" s="81">
        <v>20</v>
      </c>
      <c r="H29" s="81">
        <v>200</v>
      </c>
      <c r="I29" s="81">
        <v>-200</v>
      </c>
      <c r="J29" s="81">
        <v>20</v>
      </c>
      <c r="K29" s="81"/>
      <c r="L29" s="81"/>
      <c r="M29" s="81">
        <v>150</v>
      </c>
      <c r="N29" s="81">
        <v>150</v>
      </c>
      <c r="O29" s="81">
        <v>20</v>
      </c>
      <c r="P29" s="81">
        <v>20</v>
      </c>
      <c r="Q29" s="81">
        <v>7980</v>
      </c>
      <c r="R29" s="2"/>
      <c r="S29" s="136" t="s">
        <v>142</v>
      </c>
      <c r="T29" s="71"/>
    </row>
    <row r="30" spans="1:20" ht="31.5">
      <c r="A30" s="2">
        <v>3</v>
      </c>
      <c r="B30" s="3" t="s">
        <v>141</v>
      </c>
      <c r="C30" s="2" t="s">
        <v>47</v>
      </c>
      <c r="D30" s="3" t="s">
        <v>56</v>
      </c>
      <c r="E30" s="3"/>
      <c r="F30" s="81">
        <v>5000</v>
      </c>
      <c r="G30" s="81"/>
      <c r="H30" s="81">
        <v>100</v>
      </c>
      <c r="I30" s="81"/>
      <c r="J30" s="81"/>
      <c r="K30" s="81"/>
      <c r="L30" s="81"/>
      <c r="M30" s="81">
        <v>100</v>
      </c>
      <c r="N30" s="81">
        <v>100</v>
      </c>
      <c r="O30" s="81"/>
      <c r="P30" s="81"/>
      <c r="Q30" s="81">
        <v>5000</v>
      </c>
      <c r="R30" s="2"/>
      <c r="S30" s="136" t="s">
        <v>140</v>
      </c>
      <c r="T30" s="71"/>
    </row>
    <row r="31" spans="1:20" s="135" customFormat="1" ht="27.75" customHeight="1">
      <c r="A31" s="43" t="s">
        <v>22</v>
      </c>
      <c r="B31" s="77" t="s">
        <v>139</v>
      </c>
      <c r="C31" s="43"/>
      <c r="D31" s="77"/>
      <c r="E31" s="77"/>
      <c r="F31" s="78">
        <f aca="true" t="shared" si="5" ref="F31:Q31">F32+F35</f>
        <v>16200</v>
      </c>
      <c r="G31" s="78">
        <f t="shared" si="5"/>
        <v>4095.408</v>
      </c>
      <c r="H31" s="78"/>
      <c r="I31" s="78"/>
      <c r="J31" s="78"/>
      <c r="K31" s="78"/>
      <c r="L31" s="78"/>
      <c r="M31" s="78">
        <f t="shared" si="5"/>
        <v>4229.9</v>
      </c>
      <c r="N31" s="78">
        <f t="shared" si="5"/>
        <v>11625.408</v>
      </c>
      <c r="O31" s="78">
        <f t="shared" si="5"/>
        <v>4095.452</v>
      </c>
      <c r="P31" s="78">
        <f t="shared" si="5"/>
        <v>11545.452</v>
      </c>
      <c r="Q31" s="78">
        <f t="shared" si="5"/>
        <v>4000</v>
      </c>
      <c r="R31" s="77"/>
      <c r="S31" s="125"/>
      <c r="T31" s="75"/>
    </row>
    <row r="32" spans="1:20" s="135" customFormat="1" ht="27.75" customHeight="1">
      <c r="A32" s="43" t="s">
        <v>20</v>
      </c>
      <c r="B32" s="77" t="s">
        <v>138</v>
      </c>
      <c r="C32" s="43"/>
      <c r="D32" s="77"/>
      <c r="E32" s="77"/>
      <c r="F32" s="78">
        <f aca="true" t="shared" si="6" ref="F32:Q32">SUM(F34)</f>
        <v>7000</v>
      </c>
      <c r="G32" s="78">
        <f t="shared" si="6"/>
        <v>3000</v>
      </c>
      <c r="H32" s="78"/>
      <c r="I32" s="78"/>
      <c r="J32" s="78"/>
      <c r="K32" s="78"/>
      <c r="L32" s="78"/>
      <c r="M32" s="78">
        <f t="shared" si="6"/>
        <v>3000</v>
      </c>
      <c r="N32" s="78">
        <f t="shared" si="6"/>
        <v>3080</v>
      </c>
      <c r="O32" s="78">
        <f t="shared" si="6"/>
        <v>3000</v>
      </c>
      <c r="P32" s="78">
        <f t="shared" si="6"/>
        <v>3000</v>
      </c>
      <c r="Q32" s="78">
        <f t="shared" si="6"/>
        <v>4000</v>
      </c>
      <c r="R32" s="77"/>
      <c r="S32" s="125"/>
      <c r="T32" s="75"/>
    </row>
    <row r="33" spans="1:20" s="135" customFormat="1" ht="27.75" customHeight="1">
      <c r="A33" s="43" t="s">
        <v>18</v>
      </c>
      <c r="B33" s="77" t="s">
        <v>17</v>
      </c>
      <c r="C33" s="43"/>
      <c r="D33" s="77"/>
      <c r="E33" s="77"/>
      <c r="F33" s="78">
        <f aca="true" t="shared" si="7" ref="F33:Q33">F34</f>
        <v>7000</v>
      </c>
      <c r="G33" s="78">
        <f t="shared" si="7"/>
        <v>3000</v>
      </c>
      <c r="H33" s="78"/>
      <c r="I33" s="78"/>
      <c r="J33" s="78"/>
      <c r="K33" s="78"/>
      <c r="L33" s="78"/>
      <c r="M33" s="78">
        <f t="shared" si="7"/>
        <v>3000</v>
      </c>
      <c r="N33" s="78">
        <f t="shared" si="7"/>
        <v>3080</v>
      </c>
      <c r="O33" s="78">
        <f t="shared" si="7"/>
        <v>3000</v>
      </c>
      <c r="P33" s="78">
        <f t="shared" si="7"/>
        <v>3000</v>
      </c>
      <c r="Q33" s="78">
        <f t="shared" si="7"/>
        <v>4000</v>
      </c>
      <c r="R33" s="77"/>
      <c r="S33" s="125"/>
      <c r="T33" s="75"/>
    </row>
    <row r="34" spans="1:20" ht="51.75" customHeight="1">
      <c r="A34" s="2">
        <v>1</v>
      </c>
      <c r="B34" s="3" t="s">
        <v>137</v>
      </c>
      <c r="C34" s="2" t="s">
        <v>71</v>
      </c>
      <c r="D34" s="3" t="s">
        <v>56</v>
      </c>
      <c r="E34" s="3"/>
      <c r="F34" s="81">
        <v>7000</v>
      </c>
      <c r="G34" s="81">
        <f>2000+54.592+945.408</f>
        <v>3000</v>
      </c>
      <c r="H34" s="81">
        <v>4000</v>
      </c>
      <c r="I34" s="81"/>
      <c r="J34" s="81"/>
      <c r="K34" s="81">
        <v>2000</v>
      </c>
      <c r="L34" s="81">
        <v>3000</v>
      </c>
      <c r="M34" s="327">
        <f>2500+500</f>
        <v>3000</v>
      </c>
      <c r="N34" s="327">
        <f>2580+500</f>
        <v>3080</v>
      </c>
      <c r="O34" s="327">
        <f>2000+1000</f>
        <v>3000</v>
      </c>
      <c r="P34" s="327">
        <f>2000+1000</f>
        <v>3000</v>
      </c>
      <c r="Q34" s="81">
        <f>5000-1000</f>
        <v>4000</v>
      </c>
      <c r="R34" s="3"/>
      <c r="S34" s="136" t="s">
        <v>136</v>
      </c>
      <c r="T34" s="71"/>
    </row>
    <row r="35" spans="1:20" s="135" customFormat="1" ht="31.5">
      <c r="A35" s="43" t="s">
        <v>85</v>
      </c>
      <c r="B35" s="77" t="s">
        <v>135</v>
      </c>
      <c r="C35" s="43"/>
      <c r="D35" s="77"/>
      <c r="E35" s="77"/>
      <c r="F35" s="78">
        <f aca="true" t="shared" si="8" ref="F35:P35">SUM(F37)</f>
        <v>9200</v>
      </c>
      <c r="G35" s="78">
        <f t="shared" si="8"/>
        <v>1095.408</v>
      </c>
      <c r="H35" s="78"/>
      <c r="I35" s="78"/>
      <c r="J35" s="78"/>
      <c r="K35" s="78"/>
      <c r="L35" s="78"/>
      <c r="M35" s="78">
        <f t="shared" si="8"/>
        <v>1229.9</v>
      </c>
      <c r="N35" s="78">
        <f t="shared" si="8"/>
        <v>8545.408</v>
      </c>
      <c r="O35" s="78">
        <f t="shared" si="8"/>
        <v>1095.452</v>
      </c>
      <c r="P35" s="78">
        <f t="shared" si="8"/>
        <v>8545.452</v>
      </c>
      <c r="Q35" s="78"/>
      <c r="R35" s="77"/>
      <c r="S35" s="125"/>
      <c r="T35" s="75"/>
    </row>
    <row r="36" spans="1:20" s="135" customFormat="1" ht="32.25" customHeight="1">
      <c r="A36" s="43" t="s">
        <v>18</v>
      </c>
      <c r="B36" s="77" t="s">
        <v>17</v>
      </c>
      <c r="C36" s="43"/>
      <c r="D36" s="77"/>
      <c r="E36" s="77"/>
      <c r="F36" s="78">
        <f aca="true" t="shared" si="9" ref="F36:P36">F37</f>
        <v>9200</v>
      </c>
      <c r="G36" s="78">
        <f t="shared" si="9"/>
        <v>1095.408</v>
      </c>
      <c r="H36" s="78"/>
      <c r="I36" s="78"/>
      <c r="J36" s="78"/>
      <c r="K36" s="78"/>
      <c r="L36" s="78"/>
      <c r="M36" s="78">
        <f t="shared" si="9"/>
        <v>1229.9</v>
      </c>
      <c r="N36" s="78">
        <f t="shared" si="9"/>
        <v>8545.408</v>
      </c>
      <c r="O36" s="78">
        <f t="shared" si="9"/>
        <v>1095.452</v>
      </c>
      <c r="P36" s="78">
        <f t="shared" si="9"/>
        <v>8545.452</v>
      </c>
      <c r="Q36" s="78"/>
      <c r="R36" s="77"/>
      <c r="S36" s="125"/>
      <c r="T36" s="75"/>
    </row>
    <row r="37" spans="1:22" s="122" customFormat="1" ht="63">
      <c r="A37" s="2">
        <v>1</v>
      </c>
      <c r="B37" s="3" t="s">
        <v>134</v>
      </c>
      <c r="C37" s="2" t="s">
        <v>57</v>
      </c>
      <c r="D37" s="3" t="s">
        <v>101</v>
      </c>
      <c r="E37" s="3" t="s">
        <v>133</v>
      </c>
      <c r="F37" s="81">
        <v>9200</v>
      </c>
      <c r="G37" s="81">
        <f>1150-54.592</f>
        <v>1095.408</v>
      </c>
      <c r="H37" s="81">
        <v>1000</v>
      </c>
      <c r="I37" s="81"/>
      <c r="J37" s="81">
        <v>1150</v>
      </c>
      <c r="K37" s="81"/>
      <c r="L37" s="81">
        <v>1095.408</v>
      </c>
      <c r="M37" s="81">
        <v>1229.9</v>
      </c>
      <c r="N37" s="81">
        <v>8545.408</v>
      </c>
      <c r="O37" s="81">
        <v>1095.452</v>
      </c>
      <c r="P37" s="81">
        <v>8545.452</v>
      </c>
      <c r="Q37" s="81"/>
      <c r="R37" s="2"/>
      <c r="S37" s="136" t="s">
        <v>132</v>
      </c>
      <c r="T37" s="71"/>
      <c r="U37" s="123">
        <f>1095.408-O37</f>
        <v>-0.044000000000096406</v>
      </c>
      <c r="V37" s="123">
        <v>61.455999999999904</v>
      </c>
    </row>
    <row r="38" spans="1:18" ht="16.5" thickBot="1">
      <c r="A38" s="141"/>
      <c r="B38" s="142"/>
      <c r="C38" s="141"/>
      <c r="D38" s="142"/>
      <c r="E38" s="142"/>
      <c r="F38" s="142"/>
      <c r="G38" s="142"/>
      <c r="H38" s="142"/>
      <c r="I38" s="142"/>
      <c r="J38" s="142"/>
      <c r="K38" s="142"/>
      <c r="L38" s="142"/>
      <c r="M38" s="142"/>
      <c r="N38" s="142"/>
      <c r="O38" s="142"/>
      <c r="P38" s="142"/>
      <c r="Q38" s="142"/>
      <c r="R38" s="142"/>
    </row>
    <row r="39" ht="16.5" thickTop="1"/>
    <row r="40" ht="15.75">
      <c r="P40" s="139"/>
    </row>
    <row r="51" spans="2:6" ht="15.75">
      <c r="B51" s="376"/>
      <c r="C51" s="376"/>
      <c r="D51" s="376"/>
      <c r="E51" s="376"/>
      <c r="F51" s="376"/>
    </row>
  </sheetData>
  <sheetProtection/>
  <mergeCells count="24">
    <mergeCell ref="B51:F51"/>
    <mergeCell ref="F5:F7"/>
    <mergeCell ref="E5:E7"/>
    <mergeCell ref="H5:H7"/>
    <mergeCell ref="D5:D7"/>
    <mergeCell ref="V6:W6"/>
    <mergeCell ref="O5:P6"/>
    <mergeCell ref="R5:R7"/>
    <mergeCell ref="U5:W5"/>
    <mergeCell ref="M1:R1"/>
    <mergeCell ref="A2:R2"/>
    <mergeCell ref="A3:R3"/>
    <mergeCell ref="A4:R4"/>
    <mergeCell ref="A1:B1"/>
    <mergeCell ref="M5:N6"/>
    <mergeCell ref="Q5:Q7"/>
    <mergeCell ref="A5:A7"/>
    <mergeCell ref="B5:B7"/>
    <mergeCell ref="C5:C7"/>
    <mergeCell ref="K5:K7"/>
    <mergeCell ref="G5:G7"/>
    <mergeCell ref="I5:I7"/>
    <mergeCell ref="L5:L7"/>
    <mergeCell ref="J5:J7"/>
  </mergeCells>
  <printOptions/>
  <pageMargins left="0.37" right="0.31" top="0.51" bottom="0.37" header="0.3" footer="0.3"/>
  <pageSetup horizontalDpi="600" verticalDpi="600" orientation="landscape" paperSize="9" scale="95"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tabColor rgb="FFFFFF00"/>
  </sheetPr>
  <dimension ref="A1:AC145"/>
  <sheetViews>
    <sheetView view="pageBreakPreview" zoomScale="85" zoomScaleNormal="70" zoomScaleSheetLayoutView="85" zoomScalePageLayoutView="0" workbookViewId="0" topLeftCell="A1">
      <pane ySplit="8" topLeftCell="BM132" activePane="bottomLeft" state="frozen"/>
      <selection pane="topLeft" activeCell="A1" sqref="A1"/>
      <selection pane="bottomLeft" activeCell="T26" sqref="T26:T31"/>
    </sheetView>
  </sheetViews>
  <sheetFormatPr defaultColWidth="9.00390625" defaultRowHeight="15.75"/>
  <cols>
    <col min="1" max="1" width="5.625" style="19" customWidth="1"/>
    <col min="2" max="2" width="60.75390625" style="6" customWidth="1"/>
    <col min="3" max="3" width="12.625" style="19" customWidth="1"/>
    <col min="4" max="4" width="10.00390625" style="144" customWidth="1"/>
    <col min="5" max="5" width="11.00390625" style="144" customWidth="1"/>
    <col min="6" max="12" width="11.00390625" style="144" hidden="1" customWidth="1"/>
    <col min="13" max="13" width="13.125" style="144" hidden="1" customWidth="1"/>
    <col min="14" max="14" width="11.00390625" style="144" hidden="1" customWidth="1"/>
    <col min="15" max="15" width="9.75390625" style="144" customWidth="1"/>
    <col min="16" max="16" width="11.00390625" style="144" customWidth="1"/>
    <col min="17" max="17" width="9.75390625" style="144" customWidth="1"/>
    <col min="18" max="18" width="11.00390625" style="144" customWidth="1"/>
    <col min="19" max="19" width="11.125" style="145" customWidth="1"/>
    <col min="20" max="20" width="21.125" style="71" customWidth="1"/>
    <col min="21" max="21" width="35.875" style="71" customWidth="1"/>
    <col min="22" max="22" width="13.375" style="6" customWidth="1"/>
    <col min="23" max="23" width="11.375" style="6" customWidth="1"/>
    <col min="24" max="24" width="14.125" style="6" bestFit="1" customWidth="1"/>
    <col min="25" max="25" width="9.00390625" style="6" hidden="1" customWidth="1"/>
    <col min="26" max="27" width="9.875" style="6" hidden="1" customWidth="1"/>
    <col min="28" max="28" width="9.00390625" style="6" customWidth="1"/>
    <col min="29" max="29" width="9.875" style="6" bestFit="1" customWidth="1"/>
    <col min="30" max="16384" width="9.00390625" style="6" customWidth="1"/>
  </cols>
  <sheetData>
    <row r="1" spans="1:2" ht="15.75" customHeight="1">
      <c r="A1" s="378" t="s">
        <v>311</v>
      </c>
      <c r="B1" s="378"/>
    </row>
    <row r="2" spans="1:21" ht="25.5" customHeight="1">
      <c r="A2" s="379" t="s">
        <v>310</v>
      </c>
      <c r="B2" s="379"/>
      <c r="C2" s="379"/>
      <c r="D2" s="379"/>
      <c r="E2" s="379"/>
      <c r="F2" s="379"/>
      <c r="G2" s="379"/>
      <c r="H2" s="379"/>
      <c r="I2" s="379"/>
      <c r="J2" s="379"/>
      <c r="K2" s="379"/>
      <c r="L2" s="379"/>
      <c r="M2" s="379"/>
      <c r="N2" s="379"/>
      <c r="O2" s="379"/>
      <c r="P2" s="379"/>
      <c r="Q2" s="379"/>
      <c r="R2" s="379"/>
      <c r="S2" s="379"/>
      <c r="T2" s="379"/>
      <c r="U2" s="146"/>
    </row>
    <row r="3" spans="1:21" ht="22.5" customHeight="1">
      <c r="A3" s="380" t="str">
        <f>'VỐN ĐT NGUỒN NSĐP'!A3:R3</f>
        <v>(Kèm theo Báo cáo số       /BC-UBND ngày       tháng 11 năm 2019 của UBND huyện Tuần Giáo)</v>
      </c>
      <c r="B3" s="380"/>
      <c r="C3" s="380"/>
      <c r="D3" s="380"/>
      <c r="E3" s="380"/>
      <c r="F3" s="380"/>
      <c r="G3" s="380"/>
      <c r="H3" s="380"/>
      <c r="I3" s="380"/>
      <c r="J3" s="380"/>
      <c r="K3" s="380"/>
      <c r="L3" s="380"/>
      <c r="M3" s="380"/>
      <c r="N3" s="380"/>
      <c r="O3" s="380"/>
      <c r="P3" s="380"/>
      <c r="Q3" s="380"/>
      <c r="R3" s="380"/>
      <c r="S3" s="380"/>
      <c r="T3" s="380"/>
      <c r="U3" s="146"/>
    </row>
    <row r="4" spans="2:21" ht="18.75" customHeight="1">
      <c r="B4" s="147"/>
      <c r="C4" s="148"/>
      <c r="D4" s="149"/>
      <c r="E4" s="323"/>
      <c r="F4" s="323"/>
      <c r="G4" s="323"/>
      <c r="H4" s="323"/>
      <c r="I4" s="323"/>
      <c r="J4" s="323"/>
      <c r="K4" s="323"/>
      <c r="L4" s="323"/>
      <c r="M4" s="323"/>
      <c r="N4" s="323"/>
      <c r="O4" s="323"/>
      <c r="P4" s="323"/>
      <c r="Q4" s="323"/>
      <c r="R4" s="323"/>
      <c r="S4" s="323"/>
      <c r="T4" s="323"/>
      <c r="U4" s="150"/>
    </row>
    <row r="5" spans="1:22" s="13" customFormat="1" ht="25.5" customHeight="1">
      <c r="A5" s="369" t="s">
        <v>309</v>
      </c>
      <c r="B5" s="377" t="s">
        <v>308</v>
      </c>
      <c r="C5" s="369" t="s">
        <v>307</v>
      </c>
      <c r="D5" s="369" t="s">
        <v>122</v>
      </c>
      <c r="E5" s="364" t="s">
        <v>306</v>
      </c>
      <c r="F5" s="364" t="s">
        <v>549</v>
      </c>
      <c r="G5" s="364" t="s">
        <v>550</v>
      </c>
      <c r="H5" s="364" t="s">
        <v>556</v>
      </c>
      <c r="I5" s="364" t="s">
        <v>553</v>
      </c>
      <c r="J5" s="364" t="s">
        <v>552</v>
      </c>
      <c r="K5" s="364" t="s">
        <v>551</v>
      </c>
      <c r="L5" s="364" t="s">
        <v>557</v>
      </c>
      <c r="M5" s="364" t="s">
        <v>555</v>
      </c>
      <c r="N5" s="364" t="s">
        <v>554</v>
      </c>
      <c r="O5" s="369" t="s">
        <v>176</v>
      </c>
      <c r="P5" s="369"/>
      <c r="Q5" s="369" t="s">
        <v>305</v>
      </c>
      <c r="R5" s="369"/>
      <c r="S5" s="364" t="s">
        <v>175</v>
      </c>
      <c r="T5" s="369" t="s">
        <v>174</v>
      </c>
      <c r="U5" s="151"/>
      <c r="V5" s="152"/>
    </row>
    <row r="6" spans="1:22" s="13" customFormat="1" ht="12" customHeight="1">
      <c r="A6" s="369"/>
      <c r="B6" s="377"/>
      <c r="C6" s="369"/>
      <c r="D6" s="369"/>
      <c r="E6" s="365"/>
      <c r="F6" s="365"/>
      <c r="G6" s="365"/>
      <c r="H6" s="365"/>
      <c r="I6" s="365"/>
      <c r="J6" s="365"/>
      <c r="K6" s="365"/>
      <c r="L6" s="365"/>
      <c r="M6" s="365"/>
      <c r="N6" s="365"/>
      <c r="O6" s="364" t="s">
        <v>172</v>
      </c>
      <c r="P6" s="369" t="s">
        <v>304</v>
      </c>
      <c r="Q6" s="364" t="s">
        <v>172</v>
      </c>
      <c r="R6" s="369" t="s">
        <v>171</v>
      </c>
      <c r="S6" s="365"/>
      <c r="T6" s="369"/>
      <c r="U6" s="153"/>
      <c r="V6" s="154"/>
    </row>
    <row r="7" spans="1:22" s="13" customFormat="1" ht="18" customHeight="1">
      <c r="A7" s="369"/>
      <c r="B7" s="377"/>
      <c r="C7" s="369"/>
      <c r="D7" s="369"/>
      <c r="E7" s="365"/>
      <c r="F7" s="365"/>
      <c r="G7" s="365"/>
      <c r="H7" s="365"/>
      <c r="I7" s="365"/>
      <c r="J7" s="365"/>
      <c r="K7" s="365"/>
      <c r="L7" s="365"/>
      <c r="M7" s="365"/>
      <c r="N7" s="365"/>
      <c r="O7" s="365"/>
      <c r="P7" s="369"/>
      <c r="Q7" s="365"/>
      <c r="R7" s="369"/>
      <c r="S7" s="365"/>
      <c r="T7" s="369"/>
      <c r="U7" s="153"/>
      <c r="V7" s="154"/>
    </row>
    <row r="8" spans="1:29" s="13" customFormat="1" ht="33.75" customHeight="1">
      <c r="A8" s="369"/>
      <c r="B8" s="377"/>
      <c r="C8" s="369"/>
      <c r="D8" s="369"/>
      <c r="E8" s="366"/>
      <c r="F8" s="366"/>
      <c r="G8" s="366"/>
      <c r="H8" s="366"/>
      <c r="I8" s="366"/>
      <c r="J8" s="366"/>
      <c r="K8" s="366"/>
      <c r="L8" s="366"/>
      <c r="M8" s="366"/>
      <c r="N8" s="366"/>
      <c r="O8" s="366"/>
      <c r="P8" s="369"/>
      <c r="Q8" s="366"/>
      <c r="R8" s="369"/>
      <c r="S8" s="366"/>
      <c r="T8" s="369"/>
      <c r="U8" s="155"/>
      <c r="V8" s="154"/>
      <c r="W8" s="156"/>
      <c r="X8" s="13" t="s">
        <v>303</v>
      </c>
      <c r="Y8" s="157">
        <f>W8-W8*10%</f>
        <v>0</v>
      </c>
      <c r="Z8" s="158">
        <f>W8+W9</f>
        <v>0</v>
      </c>
      <c r="AA8" s="158">
        <f>Z8-Z8*10%</f>
        <v>0</v>
      </c>
      <c r="AB8" s="159">
        <f>Y8*20%</f>
        <v>0</v>
      </c>
      <c r="AC8" s="13" t="s">
        <v>302</v>
      </c>
    </row>
    <row r="9" spans="1:29" s="13" customFormat="1" ht="24.75" customHeight="1">
      <c r="A9" s="160"/>
      <c r="B9" s="160" t="s">
        <v>301</v>
      </c>
      <c r="C9" s="161"/>
      <c r="D9" s="162">
        <f>D10+D22+D120+D129+D133</f>
        <v>312535.185</v>
      </c>
      <c r="E9" s="162">
        <f>E10+E22+E120+E129+E133</f>
        <v>78311.47689100001</v>
      </c>
      <c r="F9" s="162"/>
      <c r="G9" s="162"/>
      <c r="H9" s="162"/>
      <c r="I9" s="162"/>
      <c r="J9" s="162"/>
      <c r="K9" s="162"/>
      <c r="L9" s="162"/>
      <c r="M9" s="162"/>
      <c r="N9" s="162"/>
      <c r="O9" s="162">
        <f>O10+O22+O120+O129+O133</f>
        <v>61217.334</v>
      </c>
      <c r="P9" s="162">
        <f>P10+P22+P120+P129+P133</f>
        <v>162585.581</v>
      </c>
      <c r="Q9" s="162">
        <f>Q10+Q22+Q120+Q129+Q133</f>
        <v>78279.16689100002</v>
      </c>
      <c r="R9" s="162">
        <f>R10+R22+R120+R129+R133</f>
        <v>178727.736891</v>
      </c>
      <c r="S9" s="162">
        <f>S10+S22+S120+S129+S133</f>
        <v>93656.75200000001</v>
      </c>
      <c r="T9" s="163"/>
      <c r="U9" s="164"/>
      <c r="V9" s="154"/>
      <c r="W9" s="165"/>
      <c r="X9" s="13" t="s">
        <v>300</v>
      </c>
      <c r="Y9" s="166">
        <f>W9-W9*10%</f>
        <v>0</v>
      </c>
      <c r="AA9" s="167"/>
      <c r="AB9" s="13">
        <f>Y9*80%</f>
        <v>0</v>
      </c>
      <c r="AC9" s="13" t="s">
        <v>299</v>
      </c>
    </row>
    <row r="10" spans="1:29" s="13" customFormat="1" ht="32.25" customHeight="1">
      <c r="A10" s="33" t="s">
        <v>120</v>
      </c>
      <c r="B10" s="16" t="s">
        <v>298</v>
      </c>
      <c r="C10" s="168"/>
      <c r="D10" s="169">
        <f>D11+D19</f>
        <v>15800</v>
      </c>
      <c r="E10" s="169">
        <f>E11+E19</f>
        <v>4811.215851</v>
      </c>
      <c r="F10" s="169"/>
      <c r="G10" s="169"/>
      <c r="H10" s="169"/>
      <c r="I10" s="169"/>
      <c r="J10" s="169"/>
      <c r="K10" s="169"/>
      <c r="L10" s="169"/>
      <c r="M10" s="169"/>
      <c r="N10" s="169"/>
      <c r="O10" s="169">
        <f>O11+O19</f>
        <v>4300</v>
      </c>
      <c r="P10" s="169">
        <f>P11+P19</f>
        <v>8706.342</v>
      </c>
      <c r="Q10" s="169">
        <f>Q11+Q19</f>
        <v>4811.2358509999995</v>
      </c>
      <c r="R10" s="169">
        <f>R11+R19</f>
        <v>9892.235851</v>
      </c>
      <c r="S10" s="169">
        <f>S11+S19</f>
        <v>3400</v>
      </c>
      <c r="T10" s="170"/>
      <c r="U10" s="171"/>
      <c r="W10" s="156"/>
      <c r="Y10" s="13">
        <f>Y8+Y9</f>
        <v>0</v>
      </c>
      <c r="AB10" s="172">
        <v>11700</v>
      </c>
      <c r="AC10" s="172" t="s">
        <v>297</v>
      </c>
    </row>
    <row r="11" spans="1:22" s="13" customFormat="1" ht="32.25" customHeight="1">
      <c r="A11" s="33" t="s">
        <v>20</v>
      </c>
      <c r="B11" s="16" t="s">
        <v>245</v>
      </c>
      <c r="C11" s="168"/>
      <c r="D11" s="169">
        <f>D12+D17</f>
        <v>8800</v>
      </c>
      <c r="E11" s="169">
        <f>E12+E17</f>
        <v>910.98</v>
      </c>
      <c r="F11" s="169"/>
      <c r="G11" s="169"/>
      <c r="H11" s="169"/>
      <c r="I11" s="169"/>
      <c r="J11" s="169"/>
      <c r="K11" s="169"/>
      <c r="L11" s="169"/>
      <c r="M11" s="169"/>
      <c r="N11" s="169"/>
      <c r="O11" s="169">
        <f>O12+O17</f>
        <v>3300</v>
      </c>
      <c r="P11" s="169">
        <f>P12+P17</f>
        <v>7706.342000000001</v>
      </c>
      <c r="Q11" s="169">
        <f>Q12+Q17</f>
        <v>911</v>
      </c>
      <c r="R11" s="169">
        <f>R12+R17</f>
        <v>5992</v>
      </c>
      <c r="S11" s="169">
        <f>S12+S17</f>
        <v>400</v>
      </c>
      <c r="T11" s="170"/>
      <c r="U11" s="171"/>
      <c r="V11" s="173"/>
    </row>
    <row r="12" spans="1:22" s="13" customFormat="1" ht="32.25" customHeight="1">
      <c r="A12" s="33" t="s">
        <v>18</v>
      </c>
      <c r="B12" s="16" t="s">
        <v>233</v>
      </c>
      <c r="C12" s="168"/>
      <c r="D12" s="169">
        <f>SUM(D13:D16)</f>
        <v>7480</v>
      </c>
      <c r="E12" s="169">
        <f>SUM(E13:E16)</f>
        <v>871.98</v>
      </c>
      <c r="F12" s="169"/>
      <c r="G12" s="169"/>
      <c r="H12" s="169"/>
      <c r="I12" s="169"/>
      <c r="J12" s="169"/>
      <c r="K12" s="169"/>
      <c r="L12" s="169"/>
      <c r="M12" s="169"/>
      <c r="N12" s="169"/>
      <c r="O12" s="169">
        <f>SUM(O13:O16)</f>
        <v>3300</v>
      </c>
      <c r="P12" s="169">
        <f>SUM(P13:P16)</f>
        <v>6386.342000000001</v>
      </c>
      <c r="Q12" s="169">
        <f>SUM(Q13:Q16)</f>
        <v>872</v>
      </c>
      <c r="R12" s="169">
        <f>SUM(R13:R16)</f>
        <v>4672</v>
      </c>
      <c r="S12" s="169">
        <f>SUM(S13:S16)</f>
        <v>400</v>
      </c>
      <c r="T12" s="170"/>
      <c r="U12" s="171"/>
      <c r="V12" s="173"/>
    </row>
    <row r="13" spans="1:22" ht="31.5">
      <c r="A13" s="12">
        <v>1</v>
      </c>
      <c r="B13" s="3" t="s">
        <v>296</v>
      </c>
      <c r="C13" s="10" t="s">
        <v>185</v>
      </c>
      <c r="D13" s="174">
        <v>4800</v>
      </c>
      <c r="E13" s="174">
        <v>371.98</v>
      </c>
      <c r="F13" s="174">
        <v>1400</v>
      </c>
      <c r="G13" s="174">
        <v>2000</v>
      </c>
      <c r="H13" s="174"/>
      <c r="I13" s="174"/>
      <c r="J13" s="174"/>
      <c r="K13" s="174"/>
      <c r="L13" s="174"/>
      <c r="M13" s="174"/>
      <c r="N13" s="174">
        <v>371.98</v>
      </c>
      <c r="O13" s="175">
        <v>1900</v>
      </c>
      <c r="P13" s="174">
        <v>4000</v>
      </c>
      <c r="Q13" s="175">
        <v>372</v>
      </c>
      <c r="R13" s="174">
        <v>2372</v>
      </c>
      <c r="S13" s="175">
        <v>200</v>
      </c>
      <c r="T13" s="176"/>
      <c r="U13" s="210" t="s">
        <v>136</v>
      </c>
      <c r="V13" s="7">
        <f>E13-Q13</f>
        <v>-0.01999999999998181</v>
      </c>
    </row>
    <row r="14" spans="1:23" ht="31.5">
      <c r="A14" s="331">
        <v>2</v>
      </c>
      <c r="B14" s="332" t="s">
        <v>295</v>
      </c>
      <c r="C14" s="333" t="s">
        <v>160</v>
      </c>
      <c r="D14" s="328"/>
      <c r="E14" s="328"/>
      <c r="F14" s="328"/>
      <c r="G14" s="328"/>
      <c r="H14" s="328"/>
      <c r="I14" s="328"/>
      <c r="J14" s="328"/>
      <c r="K14" s="328"/>
      <c r="L14" s="328"/>
      <c r="M14" s="328"/>
      <c r="N14" s="328"/>
      <c r="O14" s="334"/>
      <c r="P14" s="328"/>
      <c r="Q14" s="334"/>
      <c r="R14" s="328"/>
      <c r="S14" s="334"/>
      <c r="T14" s="335"/>
      <c r="U14" s="210" t="s">
        <v>136</v>
      </c>
      <c r="V14" s="7">
        <f aca="true" t="shared" si="0" ref="V14:V106">E14-Q14</f>
        <v>0</v>
      </c>
      <c r="W14" s="177"/>
    </row>
    <row r="15" spans="1:23" ht="29.25" customHeight="1">
      <c r="A15" s="178"/>
      <c r="B15" s="179" t="s">
        <v>294</v>
      </c>
      <c r="C15" s="10"/>
      <c r="D15" s="174"/>
      <c r="E15" s="174"/>
      <c r="F15" s="174"/>
      <c r="G15" s="174"/>
      <c r="H15" s="174"/>
      <c r="I15" s="174"/>
      <c r="J15" s="174"/>
      <c r="K15" s="174"/>
      <c r="L15" s="174"/>
      <c r="M15" s="174"/>
      <c r="N15" s="174"/>
      <c r="O15" s="175"/>
      <c r="P15" s="174"/>
      <c r="Q15" s="175"/>
      <c r="R15" s="174"/>
      <c r="S15" s="180"/>
      <c r="T15" s="170"/>
      <c r="U15" s="181"/>
      <c r="V15" s="7">
        <f t="shared" si="0"/>
        <v>0</v>
      </c>
      <c r="W15" s="182"/>
    </row>
    <row r="16" spans="1:23" ht="29.25" customHeight="1">
      <c r="A16" s="12">
        <v>3</v>
      </c>
      <c r="B16" s="40" t="s">
        <v>293</v>
      </c>
      <c r="C16" s="10" t="s">
        <v>185</v>
      </c>
      <c r="D16" s="174">
        <v>2680</v>
      </c>
      <c r="E16" s="174">
        <v>500</v>
      </c>
      <c r="F16" s="174"/>
      <c r="G16" s="174">
        <v>500</v>
      </c>
      <c r="H16" s="174"/>
      <c r="I16" s="174"/>
      <c r="J16" s="174"/>
      <c r="K16" s="174"/>
      <c r="L16" s="174"/>
      <c r="M16" s="174"/>
      <c r="N16" s="174"/>
      <c r="O16" s="175">
        <v>1400</v>
      </c>
      <c r="P16" s="174">
        <v>2386.342</v>
      </c>
      <c r="Q16" s="175">
        <v>500</v>
      </c>
      <c r="R16" s="174">
        <v>2300</v>
      </c>
      <c r="S16" s="180">
        <v>200</v>
      </c>
      <c r="T16" s="170"/>
      <c r="U16" s="210" t="s">
        <v>136</v>
      </c>
      <c r="V16" s="7">
        <f t="shared" si="0"/>
        <v>0</v>
      </c>
      <c r="W16" s="182"/>
    </row>
    <row r="17" spans="1:23" s="13" customFormat="1" ht="29.25" customHeight="1">
      <c r="A17" s="17" t="s">
        <v>18</v>
      </c>
      <c r="B17" s="42" t="s">
        <v>292</v>
      </c>
      <c r="C17" s="15"/>
      <c r="D17" s="169">
        <f>D18</f>
        <v>1320</v>
      </c>
      <c r="E17" s="169">
        <f>E18</f>
        <v>39</v>
      </c>
      <c r="F17" s="169"/>
      <c r="G17" s="169"/>
      <c r="H17" s="169"/>
      <c r="I17" s="169"/>
      <c r="J17" s="169"/>
      <c r="K17" s="169"/>
      <c r="L17" s="169"/>
      <c r="M17" s="169"/>
      <c r="N17" s="169"/>
      <c r="O17" s="169"/>
      <c r="P17" s="169">
        <f>P18</f>
        <v>1320</v>
      </c>
      <c r="Q17" s="169">
        <f>Q18</f>
        <v>39</v>
      </c>
      <c r="R17" s="169">
        <f>R18</f>
        <v>1320</v>
      </c>
      <c r="S17" s="169"/>
      <c r="T17" s="170"/>
      <c r="U17" s="183"/>
      <c r="V17" s="7">
        <f t="shared" si="0"/>
        <v>0</v>
      </c>
      <c r="W17" s="51"/>
    </row>
    <row r="18" spans="1:22" ht="28.5" customHeight="1">
      <c r="A18" s="12">
        <v>1</v>
      </c>
      <c r="B18" s="40" t="s">
        <v>291</v>
      </c>
      <c r="C18" s="10" t="s">
        <v>185</v>
      </c>
      <c r="D18" s="188">
        <v>1320</v>
      </c>
      <c r="E18" s="174">
        <v>39</v>
      </c>
      <c r="F18" s="174">
        <v>750</v>
      </c>
      <c r="G18" s="174">
        <v>39</v>
      </c>
      <c r="H18" s="174"/>
      <c r="I18" s="174"/>
      <c r="J18" s="174"/>
      <c r="K18" s="174"/>
      <c r="L18" s="174"/>
      <c r="M18" s="174"/>
      <c r="N18" s="174"/>
      <c r="O18" s="174"/>
      <c r="P18" s="175">
        <v>1320</v>
      </c>
      <c r="Q18" s="174">
        <v>39</v>
      </c>
      <c r="R18" s="175">
        <v>1320</v>
      </c>
      <c r="S18" s="175"/>
      <c r="T18" s="170"/>
      <c r="U18" s="210" t="s">
        <v>136</v>
      </c>
      <c r="V18" s="7">
        <f t="shared" si="0"/>
        <v>0</v>
      </c>
    </row>
    <row r="19" spans="1:22" s="13" customFormat="1" ht="28.5" customHeight="1">
      <c r="A19" s="17" t="s">
        <v>85</v>
      </c>
      <c r="B19" s="32" t="s">
        <v>234</v>
      </c>
      <c r="C19" s="15"/>
      <c r="D19" s="169">
        <f>D20</f>
        <v>7000</v>
      </c>
      <c r="E19" s="169">
        <f>E20</f>
        <v>3900.235851</v>
      </c>
      <c r="F19" s="169"/>
      <c r="G19" s="169"/>
      <c r="H19" s="169"/>
      <c r="I19" s="169"/>
      <c r="J19" s="169"/>
      <c r="K19" s="169"/>
      <c r="L19" s="169"/>
      <c r="M19" s="169"/>
      <c r="N19" s="169"/>
      <c r="O19" s="169">
        <f>O20</f>
        <v>1000</v>
      </c>
      <c r="P19" s="169">
        <f>P20</f>
        <v>1000</v>
      </c>
      <c r="Q19" s="169">
        <f>Q20</f>
        <v>3900.235851</v>
      </c>
      <c r="R19" s="169">
        <f>R20</f>
        <v>3900.235851</v>
      </c>
      <c r="S19" s="169">
        <f>S20</f>
        <v>3000</v>
      </c>
      <c r="T19" s="170"/>
      <c r="U19" s="75"/>
      <c r="V19" s="7">
        <f t="shared" si="0"/>
        <v>0</v>
      </c>
    </row>
    <row r="20" spans="1:22" s="13" customFormat="1" ht="28.5" customHeight="1">
      <c r="A20" s="33" t="s">
        <v>18</v>
      </c>
      <c r="B20" s="16" t="s">
        <v>233</v>
      </c>
      <c r="C20" s="168"/>
      <c r="D20" s="169">
        <f>SUM(D21:D21)</f>
        <v>7000</v>
      </c>
      <c r="E20" s="169">
        <f>SUM(E21:E21)</f>
        <v>3900.235851</v>
      </c>
      <c r="F20" s="169"/>
      <c r="G20" s="169"/>
      <c r="H20" s="169"/>
      <c r="I20" s="169"/>
      <c r="J20" s="169"/>
      <c r="K20" s="169"/>
      <c r="L20" s="169"/>
      <c r="M20" s="169"/>
      <c r="N20" s="169"/>
      <c r="O20" s="169">
        <f>SUM(O21:O21)</f>
        <v>1000</v>
      </c>
      <c r="P20" s="169">
        <f>SUM(P21:P21)</f>
        <v>1000</v>
      </c>
      <c r="Q20" s="169">
        <f>SUM(Q21:Q21)</f>
        <v>3900.235851</v>
      </c>
      <c r="R20" s="169">
        <f>SUM(R21:R21)</f>
        <v>3900.235851</v>
      </c>
      <c r="S20" s="169">
        <f>SUM(S21:S21)</f>
        <v>3000</v>
      </c>
      <c r="T20" s="170"/>
      <c r="U20" s="171"/>
      <c r="V20" s="7">
        <f t="shared" si="0"/>
        <v>0</v>
      </c>
    </row>
    <row r="21" spans="1:22" ht="31.5">
      <c r="A21" s="184">
        <v>1</v>
      </c>
      <c r="B21" s="3" t="s">
        <v>289</v>
      </c>
      <c r="C21" s="10" t="s">
        <v>185</v>
      </c>
      <c r="D21" s="185">
        <v>7000</v>
      </c>
      <c r="E21" s="174">
        <v>3900.235851</v>
      </c>
      <c r="F21" s="174">
        <v>5000</v>
      </c>
      <c r="G21" s="174">
        <v>5000</v>
      </c>
      <c r="H21" s="174"/>
      <c r="I21" s="174"/>
      <c r="J21" s="174"/>
      <c r="K21" s="174"/>
      <c r="L21" s="174"/>
      <c r="M21" s="174"/>
      <c r="N21" s="174">
        <v>3900.235851</v>
      </c>
      <c r="O21" s="174">
        <v>1000</v>
      </c>
      <c r="P21" s="175">
        <v>1000</v>
      </c>
      <c r="Q21" s="174">
        <v>3900.235851</v>
      </c>
      <c r="R21" s="174">
        <v>3900.235851</v>
      </c>
      <c r="S21" s="180">
        <v>3000</v>
      </c>
      <c r="T21" s="176"/>
      <c r="U21" s="210" t="s">
        <v>136</v>
      </c>
      <c r="V21" s="7">
        <f t="shared" si="0"/>
        <v>0</v>
      </c>
    </row>
    <row r="22" spans="1:22" s="13" customFormat="1" ht="33.75" customHeight="1">
      <c r="A22" s="33" t="s">
        <v>22</v>
      </c>
      <c r="B22" s="77" t="s">
        <v>288</v>
      </c>
      <c r="C22" s="168"/>
      <c r="D22" s="186">
        <f>D23+D61+D84+D118</f>
        <v>238652.185</v>
      </c>
      <c r="E22" s="186">
        <f>E23+E61+E84</f>
        <v>64917.26104000001</v>
      </c>
      <c r="F22" s="186"/>
      <c r="G22" s="186"/>
      <c r="H22" s="186"/>
      <c r="I22" s="186"/>
      <c r="J22" s="186"/>
      <c r="K22" s="186"/>
      <c r="L22" s="186"/>
      <c r="M22" s="186"/>
      <c r="N22" s="186"/>
      <c r="O22" s="186">
        <f>O23+O61+O84</f>
        <v>53034.334</v>
      </c>
      <c r="P22" s="186">
        <f>P23+P61+P84</f>
        <v>149996.239</v>
      </c>
      <c r="Q22" s="186">
        <f>Q23+Q61+Q84</f>
        <v>64884.93104000001</v>
      </c>
      <c r="R22" s="186">
        <f>R23+R61+R84</f>
        <v>160252.50104</v>
      </c>
      <c r="S22" s="186">
        <f>S23+S61+S84</f>
        <v>62056.752</v>
      </c>
      <c r="T22" s="9"/>
      <c r="U22" s="187"/>
      <c r="V22" s="7"/>
    </row>
    <row r="23" spans="1:22" ht="33.75" customHeight="1">
      <c r="A23" s="43" t="s">
        <v>20</v>
      </c>
      <c r="B23" s="42" t="s">
        <v>287</v>
      </c>
      <c r="C23" s="15"/>
      <c r="D23" s="186">
        <f>D24+D42</f>
        <v>119295</v>
      </c>
      <c r="E23" s="186">
        <f>E24+E42</f>
        <v>43484.44904000001</v>
      </c>
      <c r="F23" s="186"/>
      <c r="G23" s="186"/>
      <c r="H23" s="186"/>
      <c r="I23" s="186"/>
      <c r="J23" s="186"/>
      <c r="K23" s="186"/>
      <c r="L23" s="186"/>
      <c r="M23" s="186"/>
      <c r="N23" s="186"/>
      <c r="O23" s="186">
        <f>O24+O42</f>
        <v>33299.634000000005</v>
      </c>
      <c r="P23" s="186">
        <f>P24+P42</f>
        <v>76259.12</v>
      </c>
      <c r="Q23" s="186">
        <f>Q24+Q42</f>
        <v>43484.373040000006</v>
      </c>
      <c r="R23" s="186">
        <f>R24+R42</f>
        <v>84816.65804000001</v>
      </c>
      <c r="S23" s="186">
        <f>S24+S42</f>
        <v>28183.816</v>
      </c>
      <c r="T23" s="170"/>
      <c r="U23" s="150"/>
      <c r="V23" s="7"/>
    </row>
    <row r="24" spans="1:22" s="13" customFormat="1" ht="33.75" customHeight="1">
      <c r="A24" s="33" t="s">
        <v>286</v>
      </c>
      <c r="B24" s="16" t="s">
        <v>245</v>
      </c>
      <c r="C24" s="168"/>
      <c r="D24" s="186">
        <f>D25</f>
        <v>52705</v>
      </c>
      <c r="E24" s="186">
        <f>E25</f>
        <v>8784.172000000002</v>
      </c>
      <c r="F24" s="186"/>
      <c r="G24" s="186"/>
      <c r="H24" s="186"/>
      <c r="I24" s="186"/>
      <c r="J24" s="186"/>
      <c r="K24" s="186"/>
      <c r="L24" s="186"/>
      <c r="M24" s="186"/>
      <c r="N24" s="186"/>
      <c r="O24" s="186">
        <f>O25</f>
        <v>7181.450000000001</v>
      </c>
      <c r="P24" s="186">
        <f>P25</f>
        <v>50082.935999999994</v>
      </c>
      <c r="Q24" s="186">
        <f>Q25</f>
        <v>8784.096000000001</v>
      </c>
      <c r="R24" s="186">
        <f>R25</f>
        <v>50082.381</v>
      </c>
      <c r="S24" s="186"/>
      <c r="T24" s="9"/>
      <c r="U24" s="187"/>
      <c r="V24" s="7"/>
    </row>
    <row r="25" spans="1:22" s="13" customFormat="1" ht="33.75" customHeight="1">
      <c r="A25" s="33" t="s">
        <v>18</v>
      </c>
      <c r="B25" s="16" t="s">
        <v>233</v>
      </c>
      <c r="C25" s="168"/>
      <c r="D25" s="169">
        <f>SUM(D26:D41)</f>
        <v>52705</v>
      </c>
      <c r="E25" s="169">
        <f>SUM(E26:E41)</f>
        <v>8784.172000000002</v>
      </c>
      <c r="F25" s="169"/>
      <c r="G25" s="169"/>
      <c r="H25" s="169"/>
      <c r="I25" s="169"/>
      <c r="J25" s="169"/>
      <c r="K25" s="169"/>
      <c r="L25" s="169"/>
      <c r="M25" s="169"/>
      <c r="N25" s="169"/>
      <c r="O25" s="169">
        <f>SUM(O26:O41)</f>
        <v>7181.450000000001</v>
      </c>
      <c r="P25" s="169">
        <f>SUM(P26:P41)</f>
        <v>50082.935999999994</v>
      </c>
      <c r="Q25" s="169">
        <f>SUM(Q26:Q41)</f>
        <v>8784.096000000001</v>
      </c>
      <c r="R25" s="169">
        <f>SUM(R26:R41)</f>
        <v>50082.381</v>
      </c>
      <c r="S25" s="169"/>
      <c r="T25" s="14"/>
      <c r="U25" s="171"/>
      <c r="V25" s="7"/>
    </row>
    <row r="26" spans="1:22" ht="33.75" customHeight="1">
      <c r="A26" s="29">
        <v>1</v>
      </c>
      <c r="B26" s="40" t="s">
        <v>480</v>
      </c>
      <c r="C26" s="10" t="s">
        <v>484</v>
      </c>
      <c r="D26" s="188">
        <v>1200</v>
      </c>
      <c r="E26" s="174">
        <v>138.441</v>
      </c>
      <c r="F26" s="174"/>
      <c r="G26" s="174"/>
      <c r="H26" s="174"/>
      <c r="I26" s="174"/>
      <c r="J26" s="174"/>
      <c r="K26" s="174"/>
      <c r="L26" s="174"/>
      <c r="M26" s="174">
        <v>138.441</v>
      </c>
      <c r="N26" s="174"/>
      <c r="O26" s="174"/>
      <c r="P26" s="174">
        <v>1193.4</v>
      </c>
      <c r="Q26" s="174">
        <v>138.441</v>
      </c>
      <c r="R26" s="174">
        <v>1193.4</v>
      </c>
      <c r="S26" s="180"/>
      <c r="T26" s="9"/>
      <c r="U26" s="210"/>
      <c r="V26" s="7">
        <f t="shared" si="0"/>
        <v>0</v>
      </c>
    </row>
    <row r="27" spans="1:22" ht="33.75" customHeight="1">
      <c r="A27" s="29">
        <v>2</v>
      </c>
      <c r="B27" s="40" t="s">
        <v>481</v>
      </c>
      <c r="C27" s="10" t="s">
        <v>34</v>
      </c>
      <c r="D27" s="188">
        <v>1100</v>
      </c>
      <c r="E27" s="174">
        <v>508.35</v>
      </c>
      <c r="F27" s="174"/>
      <c r="G27" s="174"/>
      <c r="H27" s="174"/>
      <c r="I27" s="174"/>
      <c r="J27" s="174"/>
      <c r="K27" s="174"/>
      <c r="L27" s="174"/>
      <c r="M27" s="174">
        <v>508.35</v>
      </c>
      <c r="N27" s="174"/>
      <c r="O27" s="174">
        <v>508.35</v>
      </c>
      <c r="P27" s="174">
        <v>1022.911</v>
      </c>
      <c r="Q27" s="174">
        <v>508.35</v>
      </c>
      <c r="R27" s="174">
        <v>1022.911</v>
      </c>
      <c r="S27" s="180"/>
      <c r="T27" s="352"/>
      <c r="U27" s="210"/>
      <c r="V27" s="7"/>
    </row>
    <row r="28" spans="1:22" ht="33.75" customHeight="1">
      <c r="A28" s="29">
        <v>3</v>
      </c>
      <c r="B28" s="40" t="s">
        <v>482</v>
      </c>
      <c r="C28" s="10" t="s">
        <v>143</v>
      </c>
      <c r="D28" s="188">
        <v>1390</v>
      </c>
      <c r="E28" s="174">
        <v>323.451</v>
      </c>
      <c r="F28" s="174"/>
      <c r="G28" s="174"/>
      <c r="H28" s="174"/>
      <c r="I28" s="174"/>
      <c r="J28" s="174"/>
      <c r="K28" s="174"/>
      <c r="L28" s="174"/>
      <c r="M28" s="174">
        <v>323.451</v>
      </c>
      <c r="N28" s="174"/>
      <c r="O28" s="174"/>
      <c r="P28" s="174">
        <v>1322.836</v>
      </c>
      <c r="Q28" s="174">
        <v>323.451</v>
      </c>
      <c r="R28" s="174">
        <v>1322.836</v>
      </c>
      <c r="S28" s="180"/>
      <c r="T28" s="352"/>
      <c r="U28" s="210"/>
      <c r="V28" s="7"/>
    </row>
    <row r="29" spans="1:22" ht="33.75" customHeight="1">
      <c r="A29" s="29">
        <v>4</v>
      </c>
      <c r="B29" s="40" t="s">
        <v>483</v>
      </c>
      <c r="C29" s="10" t="s">
        <v>62</v>
      </c>
      <c r="D29" s="188">
        <v>4150</v>
      </c>
      <c r="E29" s="174">
        <v>396.698</v>
      </c>
      <c r="F29" s="174"/>
      <c r="G29" s="174"/>
      <c r="H29" s="174"/>
      <c r="I29" s="174"/>
      <c r="J29" s="174"/>
      <c r="K29" s="174"/>
      <c r="L29" s="174"/>
      <c r="M29" s="174">
        <v>396.698</v>
      </c>
      <c r="N29" s="174"/>
      <c r="O29" s="174"/>
      <c r="P29" s="174">
        <v>4095.33</v>
      </c>
      <c r="Q29" s="174">
        <v>396.698</v>
      </c>
      <c r="R29" s="174">
        <v>4095.33</v>
      </c>
      <c r="S29" s="180"/>
      <c r="T29" s="352"/>
      <c r="U29" s="210"/>
      <c r="V29" s="7"/>
    </row>
    <row r="30" spans="1:23" ht="33.75" customHeight="1">
      <c r="A30" s="29">
        <v>7</v>
      </c>
      <c r="B30" s="40" t="s">
        <v>498</v>
      </c>
      <c r="C30" s="10" t="s">
        <v>499</v>
      </c>
      <c r="D30" s="188">
        <v>2500</v>
      </c>
      <c r="E30" s="174">
        <v>106.244</v>
      </c>
      <c r="F30" s="174"/>
      <c r="G30" s="174"/>
      <c r="H30" s="174"/>
      <c r="I30" s="174"/>
      <c r="J30" s="174"/>
      <c r="K30" s="174"/>
      <c r="L30" s="174"/>
      <c r="M30" s="174">
        <v>106.244</v>
      </c>
      <c r="N30" s="174"/>
      <c r="O30" s="174"/>
      <c r="P30" s="174">
        <v>2375.687</v>
      </c>
      <c r="Q30" s="174">
        <v>106.244</v>
      </c>
      <c r="R30" s="174">
        <f>P30-0.514</f>
        <v>2375.173</v>
      </c>
      <c r="S30" s="180"/>
      <c r="T30" s="352"/>
      <c r="U30" s="210" t="s">
        <v>506</v>
      </c>
      <c r="V30" s="7"/>
      <c r="W30" s="147"/>
    </row>
    <row r="31" spans="1:23" ht="33.75" customHeight="1">
      <c r="A31" s="29">
        <v>8</v>
      </c>
      <c r="B31" s="40" t="s">
        <v>500</v>
      </c>
      <c r="C31" s="10" t="s">
        <v>143</v>
      </c>
      <c r="D31" s="188">
        <v>2125</v>
      </c>
      <c r="E31" s="174">
        <v>75.2</v>
      </c>
      <c r="F31" s="174"/>
      <c r="G31" s="174"/>
      <c r="H31" s="174"/>
      <c r="I31" s="174"/>
      <c r="J31" s="174"/>
      <c r="K31" s="174"/>
      <c r="L31" s="174"/>
      <c r="M31" s="174">
        <v>75.2</v>
      </c>
      <c r="N31" s="174"/>
      <c r="O31" s="174"/>
      <c r="P31" s="174">
        <v>1962.673</v>
      </c>
      <c r="Q31" s="174">
        <v>75.2</v>
      </c>
      <c r="R31" s="174">
        <v>1962.673</v>
      </c>
      <c r="S31" s="180"/>
      <c r="T31" s="9"/>
      <c r="U31" s="210" t="s">
        <v>506</v>
      </c>
      <c r="V31" s="7"/>
      <c r="W31" s="147"/>
    </row>
    <row r="32" spans="1:22" s="339" customFormat="1" ht="31.5">
      <c r="A32" s="331">
        <v>9</v>
      </c>
      <c r="B32" s="336" t="s">
        <v>296</v>
      </c>
      <c r="C32" s="333" t="s">
        <v>185</v>
      </c>
      <c r="D32" s="328"/>
      <c r="E32" s="328">
        <v>1600</v>
      </c>
      <c r="F32" s="328"/>
      <c r="G32" s="328"/>
      <c r="H32" s="328"/>
      <c r="I32" s="328"/>
      <c r="J32" s="328"/>
      <c r="K32" s="328"/>
      <c r="L32" s="328"/>
      <c r="M32" s="328"/>
      <c r="N32" s="328">
        <v>1600</v>
      </c>
      <c r="O32" s="334">
        <v>1600</v>
      </c>
      <c r="P32" s="328">
        <v>1600</v>
      </c>
      <c r="Q32" s="334">
        <v>1600</v>
      </c>
      <c r="R32" s="328">
        <v>1600</v>
      </c>
      <c r="S32" s="334">
        <v>200</v>
      </c>
      <c r="T32" s="335"/>
      <c r="U32" s="337" t="s">
        <v>136</v>
      </c>
      <c r="V32" s="338">
        <f>E32-Q32</f>
        <v>0</v>
      </c>
    </row>
    <row r="33" spans="1:22" ht="33.75" customHeight="1">
      <c r="A33" s="29">
        <v>10</v>
      </c>
      <c r="B33" s="40" t="s">
        <v>285</v>
      </c>
      <c r="C33" s="10" t="s">
        <v>158</v>
      </c>
      <c r="D33" s="188">
        <v>4000</v>
      </c>
      <c r="E33" s="174">
        <v>151.895</v>
      </c>
      <c r="F33" s="174">
        <v>460</v>
      </c>
      <c r="G33" s="174">
        <v>152</v>
      </c>
      <c r="H33" s="174"/>
      <c r="I33" s="174"/>
      <c r="J33" s="174"/>
      <c r="K33" s="174"/>
      <c r="L33" s="174"/>
      <c r="M33" s="174"/>
      <c r="N33" s="174">
        <v>151.895</v>
      </c>
      <c r="O33" s="174"/>
      <c r="P33" s="174">
        <v>3858.3720000000003</v>
      </c>
      <c r="Q33" s="174">
        <v>151.9</v>
      </c>
      <c r="R33" s="174">
        <v>3858.3720000000003</v>
      </c>
      <c r="S33" s="180"/>
      <c r="T33" s="9"/>
      <c r="U33" s="210"/>
      <c r="V33" s="7"/>
    </row>
    <row r="34" spans="1:22" ht="33.75" customHeight="1">
      <c r="A34" s="12">
        <v>11</v>
      </c>
      <c r="B34" s="40" t="s">
        <v>284</v>
      </c>
      <c r="C34" s="10" t="s">
        <v>143</v>
      </c>
      <c r="D34" s="188">
        <v>11700</v>
      </c>
      <c r="E34" s="174">
        <v>224.972</v>
      </c>
      <c r="F34" s="174">
        <v>503</v>
      </c>
      <c r="G34" s="174">
        <v>141</v>
      </c>
      <c r="H34" s="174"/>
      <c r="I34" s="174"/>
      <c r="J34" s="174"/>
      <c r="K34" s="174"/>
      <c r="L34" s="174"/>
      <c r="M34" s="174">
        <v>83.972</v>
      </c>
      <c r="N34" s="174">
        <v>224.972</v>
      </c>
      <c r="O34" s="174"/>
      <c r="P34" s="174">
        <v>10498.437</v>
      </c>
      <c r="Q34" s="174">
        <v>224.972</v>
      </c>
      <c r="R34" s="174">
        <v>10498.437</v>
      </c>
      <c r="S34" s="180"/>
      <c r="T34" s="9"/>
      <c r="U34" s="210"/>
      <c r="V34" s="7">
        <f t="shared" si="0"/>
        <v>0</v>
      </c>
    </row>
    <row r="35" spans="1:22" ht="33.75" customHeight="1">
      <c r="A35" s="29">
        <v>12</v>
      </c>
      <c r="B35" s="40" t="s">
        <v>283</v>
      </c>
      <c r="C35" s="10" t="s">
        <v>34</v>
      </c>
      <c r="D35" s="188">
        <v>2850</v>
      </c>
      <c r="E35" s="174">
        <v>361.328</v>
      </c>
      <c r="F35" s="174">
        <v>363</v>
      </c>
      <c r="G35" s="174">
        <v>363</v>
      </c>
      <c r="H35" s="174"/>
      <c r="I35" s="174"/>
      <c r="J35" s="174"/>
      <c r="K35" s="174"/>
      <c r="L35" s="174"/>
      <c r="M35" s="174"/>
      <c r="N35" s="174">
        <v>361.328</v>
      </c>
      <c r="O35" s="174"/>
      <c r="P35" s="174">
        <v>2361.328</v>
      </c>
      <c r="Q35" s="174">
        <v>361.328</v>
      </c>
      <c r="R35" s="174">
        <f>P35</f>
        <v>2361.328</v>
      </c>
      <c r="S35" s="180"/>
      <c r="T35" s="9"/>
      <c r="U35" s="210"/>
      <c r="V35" s="7">
        <f t="shared" si="0"/>
        <v>0</v>
      </c>
    </row>
    <row r="36" spans="1:23" ht="33.75" customHeight="1">
      <c r="A36" s="12">
        <v>13</v>
      </c>
      <c r="B36" s="40" t="s">
        <v>282</v>
      </c>
      <c r="C36" s="10" t="s">
        <v>34</v>
      </c>
      <c r="D36" s="188">
        <v>3150</v>
      </c>
      <c r="E36" s="174">
        <v>131.44</v>
      </c>
      <c r="F36" s="174">
        <v>666</v>
      </c>
      <c r="G36" s="174">
        <v>132</v>
      </c>
      <c r="H36" s="174"/>
      <c r="I36" s="174"/>
      <c r="J36" s="174"/>
      <c r="K36" s="174"/>
      <c r="L36" s="174"/>
      <c r="M36" s="174"/>
      <c r="N36" s="174">
        <v>131.44</v>
      </c>
      <c r="O36" s="174"/>
      <c r="P36" s="174">
        <v>2981.744</v>
      </c>
      <c r="Q36" s="174">
        <v>131.4</v>
      </c>
      <c r="R36" s="174">
        <v>2981.744</v>
      </c>
      <c r="S36" s="180"/>
      <c r="T36" s="9"/>
      <c r="U36" s="210"/>
      <c r="V36" s="7">
        <f t="shared" si="0"/>
        <v>0.03999999999999204</v>
      </c>
      <c r="W36" s="7"/>
    </row>
    <row r="37" spans="1:22" ht="33.75" customHeight="1">
      <c r="A37" s="29">
        <v>14</v>
      </c>
      <c r="B37" s="40" t="s">
        <v>281</v>
      </c>
      <c r="C37" s="10" t="s">
        <v>143</v>
      </c>
      <c r="D37" s="188">
        <v>2280</v>
      </c>
      <c r="E37" s="174">
        <v>124.524</v>
      </c>
      <c r="F37" s="174">
        <v>900</v>
      </c>
      <c r="G37" s="174">
        <v>130</v>
      </c>
      <c r="H37" s="174"/>
      <c r="I37" s="174"/>
      <c r="J37" s="174"/>
      <c r="K37" s="174"/>
      <c r="L37" s="174"/>
      <c r="M37" s="174"/>
      <c r="N37" s="174">
        <v>124.524</v>
      </c>
      <c r="O37" s="174"/>
      <c r="P37" s="174">
        <f>1981.011-5.476</f>
        <v>1975.5349999999999</v>
      </c>
      <c r="Q37" s="174">
        <v>124.524</v>
      </c>
      <c r="R37" s="174">
        <f>P37</f>
        <v>1975.5349999999999</v>
      </c>
      <c r="S37" s="180"/>
      <c r="T37" s="9"/>
      <c r="U37" s="210"/>
      <c r="V37" s="7">
        <f t="shared" si="0"/>
        <v>0</v>
      </c>
    </row>
    <row r="38" spans="1:22" s="189" customFormat="1" ht="33.75" customHeight="1">
      <c r="A38" s="12">
        <v>15</v>
      </c>
      <c r="B38" s="40" t="s">
        <v>280</v>
      </c>
      <c r="C38" s="10" t="s">
        <v>143</v>
      </c>
      <c r="D38" s="188">
        <v>3400</v>
      </c>
      <c r="E38" s="174">
        <v>1700</v>
      </c>
      <c r="F38" s="174">
        <v>400</v>
      </c>
      <c r="G38" s="174">
        <v>1700</v>
      </c>
      <c r="H38" s="174"/>
      <c r="I38" s="174"/>
      <c r="J38" s="174"/>
      <c r="K38" s="174"/>
      <c r="L38" s="174"/>
      <c r="M38" s="174"/>
      <c r="N38" s="174"/>
      <c r="O38" s="174">
        <v>1700</v>
      </c>
      <c r="P38" s="174">
        <v>3200</v>
      </c>
      <c r="Q38" s="174">
        <v>1699.959</v>
      </c>
      <c r="R38" s="174">
        <v>3199.9590000000003</v>
      </c>
      <c r="S38" s="180"/>
      <c r="T38" s="9"/>
      <c r="U38" s="210"/>
      <c r="V38" s="7">
        <f t="shared" si="0"/>
        <v>0.04099999999993997</v>
      </c>
    </row>
    <row r="39" spans="1:22" s="189" customFormat="1" ht="33.75" customHeight="1">
      <c r="A39" s="29">
        <v>16</v>
      </c>
      <c r="B39" s="40" t="s">
        <v>279</v>
      </c>
      <c r="C39" s="10" t="s">
        <v>143</v>
      </c>
      <c r="D39" s="188">
        <v>3810</v>
      </c>
      <c r="E39" s="174">
        <v>847.331</v>
      </c>
      <c r="F39" s="174">
        <v>2000</v>
      </c>
      <c r="G39" s="174">
        <v>1400</v>
      </c>
      <c r="H39" s="174"/>
      <c r="I39" s="174"/>
      <c r="J39" s="174"/>
      <c r="K39" s="174"/>
      <c r="L39" s="174"/>
      <c r="M39" s="174"/>
      <c r="N39" s="174">
        <v>847.331</v>
      </c>
      <c r="O39" s="174">
        <v>326.2</v>
      </c>
      <c r="P39" s="174">
        <v>3246.735</v>
      </c>
      <c r="Q39" s="174">
        <v>847.331</v>
      </c>
      <c r="R39" s="174">
        <v>3246.735</v>
      </c>
      <c r="S39" s="175"/>
      <c r="T39" s="9"/>
      <c r="U39" s="210"/>
      <c r="V39" s="7">
        <f t="shared" si="0"/>
        <v>0</v>
      </c>
    </row>
    <row r="40" spans="1:22" ht="33.75" customHeight="1">
      <c r="A40" s="12">
        <v>17</v>
      </c>
      <c r="B40" s="11" t="s">
        <v>278</v>
      </c>
      <c r="C40" s="10" t="s">
        <v>143</v>
      </c>
      <c r="D40" s="174">
        <v>6600</v>
      </c>
      <c r="E40" s="174">
        <v>1951.723</v>
      </c>
      <c r="F40" s="174">
        <v>3000</v>
      </c>
      <c r="G40" s="174">
        <v>2000</v>
      </c>
      <c r="H40" s="174"/>
      <c r="I40" s="174"/>
      <c r="J40" s="174"/>
      <c r="K40" s="174"/>
      <c r="L40" s="174"/>
      <c r="M40" s="174"/>
      <c r="N40" s="174">
        <v>1951.723</v>
      </c>
      <c r="O40" s="174">
        <v>3046.9</v>
      </c>
      <c r="P40" s="174">
        <v>6045.373</v>
      </c>
      <c r="Q40" s="174">
        <v>1951.723</v>
      </c>
      <c r="R40" s="174">
        <f>P40</f>
        <v>6045.373</v>
      </c>
      <c r="S40" s="180"/>
      <c r="T40" s="9"/>
      <c r="U40" s="210" t="s">
        <v>136</v>
      </c>
      <c r="V40" s="7">
        <f t="shared" si="0"/>
        <v>0</v>
      </c>
    </row>
    <row r="41" spans="1:22" s="189" customFormat="1" ht="33.75" customHeight="1">
      <c r="A41" s="29">
        <v>18</v>
      </c>
      <c r="B41" s="11" t="s">
        <v>277</v>
      </c>
      <c r="C41" s="10" t="s">
        <v>34</v>
      </c>
      <c r="D41" s="174">
        <v>2450</v>
      </c>
      <c r="E41" s="174">
        <v>142.575</v>
      </c>
      <c r="F41" s="174">
        <v>1000</v>
      </c>
      <c r="G41" s="174">
        <v>200</v>
      </c>
      <c r="H41" s="174"/>
      <c r="I41" s="174"/>
      <c r="J41" s="174"/>
      <c r="K41" s="174"/>
      <c r="L41" s="174"/>
      <c r="M41" s="174"/>
      <c r="N41" s="174">
        <v>142.575</v>
      </c>
      <c r="O41" s="174">
        <v>0</v>
      </c>
      <c r="P41" s="174">
        <v>2342.575</v>
      </c>
      <c r="Q41" s="174">
        <v>142.575</v>
      </c>
      <c r="R41" s="174">
        <f>P41</f>
        <v>2342.575</v>
      </c>
      <c r="S41" s="180"/>
      <c r="T41" s="9"/>
      <c r="U41" s="210" t="s">
        <v>136</v>
      </c>
      <c r="V41" s="7">
        <f t="shared" si="0"/>
        <v>0</v>
      </c>
    </row>
    <row r="42" spans="1:22" s="189" customFormat="1" ht="33.75" customHeight="1">
      <c r="A42" s="17" t="s">
        <v>276</v>
      </c>
      <c r="B42" s="32" t="s">
        <v>234</v>
      </c>
      <c r="C42" s="10"/>
      <c r="D42" s="190">
        <f>D43</f>
        <v>66590</v>
      </c>
      <c r="E42" s="190">
        <f>E43</f>
        <v>34700.27704</v>
      </c>
      <c r="F42" s="190"/>
      <c r="G42" s="190"/>
      <c r="H42" s="190"/>
      <c r="I42" s="190"/>
      <c r="J42" s="190"/>
      <c r="K42" s="190"/>
      <c r="L42" s="190"/>
      <c r="M42" s="190"/>
      <c r="N42" s="190"/>
      <c r="O42" s="190">
        <f>O43</f>
        <v>26118.184</v>
      </c>
      <c r="P42" s="190">
        <f>P43</f>
        <v>26176.184</v>
      </c>
      <c r="Q42" s="190">
        <f>Q43</f>
        <v>34700.27704</v>
      </c>
      <c r="R42" s="190">
        <f>R43</f>
        <v>34734.27704</v>
      </c>
      <c r="S42" s="190">
        <f>S43</f>
        <v>28183.816</v>
      </c>
      <c r="T42" s="9"/>
      <c r="U42" s="8"/>
      <c r="V42" s="7">
        <f t="shared" si="0"/>
        <v>0</v>
      </c>
    </row>
    <row r="43" spans="1:22" s="13" customFormat="1" ht="33.75" customHeight="1">
      <c r="A43" s="33" t="s">
        <v>18</v>
      </c>
      <c r="B43" s="16" t="s">
        <v>233</v>
      </c>
      <c r="C43" s="168"/>
      <c r="D43" s="169">
        <f>SUM(D44:D60)</f>
        <v>66590</v>
      </c>
      <c r="E43" s="169">
        <f>SUM(E44:E60)</f>
        <v>34700.27704</v>
      </c>
      <c r="F43" s="169"/>
      <c r="G43" s="169"/>
      <c r="H43" s="169"/>
      <c r="I43" s="169"/>
      <c r="J43" s="169"/>
      <c r="K43" s="169"/>
      <c r="L43" s="169"/>
      <c r="M43" s="169"/>
      <c r="N43" s="169"/>
      <c r="O43" s="169">
        <f>SUM(O44:O60)</f>
        <v>26118.184</v>
      </c>
      <c r="P43" s="169">
        <f>SUM(P44:P60)</f>
        <v>26176.184</v>
      </c>
      <c r="Q43" s="169">
        <f>SUM(Q44:Q60)</f>
        <v>34700.27704</v>
      </c>
      <c r="R43" s="169">
        <f>SUM(R44:R60)</f>
        <v>34734.27704</v>
      </c>
      <c r="S43" s="169">
        <f>SUM(S44:S60)</f>
        <v>28183.816</v>
      </c>
      <c r="T43" s="14"/>
      <c r="U43" s="171"/>
      <c r="V43" s="7">
        <f t="shared" si="0"/>
        <v>0</v>
      </c>
    </row>
    <row r="44" spans="1:24" ht="33.75" customHeight="1">
      <c r="A44" s="191">
        <v>1</v>
      </c>
      <c r="B44" s="40" t="s">
        <v>275</v>
      </c>
      <c r="C44" s="10" t="s">
        <v>155</v>
      </c>
      <c r="D44" s="174">
        <v>4500</v>
      </c>
      <c r="E44" s="175">
        <v>2350</v>
      </c>
      <c r="F44" s="175">
        <v>1878</v>
      </c>
      <c r="G44" s="175">
        <v>2350</v>
      </c>
      <c r="H44" s="175"/>
      <c r="I44" s="175"/>
      <c r="J44" s="175"/>
      <c r="K44" s="175"/>
      <c r="L44" s="175"/>
      <c r="M44" s="175"/>
      <c r="N44" s="175"/>
      <c r="O44" s="175">
        <v>3700</v>
      </c>
      <c r="P44" s="174">
        <v>3700</v>
      </c>
      <c r="Q44" s="175">
        <v>2350</v>
      </c>
      <c r="R44" s="174">
        <v>2350</v>
      </c>
      <c r="S44" s="175">
        <v>2150</v>
      </c>
      <c r="T44" s="9"/>
      <c r="U44" s="210" t="s">
        <v>136</v>
      </c>
      <c r="V44" s="7">
        <f t="shared" si="0"/>
        <v>0</v>
      </c>
      <c r="W44" s="7"/>
      <c r="X44" s="6">
        <f>3700-1500</f>
        <v>2200</v>
      </c>
    </row>
    <row r="45" spans="1:22" s="189" customFormat="1" ht="33" customHeight="1">
      <c r="A45" s="12">
        <v>2</v>
      </c>
      <c r="B45" s="28" t="s">
        <v>274</v>
      </c>
      <c r="C45" s="10" t="s">
        <v>158</v>
      </c>
      <c r="D45" s="188">
        <v>5000</v>
      </c>
      <c r="E45" s="174">
        <f>2500+666.184</f>
        <v>3166.184</v>
      </c>
      <c r="F45" s="174">
        <v>2500</v>
      </c>
      <c r="G45" s="174"/>
      <c r="H45" s="174"/>
      <c r="I45" s="174"/>
      <c r="J45" s="174"/>
      <c r="K45" s="174"/>
      <c r="L45" s="174"/>
      <c r="M45" s="174"/>
      <c r="N45" s="174">
        <f>2500+666.184</f>
        <v>3166.184</v>
      </c>
      <c r="O45" s="334">
        <f>2500+666.184</f>
        <v>3166.184</v>
      </c>
      <c r="P45" s="334">
        <f>2500+666.184</f>
        <v>3166.184</v>
      </c>
      <c r="Q45" s="334">
        <f>2500+666.184</f>
        <v>3166.184</v>
      </c>
      <c r="R45" s="328">
        <f>Q45</f>
        <v>3166.184</v>
      </c>
      <c r="S45" s="180">
        <f>D45-E45</f>
        <v>1833.8159999999998</v>
      </c>
      <c r="T45" s="9"/>
      <c r="U45" s="210" t="s">
        <v>136</v>
      </c>
      <c r="V45" s="7">
        <f t="shared" si="0"/>
        <v>0</v>
      </c>
    </row>
    <row r="46" spans="1:22" s="189" customFormat="1" ht="30.75" customHeight="1">
      <c r="A46" s="12">
        <v>3</v>
      </c>
      <c r="B46" s="28" t="s">
        <v>273</v>
      </c>
      <c r="C46" s="10" t="s">
        <v>158</v>
      </c>
      <c r="D46" s="188">
        <v>5200</v>
      </c>
      <c r="E46" s="174">
        <v>4000</v>
      </c>
      <c r="F46" s="174">
        <v>3000</v>
      </c>
      <c r="G46" s="174">
        <v>4000</v>
      </c>
      <c r="H46" s="174"/>
      <c r="I46" s="174"/>
      <c r="J46" s="174"/>
      <c r="K46" s="174"/>
      <c r="L46" s="174"/>
      <c r="M46" s="174"/>
      <c r="N46" s="174"/>
      <c r="O46" s="175">
        <v>4320</v>
      </c>
      <c r="P46" s="174">
        <v>4354</v>
      </c>
      <c r="Q46" s="175">
        <v>4000</v>
      </c>
      <c r="R46" s="174">
        <v>4034</v>
      </c>
      <c r="S46" s="180">
        <v>1166</v>
      </c>
      <c r="T46" s="9"/>
      <c r="U46" s="210" t="s">
        <v>136</v>
      </c>
      <c r="V46" s="7">
        <f t="shared" si="0"/>
        <v>0</v>
      </c>
    </row>
    <row r="47" spans="1:22" s="189" customFormat="1" ht="33" customHeight="1">
      <c r="A47" s="12">
        <v>4</v>
      </c>
      <c r="B47" s="40" t="s">
        <v>272</v>
      </c>
      <c r="C47" s="10" t="s">
        <v>71</v>
      </c>
      <c r="D47" s="188">
        <v>1730</v>
      </c>
      <c r="E47" s="174">
        <v>1000</v>
      </c>
      <c r="F47" s="174">
        <v>1000</v>
      </c>
      <c r="G47" s="174"/>
      <c r="H47" s="174"/>
      <c r="I47" s="174"/>
      <c r="J47" s="174"/>
      <c r="K47" s="174"/>
      <c r="L47" s="174"/>
      <c r="M47" s="174"/>
      <c r="N47" s="174"/>
      <c r="O47" s="175">
        <v>1476</v>
      </c>
      <c r="P47" s="174">
        <v>1500</v>
      </c>
      <c r="Q47" s="175">
        <v>1000</v>
      </c>
      <c r="R47" s="174">
        <v>1000</v>
      </c>
      <c r="S47" s="180">
        <v>730</v>
      </c>
      <c r="T47" s="9"/>
      <c r="U47" s="210" t="s">
        <v>136</v>
      </c>
      <c r="V47" s="7">
        <f t="shared" si="0"/>
        <v>0</v>
      </c>
    </row>
    <row r="48" spans="1:22" s="189" customFormat="1" ht="33" customHeight="1">
      <c r="A48" s="12">
        <v>5</v>
      </c>
      <c r="B48" s="40" t="s">
        <v>271</v>
      </c>
      <c r="C48" s="10" t="s">
        <v>190</v>
      </c>
      <c r="D48" s="188">
        <v>4860</v>
      </c>
      <c r="E48" s="174">
        <v>3050</v>
      </c>
      <c r="F48" s="174">
        <v>3000</v>
      </c>
      <c r="G48" s="174">
        <v>3050</v>
      </c>
      <c r="H48" s="174"/>
      <c r="I48" s="174"/>
      <c r="J48" s="174"/>
      <c r="K48" s="174"/>
      <c r="L48" s="174"/>
      <c r="M48" s="174"/>
      <c r="N48" s="174"/>
      <c r="O48" s="175">
        <v>2000</v>
      </c>
      <c r="P48" s="174">
        <v>2000</v>
      </c>
      <c r="Q48" s="175">
        <v>3050</v>
      </c>
      <c r="R48" s="174">
        <v>3050</v>
      </c>
      <c r="S48" s="180">
        <f>D48-E48</f>
        <v>1810</v>
      </c>
      <c r="T48" s="9"/>
      <c r="U48" s="210" t="s">
        <v>136</v>
      </c>
      <c r="V48" s="7">
        <f t="shared" si="0"/>
        <v>0</v>
      </c>
    </row>
    <row r="49" spans="1:22" s="189" customFormat="1" ht="33" customHeight="1">
      <c r="A49" s="12">
        <v>6</v>
      </c>
      <c r="B49" s="40" t="s">
        <v>270</v>
      </c>
      <c r="C49" s="10" t="s">
        <v>190</v>
      </c>
      <c r="D49" s="188">
        <v>2700</v>
      </c>
      <c r="E49" s="174">
        <v>2400</v>
      </c>
      <c r="F49" s="174">
        <v>1000</v>
      </c>
      <c r="G49" s="174">
        <v>2400</v>
      </c>
      <c r="H49" s="174"/>
      <c r="I49" s="174"/>
      <c r="J49" s="174"/>
      <c r="K49" s="174"/>
      <c r="L49" s="174"/>
      <c r="M49" s="174"/>
      <c r="N49" s="174"/>
      <c r="O49" s="175">
        <v>1800</v>
      </c>
      <c r="P49" s="174">
        <v>1800</v>
      </c>
      <c r="Q49" s="175">
        <v>2400</v>
      </c>
      <c r="R49" s="174">
        <v>2400</v>
      </c>
      <c r="S49" s="180">
        <v>300</v>
      </c>
      <c r="T49" s="9"/>
      <c r="U49" s="210" t="s">
        <v>136</v>
      </c>
      <c r="V49" s="7">
        <f t="shared" si="0"/>
        <v>0</v>
      </c>
    </row>
    <row r="50" spans="1:22" s="189" customFormat="1" ht="33" customHeight="1">
      <c r="A50" s="12">
        <v>7</v>
      </c>
      <c r="B50" s="40" t="s">
        <v>269</v>
      </c>
      <c r="C50" s="10" t="s">
        <v>190</v>
      </c>
      <c r="D50" s="188">
        <v>8000</v>
      </c>
      <c r="E50" s="174">
        <v>4500</v>
      </c>
      <c r="F50" s="174">
        <v>3000</v>
      </c>
      <c r="G50" s="174">
        <v>4500</v>
      </c>
      <c r="H50" s="174"/>
      <c r="I50" s="174"/>
      <c r="J50" s="174"/>
      <c r="K50" s="174"/>
      <c r="L50" s="174"/>
      <c r="M50" s="174"/>
      <c r="N50" s="174"/>
      <c r="O50" s="175">
        <v>2000</v>
      </c>
      <c r="P50" s="174">
        <v>2000</v>
      </c>
      <c r="Q50" s="175">
        <v>4500</v>
      </c>
      <c r="R50" s="174">
        <v>4500</v>
      </c>
      <c r="S50" s="180">
        <v>3500</v>
      </c>
      <c r="T50" s="9"/>
      <c r="U50" s="210" t="s">
        <v>136</v>
      </c>
      <c r="V50" s="7">
        <f t="shared" si="0"/>
        <v>0</v>
      </c>
    </row>
    <row r="51" spans="1:22" s="189" customFormat="1" ht="33" customHeight="1">
      <c r="A51" s="178"/>
      <c r="B51" s="179" t="s">
        <v>229</v>
      </c>
      <c r="C51" s="192"/>
      <c r="D51" s="193"/>
      <c r="E51" s="194"/>
      <c r="F51" s="194"/>
      <c r="G51" s="194"/>
      <c r="H51" s="194"/>
      <c r="I51" s="194"/>
      <c r="J51" s="194"/>
      <c r="K51" s="194"/>
      <c r="L51" s="194"/>
      <c r="M51" s="194"/>
      <c r="N51" s="194"/>
      <c r="O51" s="175"/>
      <c r="P51" s="194"/>
      <c r="Q51" s="175"/>
      <c r="R51" s="194"/>
      <c r="S51" s="180"/>
      <c r="T51" s="9"/>
      <c r="U51" s="8"/>
      <c r="V51" s="7">
        <f t="shared" si="0"/>
        <v>0</v>
      </c>
    </row>
    <row r="52" spans="1:22" s="189" customFormat="1" ht="33" customHeight="1">
      <c r="A52" s="12">
        <v>8</v>
      </c>
      <c r="B52" s="40" t="s">
        <v>268</v>
      </c>
      <c r="C52" s="10" t="s">
        <v>250</v>
      </c>
      <c r="D52" s="188">
        <v>1750</v>
      </c>
      <c r="E52" s="174">
        <v>800</v>
      </c>
      <c r="F52" s="174"/>
      <c r="G52" s="174">
        <v>800</v>
      </c>
      <c r="H52" s="174"/>
      <c r="I52" s="174"/>
      <c r="J52" s="174"/>
      <c r="K52" s="174"/>
      <c r="L52" s="174"/>
      <c r="M52" s="174"/>
      <c r="N52" s="174"/>
      <c r="O52" s="334">
        <v>800</v>
      </c>
      <c r="P52" s="328">
        <v>800</v>
      </c>
      <c r="Q52" s="328">
        <v>800</v>
      </c>
      <c r="R52" s="328">
        <v>800</v>
      </c>
      <c r="S52" s="180">
        <v>950</v>
      </c>
      <c r="T52" s="9"/>
      <c r="U52" s="210" t="s">
        <v>136</v>
      </c>
      <c r="V52" s="7">
        <f t="shared" si="0"/>
        <v>0</v>
      </c>
    </row>
    <row r="53" spans="1:22" s="189" customFormat="1" ht="33" customHeight="1">
      <c r="A53" s="12">
        <v>9</v>
      </c>
      <c r="B53" s="40" t="s">
        <v>267</v>
      </c>
      <c r="C53" s="10" t="s">
        <v>250</v>
      </c>
      <c r="D53" s="188">
        <v>3000</v>
      </c>
      <c r="E53" s="174">
        <v>1050</v>
      </c>
      <c r="F53" s="174"/>
      <c r="G53" s="174">
        <v>1050</v>
      </c>
      <c r="H53" s="174"/>
      <c r="I53" s="174"/>
      <c r="J53" s="174"/>
      <c r="K53" s="174"/>
      <c r="L53" s="174"/>
      <c r="M53" s="174"/>
      <c r="N53" s="174"/>
      <c r="O53" s="175">
        <v>1050</v>
      </c>
      <c r="P53" s="174">
        <v>1050</v>
      </c>
      <c r="Q53" s="174">
        <v>1050</v>
      </c>
      <c r="R53" s="174">
        <v>1050</v>
      </c>
      <c r="S53" s="180">
        <v>1950</v>
      </c>
      <c r="T53" s="9"/>
      <c r="U53" s="210" t="s">
        <v>136</v>
      </c>
      <c r="V53" s="7">
        <f t="shared" si="0"/>
        <v>0</v>
      </c>
    </row>
    <row r="54" spans="1:22" s="189" customFormat="1" ht="33" customHeight="1">
      <c r="A54" s="12">
        <v>10</v>
      </c>
      <c r="B54" s="40" t="s">
        <v>266</v>
      </c>
      <c r="C54" s="10" t="s">
        <v>250</v>
      </c>
      <c r="D54" s="188">
        <v>2650</v>
      </c>
      <c r="E54" s="174">
        <v>2000</v>
      </c>
      <c r="F54" s="174"/>
      <c r="G54" s="174">
        <v>2000</v>
      </c>
      <c r="H54" s="174"/>
      <c r="I54" s="174"/>
      <c r="J54" s="174"/>
      <c r="K54" s="174"/>
      <c r="L54" s="174"/>
      <c r="M54" s="174"/>
      <c r="N54" s="174"/>
      <c r="O54" s="175">
        <v>2000</v>
      </c>
      <c r="P54" s="174">
        <v>2000</v>
      </c>
      <c r="Q54" s="174">
        <v>2000</v>
      </c>
      <c r="R54" s="174">
        <v>2000</v>
      </c>
      <c r="S54" s="180">
        <v>1000</v>
      </c>
      <c r="T54" s="9"/>
      <c r="U54" s="210" t="s">
        <v>136</v>
      </c>
      <c r="V54" s="7">
        <f t="shared" si="0"/>
        <v>0</v>
      </c>
    </row>
    <row r="55" spans="1:22" s="189" customFormat="1" ht="33" customHeight="1">
      <c r="A55" s="12">
        <v>11</v>
      </c>
      <c r="B55" s="40" t="s">
        <v>265</v>
      </c>
      <c r="C55" s="10" t="s">
        <v>71</v>
      </c>
      <c r="D55" s="188">
        <v>7500</v>
      </c>
      <c r="E55" s="174">
        <v>3006</v>
      </c>
      <c r="F55" s="174"/>
      <c r="G55" s="174">
        <v>3006</v>
      </c>
      <c r="H55" s="174"/>
      <c r="I55" s="174"/>
      <c r="J55" s="174"/>
      <c r="K55" s="174"/>
      <c r="L55" s="174"/>
      <c r="M55" s="174"/>
      <c r="N55" s="174"/>
      <c r="O55" s="175">
        <v>3006</v>
      </c>
      <c r="P55" s="174">
        <v>3006</v>
      </c>
      <c r="Q55" s="174">
        <v>3006</v>
      </c>
      <c r="R55" s="174">
        <v>3006</v>
      </c>
      <c r="S55" s="180">
        <v>4494</v>
      </c>
      <c r="T55" s="9"/>
      <c r="U55" s="210" t="s">
        <v>136</v>
      </c>
      <c r="V55" s="7">
        <f t="shared" si="0"/>
        <v>0</v>
      </c>
    </row>
    <row r="56" spans="1:23" s="347" customFormat="1" ht="33" customHeight="1">
      <c r="A56" s="340">
        <v>6</v>
      </c>
      <c r="B56" s="341" t="s">
        <v>202</v>
      </c>
      <c r="C56" s="342" t="s">
        <v>50</v>
      </c>
      <c r="D56" s="346">
        <v>3200</v>
      </c>
      <c r="E56" s="329">
        <v>1100</v>
      </c>
      <c r="F56" s="329"/>
      <c r="G56" s="329"/>
      <c r="H56" s="329"/>
      <c r="I56" s="329"/>
      <c r="J56" s="329"/>
      <c r="K56" s="329"/>
      <c r="L56" s="329"/>
      <c r="M56" s="329"/>
      <c r="N56" s="329">
        <v>1100</v>
      </c>
      <c r="O56" s="329">
        <v>200</v>
      </c>
      <c r="P56" s="329">
        <v>200</v>
      </c>
      <c r="Q56" s="329">
        <v>1100</v>
      </c>
      <c r="R56" s="329">
        <v>1100</v>
      </c>
      <c r="S56" s="329">
        <v>1000</v>
      </c>
      <c r="T56" s="9"/>
      <c r="U56" s="315"/>
      <c r="W56" s="348"/>
    </row>
    <row r="57" spans="1:23" s="347" customFormat="1" ht="33" customHeight="1">
      <c r="A57" s="340">
        <v>7</v>
      </c>
      <c r="B57" s="341" t="s">
        <v>200</v>
      </c>
      <c r="C57" s="342" t="s">
        <v>197</v>
      </c>
      <c r="D57" s="346">
        <v>5300</v>
      </c>
      <c r="E57" s="329">
        <v>2500</v>
      </c>
      <c r="F57" s="329"/>
      <c r="G57" s="329"/>
      <c r="H57" s="329"/>
      <c r="I57" s="329"/>
      <c r="J57" s="329"/>
      <c r="K57" s="329"/>
      <c r="L57" s="329"/>
      <c r="M57" s="329"/>
      <c r="N57" s="329">
        <v>2500</v>
      </c>
      <c r="O57" s="329">
        <v>200</v>
      </c>
      <c r="P57" s="329">
        <v>200</v>
      </c>
      <c r="Q57" s="329">
        <v>2500</v>
      </c>
      <c r="R57" s="329">
        <v>2500</v>
      </c>
      <c r="S57" s="329">
        <v>2500</v>
      </c>
      <c r="T57" s="9"/>
      <c r="U57" s="315"/>
      <c r="W57" s="348"/>
    </row>
    <row r="58" spans="1:23" s="347" customFormat="1" ht="33" customHeight="1">
      <c r="A58" s="340">
        <v>8</v>
      </c>
      <c r="B58" s="341" t="s">
        <v>199</v>
      </c>
      <c r="C58" s="342" t="s">
        <v>81</v>
      </c>
      <c r="D58" s="346">
        <v>3600</v>
      </c>
      <c r="E58" s="329">
        <v>1000</v>
      </c>
      <c r="F58" s="329"/>
      <c r="G58" s="329"/>
      <c r="H58" s="329"/>
      <c r="I58" s="329"/>
      <c r="J58" s="329"/>
      <c r="K58" s="329"/>
      <c r="L58" s="329"/>
      <c r="M58" s="329"/>
      <c r="N58" s="329">
        <v>1000</v>
      </c>
      <c r="O58" s="329">
        <v>100</v>
      </c>
      <c r="P58" s="329">
        <v>100</v>
      </c>
      <c r="Q58" s="329">
        <v>1000</v>
      </c>
      <c r="R58" s="329">
        <v>1000</v>
      </c>
      <c r="S58" s="329">
        <v>1800</v>
      </c>
      <c r="T58" s="9"/>
      <c r="U58" s="315"/>
      <c r="W58" s="348"/>
    </row>
    <row r="59" spans="1:23" s="347" customFormat="1" ht="33" customHeight="1">
      <c r="A59" s="340">
        <v>9</v>
      </c>
      <c r="B59" s="341" t="s">
        <v>191</v>
      </c>
      <c r="C59" s="342" t="s">
        <v>190</v>
      </c>
      <c r="D59" s="346">
        <v>2600</v>
      </c>
      <c r="E59" s="329">
        <v>1300</v>
      </c>
      <c r="F59" s="329"/>
      <c r="G59" s="329"/>
      <c r="H59" s="329"/>
      <c r="I59" s="329"/>
      <c r="J59" s="329"/>
      <c r="K59" s="329"/>
      <c r="L59" s="329"/>
      <c r="M59" s="329"/>
      <c r="N59" s="329">
        <v>1300</v>
      </c>
      <c r="O59" s="329">
        <v>100</v>
      </c>
      <c r="P59" s="329">
        <v>100</v>
      </c>
      <c r="Q59" s="329">
        <v>1300</v>
      </c>
      <c r="R59" s="329">
        <v>1300</v>
      </c>
      <c r="S59" s="329">
        <v>1000</v>
      </c>
      <c r="T59" s="9"/>
      <c r="U59" s="315"/>
      <c r="W59" s="348"/>
    </row>
    <row r="60" spans="1:23" s="347" customFormat="1" ht="39.75" customHeight="1">
      <c r="A60" s="340">
        <v>10</v>
      </c>
      <c r="B60" s="341" t="s">
        <v>184</v>
      </c>
      <c r="C60" s="342" t="s">
        <v>183</v>
      </c>
      <c r="D60" s="346">
        <v>5000</v>
      </c>
      <c r="E60" s="329">
        <v>1478.09304</v>
      </c>
      <c r="F60" s="329"/>
      <c r="G60" s="329"/>
      <c r="H60" s="329"/>
      <c r="I60" s="329"/>
      <c r="J60" s="329"/>
      <c r="K60" s="329"/>
      <c r="L60" s="329"/>
      <c r="M60" s="329"/>
      <c r="N60" s="329">
        <v>1478.09304</v>
      </c>
      <c r="O60" s="329">
        <v>200</v>
      </c>
      <c r="P60" s="329">
        <v>200</v>
      </c>
      <c r="Q60" s="329">
        <v>1478.09304</v>
      </c>
      <c r="R60" s="329">
        <v>1478.09304</v>
      </c>
      <c r="S60" s="329">
        <v>2000</v>
      </c>
      <c r="T60" s="9"/>
      <c r="U60" s="349"/>
      <c r="W60" s="348"/>
    </row>
    <row r="61" spans="1:22" ht="32.25" customHeight="1">
      <c r="A61" s="33" t="s">
        <v>85</v>
      </c>
      <c r="B61" s="16" t="s">
        <v>264</v>
      </c>
      <c r="C61" s="15"/>
      <c r="D61" s="186">
        <f>D62+D76</f>
        <v>31050</v>
      </c>
      <c r="E61" s="186">
        <f>E62+E76</f>
        <v>9224.89</v>
      </c>
      <c r="F61" s="186"/>
      <c r="G61" s="186"/>
      <c r="H61" s="186"/>
      <c r="I61" s="186"/>
      <c r="J61" s="186"/>
      <c r="K61" s="186"/>
      <c r="L61" s="186"/>
      <c r="M61" s="186"/>
      <c r="N61" s="186"/>
      <c r="O61" s="186">
        <f>O62+O76</f>
        <v>6960</v>
      </c>
      <c r="P61" s="186">
        <f>P62+P76</f>
        <v>23749.131</v>
      </c>
      <c r="Q61" s="186">
        <f>Q62+Q76</f>
        <v>9224.936</v>
      </c>
      <c r="R61" s="186">
        <f>R62+R76</f>
        <v>25051.785</v>
      </c>
      <c r="S61" s="186">
        <f>S62+S76</f>
        <v>3226</v>
      </c>
      <c r="T61" s="195"/>
      <c r="U61" s="150"/>
      <c r="V61" s="7">
        <f t="shared" si="0"/>
        <v>-0.046000000000276486</v>
      </c>
    </row>
    <row r="62" spans="1:22" s="13" customFormat="1" ht="32.25" customHeight="1">
      <c r="A62" s="33" t="s">
        <v>263</v>
      </c>
      <c r="B62" s="16" t="s">
        <v>245</v>
      </c>
      <c r="C62" s="168"/>
      <c r="D62" s="186">
        <f>D63</f>
        <v>22120</v>
      </c>
      <c r="E62" s="186">
        <f>E63</f>
        <v>3370.8900000000003</v>
      </c>
      <c r="F62" s="186"/>
      <c r="G62" s="186"/>
      <c r="H62" s="186"/>
      <c r="I62" s="186"/>
      <c r="J62" s="186"/>
      <c r="K62" s="186"/>
      <c r="L62" s="186"/>
      <c r="M62" s="186"/>
      <c r="N62" s="186"/>
      <c r="O62" s="186">
        <f>O63</f>
        <v>1344</v>
      </c>
      <c r="P62" s="186">
        <f>P63</f>
        <v>18099.131</v>
      </c>
      <c r="Q62" s="186">
        <f>Q63</f>
        <v>3370.936</v>
      </c>
      <c r="R62" s="186">
        <f>R63</f>
        <v>19197.785</v>
      </c>
      <c r="S62" s="186">
        <f>S63</f>
        <v>400</v>
      </c>
      <c r="T62" s="9"/>
      <c r="U62" s="187"/>
      <c r="V62" s="7">
        <f t="shared" si="0"/>
        <v>-0.04599999999982174</v>
      </c>
    </row>
    <row r="63" spans="1:22" s="13" customFormat="1" ht="33.75" customHeight="1">
      <c r="A63" s="33" t="s">
        <v>18</v>
      </c>
      <c r="B63" s="16" t="s">
        <v>233</v>
      </c>
      <c r="C63" s="168"/>
      <c r="D63" s="169">
        <f>SUM(D64:D75)</f>
        <v>22120</v>
      </c>
      <c r="E63" s="169">
        <f>SUM(E64:E75)</f>
        <v>3370.8900000000003</v>
      </c>
      <c r="F63" s="169"/>
      <c r="G63" s="169"/>
      <c r="H63" s="169"/>
      <c r="I63" s="169"/>
      <c r="J63" s="169"/>
      <c r="K63" s="169"/>
      <c r="L63" s="169"/>
      <c r="M63" s="169"/>
      <c r="N63" s="169"/>
      <c r="O63" s="169">
        <f>SUM(O64:O75)</f>
        <v>1344</v>
      </c>
      <c r="P63" s="169">
        <f>SUM(P64:P75)</f>
        <v>18099.131</v>
      </c>
      <c r="Q63" s="169">
        <f>SUM(Q64:Q75)</f>
        <v>3370.936</v>
      </c>
      <c r="R63" s="169">
        <f>SUM(R64:R75)</f>
        <v>19197.785</v>
      </c>
      <c r="S63" s="169">
        <f>SUM(S64:S75)</f>
        <v>400</v>
      </c>
      <c r="T63" s="14"/>
      <c r="U63" s="171"/>
      <c r="V63" s="7">
        <f t="shared" si="0"/>
        <v>-0.04599999999982174</v>
      </c>
    </row>
    <row r="64" spans="1:23" ht="33.75" customHeight="1">
      <c r="A64" s="29">
        <v>1</v>
      </c>
      <c r="B64" s="40" t="s">
        <v>485</v>
      </c>
      <c r="C64" s="10" t="s">
        <v>499</v>
      </c>
      <c r="D64" s="188">
        <v>1000</v>
      </c>
      <c r="E64" s="174">
        <v>22.824</v>
      </c>
      <c r="F64" s="174">
        <v>33</v>
      </c>
      <c r="G64" s="174">
        <v>-33</v>
      </c>
      <c r="H64" s="174"/>
      <c r="I64" s="174"/>
      <c r="J64" s="174"/>
      <c r="K64" s="174"/>
      <c r="L64" s="174"/>
      <c r="M64" s="174">
        <v>22.824</v>
      </c>
      <c r="N64" s="174"/>
      <c r="O64" s="174"/>
      <c r="P64" s="174">
        <v>931.649</v>
      </c>
      <c r="Q64" s="174">
        <v>22.824</v>
      </c>
      <c r="R64" s="174">
        <v>931.649</v>
      </c>
      <c r="S64" s="180"/>
      <c r="T64" s="9"/>
      <c r="U64" s="210" t="s">
        <v>136</v>
      </c>
      <c r="V64" s="7">
        <f t="shared" si="0"/>
        <v>0</v>
      </c>
      <c r="W64" s="147"/>
    </row>
    <row r="65" spans="1:23" ht="33.75" customHeight="1">
      <c r="A65" s="29">
        <v>2</v>
      </c>
      <c r="B65" s="40" t="s">
        <v>486</v>
      </c>
      <c r="C65" s="10" t="s">
        <v>143</v>
      </c>
      <c r="D65" s="188">
        <v>1500</v>
      </c>
      <c r="E65" s="174">
        <v>20.05</v>
      </c>
      <c r="F65" s="174"/>
      <c r="G65" s="174"/>
      <c r="H65" s="174"/>
      <c r="I65" s="174"/>
      <c r="J65" s="174"/>
      <c r="K65" s="174"/>
      <c r="L65" s="174"/>
      <c r="M65" s="174">
        <v>20.05</v>
      </c>
      <c r="N65" s="174"/>
      <c r="O65" s="174"/>
      <c r="P65" s="174">
        <v>1351.898</v>
      </c>
      <c r="Q65" s="174">
        <v>20.05</v>
      </c>
      <c r="R65" s="174">
        <v>1351.898</v>
      </c>
      <c r="S65" s="180"/>
      <c r="T65" s="352"/>
      <c r="U65" s="210"/>
      <c r="V65" s="7"/>
      <c r="W65" s="147"/>
    </row>
    <row r="66" spans="1:23" ht="33.75" customHeight="1">
      <c r="A66" s="29">
        <v>3</v>
      </c>
      <c r="B66" s="40" t="s">
        <v>487</v>
      </c>
      <c r="C66" s="10" t="s">
        <v>143</v>
      </c>
      <c r="D66" s="188">
        <v>1100</v>
      </c>
      <c r="E66" s="174">
        <v>65.895</v>
      </c>
      <c r="F66" s="174"/>
      <c r="G66" s="174"/>
      <c r="H66" s="174"/>
      <c r="I66" s="174"/>
      <c r="J66" s="174"/>
      <c r="K66" s="174"/>
      <c r="L66" s="174"/>
      <c r="M66" s="174">
        <v>65.895</v>
      </c>
      <c r="N66" s="174"/>
      <c r="O66" s="174"/>
      <c r="P66" s="174">
        <v>1065.895</v>
      </c>
      <c r="Q66" s="174">
        <v>65.895</v>
      </c>
      <c r="R66" s="174">
        <v>1065.895</v>
      </c>
      <c r="S66" s="180"/>
      <c r="T66" s="352"/>
      <c r="U66" s="210"/>
      <c r="V66" s="7"/>
      <c r="W66" s="147"/>
    </row>
    <row r="67" spans="1:23" ht="33.75" customHeight="1">
      <c r="A67" s="29">
        <v>4</v>
      </c>
      <c r="B67" s="40" t="s">
        <v>488</v>
      </c>
      <c r="C67" s="10" t="s">
        <v>193</v>
      </c>
      <c r="D67" s="188">
        <v>850</v>
      </c>
      <c r="E67" s="174">
        <v>39.848</v>
      </c>
      <c r="F67" s="174"/>
      <c r="G67" s="174"/>
      <c r="H67" s="174"/>
      <c r="I67" s="174"/>
      <c r="J67" s="174"/>
      <c r="K67" s="174"/>
      <c r="L67" s="174"/>
      <c r="M67" s="174">
        <v>39.848</v>
      </c>
      <c r="N67" s="174"/>
      <c r="O67" s="174"/>
      <c r="P67" s="174">
        <v>823.451</v>
      </c>
      <c r="Q67" s="174">
        <v>39.848</v>
      </c>
      <c r="R67" s="174">
        <v>823.451</v>
      </c>
      <c r="S67" s="180"/>
      <c r="T67" s="352"/>
      <c r="U67" s="210"/>
      <c r="V67" s="7"/>
      <c r="W67" s="147"/>
    </row>
    <row r="68" spans="1:23" ht="33.75" customHeight="1">
      <c r="A68" s="29">
        <v>5</v>
      </c>
      <c r="B68" s="40" t="s">
        <v>490</v>
      </c>
      <c r="C68" s="10" t="s">
        <v>193</v>
      </c>
      <c r="D68" s="188">
        <v>2400</v>
      </c>
      <c r="E68" s="174">
        <v>98.167</v>
      </c>
      <c r="F68" s="174">
        <v>600</v>
      </c>
      <c r="G68" s="174">
        <v>-600</v>
      </c>
      <c r="H68" s="174"/>
      <c r="I68" s="174"/>
      <c r="J68" s="174"/>
      <c r="K68" s="174"/>
      <c r="L68" s="174"/>
      <c r="M68" s="174">
        <v>98.167</v>
      </c>
      <c r="N68" s="174"/>
      <c r="O68" s="174"/>
      <c r="P68" s="174">
        <v>2018.611</v>
      </c>
      <c r="Q68" s="174">
        <v>98.167</v>
      </c>
      <c r="R68" s="174">
        <v>2018.611</v>
      </c>
      <c r="S68" s="180"/>
      <c r="T68" s="352"/>
      <c r="U68" s="210"/>
      <c r="V68" s="7"/>
      <c r="W68" s="147"/>
    </row>
    <row r="69" spans="1:23" ht="33.75" customHeight="1">
      <c r="A69" s="29">
        <v>6</v>
      </c>
      <c r="B69" s="40" t="s">
        <v>489</v>
      </c>
      <c r="C69" s="10" t="s">
        <v>499</v>
      </c>
      <c r="D69" s="188">
        <v>3350</v>
      </c>
      <c r="E69" s="174">
        <v>95.399</v>
      </c>
      <c r="F69" s="174">
        <v>200</v>
      </c>
      <c r="G69" s="174">
        <v>-200</v>
      </c>
      <c r="H69" s="174"/>
      <c r="I69" s="174"/>
      <c r="J69" s="174"/>
      <c r="K69" s="174"/>
      <c r="L69" s="174"/>
      <c r="M69" s="174">
        <v>95.399</v>
      </c>
      <c r="N69" s="174"/>
      <c r="O69" s="174"/>
      <c r="P69" s="174">
        <v>3169.881</v>
      </c>
      <c r="Q69" s="174">
        <v>95.399</v>
      </c>
      <c r="R69" s="174">
        <v>3169.881</v>
      </c>
      <c r="S69" s="180"/>
      <c r="T69" s="352"/>
      <c r="U69" s="210"/>
      <c r="V69" s="7"/>
      <c r="W69" s="147"/>
    </row>
    <row r="70" spans="1:23" ht="33.75" customHeight="1">
      <c r="A70" s="29">
        <v>7</v>
      </c>
      <c r="B70" s="40" t="s">
        <v>262</v>
      </c>
      <c r="C70" s="10" t="s">
        <v>160</v>
      </c>
      <c r="D70" s="188">
        <v>3000</v>
      </c>
      <c r="E70" s="174">
        <v>134.026</v>
      </c>
      <c r="F70" s="174">
        <v>794</v>
      </c>
      <c r="G70" s="174">
        <v>15</v>
      </c>
      <c r="H70" s="174"/>
      <c r="I70" s="174"/>
      <c r="J70" s="174"/>
      <c r="K70" s="174"/>
      <c r="L70" s="174"/>
      <c r="M70" s="174">
        <v>119.026</v>
      </c>
      <c r="N70" s="174"/>
      <c r="O70" s="174"/>
      <c r="P70" s="174">
        <v>2793.4</v>
      </c>
      <c r="Q70" s="174">
        <v>134.026</v>
      </c>
      <c r="R70" s="174">
        <f>P70</f>
        <v>2793.4</v>
      </c>
      <c r="S70" s="180"/>
      <c r="T70" s="9"/>
      <c r="U70" s="210"/>
      <c r="V70" s="7"/>
      <c r="W70" s="147"/>
    </row>
    <row r="71" spans="1:22" ht="33.75" customHeight="1">
      <c r="A71" s="29">
        <v>8</v>
      </c>
      <c r="B71" s="40" t="s">
        <v>261</v>
      </c>
      <c r="C71" s="10" t="s">
        <v>250</v>
      </c>
      <c r="D71" s="188">
        <v>2000</v>
      </c>
      <c r="E71" s="174">
        <v>152.346</v>
      </c>
      <c r="F71" s="174">
        <v>200</v>
      </c>
      <c r="G71" s="174">
        <v>200</v>
      </c>
      <c r="H71" s="174"/>
      <c r="I71" s="174"/>
      <c r="J71" s="174"/>
      <c r="K71" s="174"/>
      <c r="L71" s="174"/>
      <c r="M71" s="174"/>
      <c r="N71" s="174">
        <v>152.346</v>
      </c>
      <c r="O71" s="174"/>
      <c r="P71" s="174">
        <v>1952.346</v>
      </c>
      <c r="Q71" s="174">
        <v>152.346</v>
      </c>
      <c r="R71" s="174">
        <f>P71</f>
        <v>1952.346</v>
      </c>
      <c r="S71" s="180"/>
      <c r="T71" s="9">
        <f>P71-R71</f>
        <v>0</v>
      </c>
      <c r="U71" s="210" t="s">
        <v>136</v>
      </c>
      <c r="V71" s="7">
        <f t="shared" si="0"/>
        <v>0</v>
      </c>
    </row>
    <row r="72" spans="1:22" ht="33.75" customHeight="1">
      <c r="A72" s="29">
        <v>9</v>
      </c>
      <c r="B72" s="11" t="s">
        <v>260</v>
      </c>
      <c r="C72" s="10" t="s">
        <v>158</v>
      </c>
      <c r="D72" s="174">
        <v>1700</v>
      </c>
      <c r="E72" s="174">
        <v>540</v>
      </c>
      <c r="F72" s="174">
        <v>200</v>
      </c>
      <c r="G72" s="174">
        <v>540</v>
      </c>
      <c r="H72" s="174"/>
      <c r="I72" s="174"/>
      <c r="J72" s="174"/>
      <c r="K72" s="174"/>
      <c r="L72" s="174"/>
      <c r="M72" s="174"/>
      <c r="N72" s="174"/>
      <c r="O72" s="174"/>
      <c r="P72" s="174">
        <v>1000</v>
      </c>
      <c r="Q72" s="174">
        <v>540</v>
      </c>
      <c r="R72" s="174">
        <v>1178.954</v>
      </c>
      <c r="S72" s="180"/>
      <c r="T72" s="9"/>
      <c r="U72" s="210" t="s">
        <v>136</v>
      </c>
      <c r="V72" s="7">
        <f t="shared" si="0"/>
        <v>0</v>
      </c>
    </row>
    <row r="73" spans="1:22" ht="33.75" customHeight="1">
      <c r="A73" s="29">
        <v>10</v>
      </c>
      <c r="B73" s="3" t="s">
        <v>259</v>
      </c>
      <c r="C73" s="10" t="s">
        <v>143</v>
      </c>
      <c r="D73" s="174">
        <v>1200</v>
      </c>
      <c r="E73" s="174">
        <v>94.681</v>
      </c>
      <c r="F73" s="174">
        <v>700</v>
      </c>
      <c r="G73" s="174">
        <v>44</v>
      </c>
      <c r="H73" s="174"/>
      <c r="I73" s="174"/>
      <c r="J73" s="174"/>
      <c r="K73" s="174"/>
      <c r="L73" s="174"/>
      <c r="M73" s="174">
        <v>50.681</v>
      </c>
      <c r="N73" s="174"/>
      <c r="O73" s="174">
        <v>44</v>
      </c>
      <c r="P73" s="174">
        <v>1044</v>
      </c>
      <c r="Q73" s="174">
        <v>94.681</v>
      </c>
      <c r="R73" s="174">
        <f>P73</f>
        <v>1044</v>
      </c>
      <c r="S73" s="180"/>
      <c r="T73" s="9"/>
      <c r="U73" s="210" t="s">
        <v>136</v>
      </c>
      <c r="V73" s="7">
        <f t="shared" si="0"/>
        <v>0</v>
      </c>
    </row>
    <row r="74" spans="1:22" ht="33.75" customHeight="1">
      <c r="A74" s="29">
        <v>11</v>
      </c>
      <c r="B74" s="11" t="s">
        <v>258</v>
      </c>
      <c r="C74" s="10" t="s">
        <v>158</v>
      </c>
      <c r="D74" s="174">
        <v>1520</v>
      </c>
      <c r="E74" s="328">
        <v>607.654</v>
      </c>
      <c r="F74" s="174">
        <v>300</v>
      </c>
      <c r="G74" s="174">
        <v>560</v>
      </c>
      <c r="H74" s="174"/>
      <c r="I74" s="174"/>
      <c r="J74" s="174"/>
      <c r="K74" s="174"/>
      <c r="L74" s="174"/>
      <c r="M74" s="174"/>
      <c r="N74" s="328">
        <v>607.654</v>
      </c>
      <c r="O74" s="174">
        <v>800</v>
      </c>
      <c r="P74" s="174">
        <v>1448</v>
      </c>
      <c r="Q74" s="328">
        <f>560+47.7</f>
        <v>607.7</v>
      </c>
      <c r="R74" s="328">
        <f>1320+47.7</f>
        <v>1367.7</v>
      </c>
      <c r="S74" s="180">
        <v>200</v>
      </c>
      <c r="T74" s="9"/>
      <c r="U74" s="210" t="s">
        <v>136</v>
      </c>
      <c r="V74" s="7">
        <f t="shared" si="0"/>
        <v>-0.04600000000004911</v>
      </c>
    </row>
    <row r="75" spans="1:22" ht="33.75" customHeight="1">
      <c r="A75" s="29">
        <v>12</v>
      </c>
      <c r="B75" s="11" t="s">
        <v>257</v>
      </c>
      <c r="C75" s="10" t="s">
        <v>50</v>
      </c>
      <c r="D75" s="174">
        <v>2500</v>
      </c>
      <c r="E75" s="174">
        <v>1500</v>
      </c>
      <c r="F75" s="174">
        <v>1000</v>
      </c>
      <c r="G75" s="174">
        <v>1500</v>
      </c>
      <c r="H75" s="174"/>
      <c r="I75" s="174"/>
      <c r="J75" s="174"/>
      <c r="K75" s="174"/>
      <c r="L75" s="174"/>
      <c r="M75" s="174"/>
      <c r="N75" s="174"/>
      <c r="O75" s="174">
        <v>500</v>
      </c>
      <c r="P75" s="174">
        <v>500</v>
      </c>
      <c r="Q75" s="174">
        <v>1500</v>
      </c>
      <c r="R75" s="174">
        <v>1500</v>
      </c>
      <c r="S75" s="180">
        <v>200</v>
      </c>
      <c r="T75" s="9"/>
      <c r="U75" s="210" t="s">
        <v>136</v>
      </c>
      <c r="V75" s="7">
        <f t="shared" si="0"/>
        <v>0</v>
      </c>
    </row>
    <row r="76" spans="1:22" s="13" customFormat="1" ht="33.75" customHeight="1">
      <c r="A76" s="196" t="s">
        <v>256</v>
      </c>
      <c r="B76" s="77" t="s">
        <v>234</v>
      </c>
      <c r="C76" s="15"/>
      <c r="D76" s="169">
        <f>D77</f>
        <v>8930</v>
      </c>
      <c r="E76" s="169">
        <f>E77</f>
        <v>5854</v>
      </c>
      <c r="F76" s="169"/>
      <c r="G76" s="169"/>
      <c r="H76" s="169"/>
      <c r="I76" s="169"/>
      <c r="J76" s="169"/>
      <c r="K76" s="169"/>
      <c r="L76" s="169"/>
      <c r="M76" s="169"/>
      <c r="N76" s="169"/>
      <c r="O76" s="169">
        <f>O77</f>
        <v>5616</v>
      </c>
      <c r="P76" s="169">
        <f>P77</f>
        <v>5650</v>
      </c>
      <c r="Q76" s="169">
        <f>Q77</f>
        <v>5854</v>
      </c>
      <c r="R76" s="169">
        <f>R77</f>
        <v>5854</v>
      </c>
      <c r="S76" s="169">
        <f>S77</f>
        <v>2826</v>
      </c>
      <c r="T76" s="14"/>
      <c r="U76" s="197"/>
      <c r="V76" s="7">
        <f t="shared" si="0"/>
        <v>0</v>
      </c>
    </row>
    <row r="77" spans="1:22" s="13" customFormat="1" ht="33.75" customHeight="1">
      <c r="A77" s="33" t="s">
        <v>18</v>
      </c>
      <c r="B77" s="16" t="s">
        <v>233</v>
      </c>
      <c r="C77" s="15"/>
      <c r="D77" s="169">
        <f>SUM(D78:D83)</f>
        <v>8930</v>
      </c>
      <c r="E77" s="169">
        <f>SUM(E78:E83)</f>
        <v>5854</v>
      </c>
      <c r="F77" s="169"/>
      <c r="G77" s="169"/>
      <c r="H77" s="169"/>
      <c r="I77" s="169"/>
      <c r="J77" s="169"/>
      <c r="K77" s="169"/>
      <c r="L77" s="169"/>
      <c r="M77" s="169"/>
      <c r="N77" s="169"/>
      <c r="O77" s="169">
        <f>SUM(O78:O83)</f>
        <v>5616</v>
      </c>
      <c r="P77" s="169">
        <f>SUM(P78:P83)</f>
        <v>5650</v>
      </c>
      <c r="Q77" s="169">
        <f>SUM(Q78:Q83)</f>
        <v>5854</v>
      </c>
      <c r="R77" s="169">
        <f>SUM(R78:R83)</f>
        <v>5854</v>
      </c>
      <c r="S77" s="169">
        <f>SUM(S78:S83)</f>
        <v>2826</v>
      </c>
      <c r="T77" s="14"/>
      <c r="U77" s="197"/>
      <c r="V77" s="7">
        <f t="shared" si="0"/>
        <v>0</v>
      </c>
    </row>
    <row r="78" spans="1:22" ht="33.75" customHeight="1">
      <c r="A78" s="184">
        <v>1</v>
      </c>
      <c r="B78" s="3" t="s">
        <v>255</v>
      </c>
      <c r="C78" s="10" t="s">
        <v>254</v>
      </c>
      <c r="D78" s="174">
        <v>1130</v>
      </c>
      <c r="E78" s="174">
        <v>704</v>
      </c>
      <c r="F78" s="174">
        <v>800</v>
      </c>
      <c r="G78" s="174">
        <v>704</v>
      </c>
      <c r="H78" s="174"/>
      <c r="I78" s="174"/>
      <c r="J78" s="174"/>
      <c r="K78" s="174"/>
      <c r="L78" s="174"/>
      <c r="M78" s="174"/>
      <c r="N78" s="174"/>
      <c r="O78" s="174">
        <v>936</v>
      </c>
      <c r="P78" s="174">
        <v>970</v>
      </c>
      <c r="Q78" s="174">
        <v>704</v>
      </c>
      <c r="R78" s="174">
        <v>704</v>
      </c>
      <c r="S78" s="180">
        <v>426</v>
      </c>
      <c r="T78" s="9"/>
      <c r="U78" s="210"/>
      <c r="V78" s="7"/>
    </row>
    <row r="79" spans="1:22" ht="33.75" customHeight="1">
      <c r="A79" s="184">
        <v>2</v>
      </c>
      <c r="B79" s="40" t="s">
        <v>253</v>
      </c>
      <c r="C79" s="10" t="s">
        <v>252</v>
      </c>
      <c r="D79" s="174">
        <v>1000</v>
      </c>
      <c r="E79" s="174">
        <v>500</v>
      </c>
      <c r="F79" s="174">
        <v>700</v>
      </c>
      <c r="G79" s="174">
        <v>500</v>
      </c>
      <c r="H79" s="174"/>
      <c r="I79" s="174"/>
      <c r="J79" s="174"/>
      <c r="K79" s="174"/>
      <c r="L79" s="174"/>
      <c r="M79" s="174"/>
      <c r="N79" s="174"/>
      <c r="O79" s="174">
        <v>530</v>
      </c>
      <c r="P79" s="174">
        <v>530</v>
      </c>
      <c r="Q79" s="174">
        <v>500</v>
      </c>
      <c r="R79" s="174">
        <v>500</v>
      </c>
      <c r="S79" s="180">
        <v>250</v>
      </c>
      <c r="T79" s="9"/>
      <c r="U79" s="210" t="s">
        <v>136</v>
      </c>
      <c r="V79" s="7">
        <f t="shared" si="0"/>
        <v>0</v>
      </c>
    </row>
    <row r="80" spans="1:22" ht="33.75" customHeight="1">
      <c r="A80" s="198"/>
      <c r="B80" s="179" t="s">
        <v>229</v>
      </c>
      <c r="C80" s="192"/>
      <c r="D80" s="194"/>
      <c r="E80" s="194"/>
      <c r="F80" s="194"/>
      <c r="G80" s="194"/>
      <c r="H80" s="194"/>
      <c r="I80" s="194"/>
      <c r="J80" s="194"/>
      <c r="K80" s="194"/>
      <c r="L80" s="194"/>
      <c r="M80" s="194"/>
      <c r="N80" s="194"/>
      <c r="O80" s="174"/>
      <c r="P80" s="174"/>
      <c r="Q80" s="174"/>
      <c r="R80" s="175"/>
      <c r="S80" s="199"/>
      <c r="T80" s="9"/>
      <c r="U80" s="8"/>
      <c r="V80" s="7">
        <f t="shared" si="0"/>
        <v>0</v>
      </c>
    </row>
    <row r="81" spans="1:22" ht="33.75" customHeight="1">
      <c r="A81" s="184">
        <v>3</v>
      </c>
      <c r="B81" s="40" t="s">
        <v>251</v>
      </c>
      <c r="C81" s="10" t="s">
        <v>250</v>
      </c>
      <c r="D81" s="174">
        <v>2500</v>
      </c>
      <c r="E81" s="174">
        <v>1850</v>
      </c>
      <c r="F81" s="174"/>
      <c r="G81" s="174">
        <v>1850</v>
      </c>
      <c r="H81" s="174"/>
      <c r="I81" s="174"/>
      <c r="J81" s="174"/>
      <c r="K81" s="174"/>
      <c r="L81" s="174"/>
      <c r="M81" s="174"/>
      <c r="N81" s="174"/>
      <c r="O81" s="174">
        <v>1850</v>
      </c>
      <c r="P81" s="174">
        <v>1850</v>
      </c>
      <c r="Q81" s="174">
        <v>1850</v>
      </c>
      <c r="R81" s="174">
        <v>1850</v>
      </c>
      <c r="S81" s="180">
        <v>650</v>
      </c>
      <c r="T81" s="9"/>
      <c r="U81" s="210" t="s">
        <v>136</v>
      </c>
      <c r="V81" s="7">
        <f t="shared" si="0"/>
        <v>0</v>
      </c>
    </row>
    <row r="82" spans="1:22" ht="33.75" customHeight="1">
      <c r="A82" s="184">
        <v>4</v>
      </c>
      <c r="B82" s="40" t="s">
        <v>249</v>
      </c>
      <c r="C82" s="10" t="s">
        <v>64</v>
      </c>
      <c r="D82" s="174">
        <v>2500</v>
      </c>
      <c r="E82" s="174">
        <v>1500</v>
      </c>
      <c r="F82" s="174"/>
      <c r="G82" s="174">
        <v>1500</v>
      </c>
      <c r="H82" s="174"/>
      <c r="I82" s="174"/>
      <c r="J82" s="174"/>
      <c r="K82" s="174"/>
      <c r="L82" s="174"/>
      <c r="M82" s="174"/>
      <c r="N82" s="174"/>
      <c r="O82" s="174">
        <v>1500</v>
      </c>
      <c r="P82" s="174">
        <v>1500</v>
      </c>
      <c r="Q82" s="174">
        <v>1500</v>
      </c>
      <c r="R82" s="174">
        <v>1500</v>
      </c>
      <c r="S82" s="180">
        <v>1000</v>
      </c>
      <c r="T82" s="9"/>
      <c r="U82" s="210" t="s">
        <v>136</v>
      </c>
      <c r="V82" s="7">
        <f t="shared" si="0"/>
        <v>0</v>
      </c>
    </row>
    <row r="83" spans="1:22" ht="33.75" customHeight="1">
      <c r="A83" s="184">
        <v>5</v>
      </c>
      <c r="B83" s="40" t="s">
        <v>248</v>
      </c>
      <c r="C83" s="10" t="s">
        <v>163</v>
      </c>
      <c r="D83" s="174">
        <v>1800</v>
      </c>
      <c r="E83" s="174">
        <v>1300</v>
      </c>
      <c r="F83" s="174"/>
      <c r="G83" s="174">
        <v>1300</v>
      </c>
      <c r="H83" s="174"/>
      <c r="I83" s="174"/>
      <c r="J83" s="174"/>
      <c r="K83" s="174"/>
      <c r="L83" s="174"/>
      <c r="M83" s="174"/>
      <c r="N83" s="174"/>
      <c r="O83" s="174">
        <v>800</v>
      </c>
      <c r="P83" s="174">
        <v>800</v>
      </c>
      <c r="Q83" s="174">
        <v>1300</v>
      </c>
      <c r="R83" s="174">
        <v>1300</v>
      </c>
      <c r="S83" s="180">
        <v>500</v>
      </c>
      <c r="T83" s="9"/>
      <c r="U83" s="210" t="s">
        <v>136</v>
      </c>
      <c r="V83" s="7">
        <f t="shared" si="0"/>
        <v>0</v>
      </c>
    </row>
    <row r="84" spans="1:22" s="13" customFormat="1" ht="33.75" customHeight="1">
      <c r="A84" s="33" t="s">
        <v>55</v>
      </c>
      <c r="B84" s="42" t="s">
        <v>247</v>
      </c>
      <c r="C84" s="15"/>
      <c r="D84" s="190">
        <f>D85+D109</f>
        <v>85807.185</v>
      </c>
      <c r="E84" s="190">
        <f>E85+E109</f>
        <v>12207.922000000002</v>
      </c>
      <c r="F84" s="190"/>
      <c r="G84" s="190"/>
      <c r="H84" s="190"/>
      <c r="I84" s="190"/>
      <c r="J84" s="190"/>
      <c r="K84" s="190"/>
      <c r="L84" s="190"/>
      <c r="M84" s="190"/>
      <c r="N84" s="190"/>
      <c r="O84" s="190">
        <f>O85+O109</f>
        <v>12774.7</v>
      </c>
      <c r="P84" s="190">
        <f>P85+P109</f>
        <v>49987.988</v>
      </c>
      <c r="Q84" s="190">
        <f>Q85+Q109</f>
        <v>12175.622000000003</v>
      </c>
      <c r="R84" s="190">
        <f>R85+R109</f>
        <v>50384.058</v>
      </c>
      <c r="S84" s="190">
        <f>S85+S109</f>
        <v>30646.936</v>
      </c>
      <c r="T84" s="200"/>
      <c r="U84" s="1"/>
      <c r="V84" s="7"/>
    </row>
    <row r="85" spans="1:22" s="13" customFormat="1" ht="33.75" customHeight="1">
      <c r="A85" s="33" t="s">
        <v>246</v>
      </c>
      <c r="B85" s="77" t="s">
        <v>245</v>
      </c>
      <c r="C85" s="168"/>
      <c r="D85" s="186">
        <f>D86+D107</f>
        <v>80547.185</v>
      </c>
      <c r="E85" s="186">
        <f>E86+E107</f>
        <v>9567.922000000002</v>
      </c>
      <c r="F85" s="186"/>
      <c r="G85" s="186"/>
      <c r="H85" s="186"/>
      <c r="I85" s="186"/>
      <c r="J85" s="186"/>
      <c r="K85" s="186"/>
      <c r="L85" s="186"/>
      <c r="M85" s="186"/>
      <c r="N85" s="186"/>
      <c r="O85" s="186">
        <f>O86+O107</f>
        <v>9762.7</v>
      </c>
      <c r="P85" s="186">
        <f>P86+P107</f>
        <v>46876.988</v>
      </c>
      <c r="Q85" s="186">
        <f>Q86+Q107</f>
        <v>9535.622000000003</v>
      </c>
      <c r="R85" s="186">
        <f>R86+R107</f>
        <v>47744.058</v>
      </c>
      <c r="S85" s="186">
        <f>S86+S107</f>
        <v>28060</v>
      </c>
      <c r="T85" s="9"/>
      <c r="U85" s="187"/>
      <c r="V85" s="7"/>
    </row>
    <row r="86" spans="1:22" s="13" customFormat="1" ht="33.75" customHeight="1">
      <c r="A86" s="33" t="s">
        <v>18</v>
      </c>
      <c r="B86" s="16" t="s">
        <v>233</v>
      </c>
      <c r="C86" s="15"/>
      <c r="D86" s="169">
        <f>SUM(D87:D106)</f>
        <v>79782.185</v>
      </c>
      <c r="E86" s="169">
        <f>SUM(E87:E106)</f>
        <v>9538.922000000002</v>
      </c>
      <c r="F86" s="169"/>
      <c r="G86" s="169"/>
      <c r="H86" s="169"/>
      <c r="I86" s="169"/>
      <c r="J86" s="169"/>
      <c r="K86" s="169"/>
      <c r="L86" s="169"/>
      <c r="M86" s="169"/>
      <c r="N86" s="169"/>
      <c r="O86" s="169">
        <f>SUM(O87:O106)</f>
        <v>9762.7</v>
      </c>
      <c r="P86" s="169">
        <f>SUM(P87:P106)</f>
        <v>46148.687999999995</v>
      </c>
      <c r="Q86" s="169">
        <f>SUM(Q87:Q106)</f>
        <v>9506.922000000002</v>
      </c>
      <c r="R86" s="169">
        <f>SUM(R87:R106)</f>
        <v>47015.757999999994</v>
      </c>
      <c r="S86" s="169">
        <f>SUM(S87:S106)</f>
        <v>28060</v>
      </c>
      <c r="T86" s="14"/>
      <c r="U86" s="197"/>
      <c r="V86" s="7"/>
    </row>
    <row r="87" spans="1:22" ht="33.75" customHeight="1">
      <c r="A87" s="184">
        <v>1</v>
      </c>
      <c r="B87" s="3" t="s">
        <v>491</v>
      </c>
      <c r="C87" s="10" t="s">
        <v>185</v>
      </c>
      <c r="D87" s="174">
        <v>3900</v>
      </c>
      <c r="E87" s="174">
        <v>127.784</v>
      </c>
      <c r="F87" s="174"/>
      <c r="G87" s="174"/>
      <c r="H87" s="174"/>
      <c r="I87" s="174"/>
      <c r="J87" s="174"/>
      <c r="K87" s="174"/>
      <c r="L87" s="174"/>
      <c r="M87" s="174"/>
      <c r="N87" s="174">
        <v>127.784</v>
      </c>
      <c r="O87" s="174"/>
      <c r="P87" s="174">
        <v>3533.574</v>
      </c>
      <c r="Q87" s="174">
        <v>127.784</v>
      </c>
      <c r="R87" s="174">
        <v>3533.574</v>
      </c>
      <c r="S87" s="180"/>
      <c r="T87" s="9"/>
      <c r="U87" s="210" t="s">
        <v>136</v>
      </c>
      <c r="V87" s="7">
        <f>E87-Q87</f>
        <v>0</v>
      </c>
    </row>
    <row r="88" spans="1:22" ht="33.75" customHeight="1">
      <c r="A88" s="184">
        <v>2</v>
      </c>
      <c r="B88" s="3" t="s">
        <v>492</v>
      </c>
      <c r="C88" s="10" t="s">
        <v>40</v>
      </c>
      <c r="D88" s="174">
        <v>229.034</v>
      </c>
      <c r="E88" s="174">
        <v>84.742</v>
      </c>
      <c r="F88" s="174"/>
      <c r="G88" s="174"/>
      <c r="H88" s="174"/>
      <c r="I88" s="174"/>
      <c r="J88" s="174"/>
      <c r="K88" s="174"/>
      <c r="L88" s="174"/>
      <c r="M88" s="174"/>
      <c r="N88" s="174">
        <v>84.742</v>
      </c>
      <c r="O88" s="174"/>
      <c r="P88" s="174">
        <v>229.034</v>
      </c>
      <c r="Q88" s="174">
        <v>84.742</v>
      </c>
      <c r="R88" s="174">
        <v>229.034</v>
      </c>
      <c r="S88" s="180"/>
      <c r="T88" s="352"/>
      <c r="U88" s="210"/>
      <c r="V88" s="7"/>
    </row>
    <row r="89" spans="1:22" ht="33.75" customHeight="1">
      <c r="A89" s="184">
        <v>3</v>
      </c>
      <c r="B89" s="3" t="s">
        <v>493</v>
      </c>
      <c r="C89" s="10" t="s">
        <v>25</v>
      </c>
      <c r="D89" s="174">
        <v>1450</v>
      </c>
      <c r="E89" s="174">
        <v>7.272</v>
      </c>
      <c r="F89" s="174"/>
      <c r="G89" s="174"/>
      <c r="H89" s="174"/>
      <c r="I89" s="174"/>
      <c r="J89" s="174"/>
      <c r="K89" s="174"/>
      <c r="L89" s="174"/>
      <c r="M89" s="174"/>
      <c r="N89" s="174">
        <v>7.272</v>
      </c>
      <c r="O89" s="174"/>
      <c r="P89" s="174">
        <v>759.058</v>
      </c>
      <c r="Q89" s="174">
        <v>7.272</v>
      </c>
      <c r="R89" s="174">
        <v>759.058</v>
      </c>
      <c r="S89" s="180"/>
      <c r="T89" s="352"/>
      <c r="U89" s="210"/>
      <c r="V89" s="7"/>
    </row>
    <row r="90" spans="1:22" ht="33.75" customHeight="1">
      <c r="A90" s="184">
        <v>4</v>
      </c>
      <c r="B90" s="3" t="s">
        <v>494</v>
      </c>
      <c r="C90" s="10" t="s">
        <v>185</v>
      </c>
      <c r="D90" s="174">
        <v>255</v>
      </c>
      <c r="E90" s="174">
        <v>53.985</v>
      </c>
      <c r="F90" s="174"/>
      <c r="G90" s="174"/>
      <c r="H90" s="174"/>
      <c r="I90" s="174"/>
      <c r="J90" s="174"/>
      <c r="K90" s="174"/>
      <c r="L90" s="174"/>
      <c r="M90" s="174"/>
      <c r="N90" s="174">
        <v>53.985</v>
      </c>
      <c r="O90" s="174"/>
      <c r="P90" s="174">
        <v>253.985</v>
      </c>
      <c r="Q90" s="174">
        <v>53.985</v>
      </c>
      <c r="R90" s="174">
        <v>253.985</v>
      </c>
      <c r="S90" s="180"/>
      <c r="T90" s="352"/>
      <c r="U90" s="210"/>
      <c r="V90" s="7"/>
    </row>
    <row r="91" spans="1:22" ht="33.75" customHeight="1">
      <c r="A91" s="184">
        <v>5</v>
      </c>
      <c r="B91" s="3" t="s">
        <v>495</v>
      </c>
      <c r="C91" s="10" t="s">
        <v>45</v>
      </c>
      <c r="D91" s="174">
        <v>400</v>
      </c>
      <c r="E91" s="174">
        <v>129.693</v>
      </c>
      <c r="F91" s="174"/>
      <c r="G91" s="174"/>
      <c r="H91" s="174"/>
      <c r="I91" s="174"/>
      <c r="J91" s="174"/>
      <c r="K91" s="174"/>
      <c r="L91" s="174"/>
      <c r="M91" s="174"/>
      <c r="N91" s="174">
        <v>129.693</v>
      </c>
      <c r="O91" s="174"/>
      <c r="P91" s="174">
        <v>399.322</v>
      </c>
      <c r="Q91" s="174">
        <v>129.693</v>
      </c>
      <c r="R91" s="174">
        <v>399.322</v>
      </c>
      <c r="S91" s="180"/>
      <c r="T91" s="352"/>
      <c r="U91" s="210"/>
      <c r="V91" s="7"/>
    </row>
    <row r="92" spans="1:22" ht="33.75" customHeight="1">
      <c r="A92" s="184">
        <v>6</v>
      </c>
      <c r="B92" s="3" t="s">
        <v>496</v>
      </c>
      <c r="C92" s="10" t="s">
        <v>193</v>
      </c>
      <c r="D92" s="174">
        <v>9.151</v>
      </c>
      <c r="E92" s="174">
        <v>8.799</v>
      </c>
      <c r="F92" s="174"/>
      <c r="G92" s="174"/>
      <c r="H92" s="174"/>
      <c r="I92" s="174"/>
      <c r="J92" s="174"/>
      <c r="K92" s="174"/>
      <c r="L92" s="174"/>
      <c r="M92" s="174"/>
      <c r="N92" s="174">
        <v>8.799</v>
      </c>
      <c r="O92" s="174"/>
      <c r="P92" s="174">
        <v>8.799</v>
      </c>
      <c r="Q92" s="174">
        <v>8.799</v>
      </c>
      <c r="R92" s="174">
        <v>8.799</v>
      </c>
      <c r="S92" s="180"/>
      <c r="T92" s="352"/>
      <c r="U92" s="210"/>
      <c r="V92" s="7"/>
    </row>
    <row r="93" spans="1:22" ht="33.75" customHeight="1">
      <c r="A93" s="184">
        <v>7</v>
      </c>
      <c r="B93" s="3" t="s">
        <v>497</v>
      </c>
      <c r="C93" s="10" t="s">
        <v>185</v>
      </c>
      <c r="D93" s="174">
        <v>1150</v>
      </c>
      <c r="E93" s="174">
        <v>56.036</v>
      </c>
      <c r="F93" s="174"/>
      <c r="G93" s="174"/>
      <c r="H93" s="174"/>
      <c r="I93" s="174"/>
      <c r="J93" s="174"/>
      <c r="K93" s="174"/>
      <c r="L93" s="174"/>
      <c r="M93" s="174"/>
      <c r="N93" s="174">
        <v>56.036</v>
      </c>
      <c r="O93" s="174"/>
      <c r="P93" s="174">
        <v>1136.036</v>
      </c>
      <c r="Q93" s="174">
        <v>56.036</v>
      </c>
      <c r="R93" s="174">
        <v>1136.036</v>
      </c>
      <c r="S93" s="180"/>
      <c r="T93" s="352"/>
      <c r="U93" s="210"/>
      <c r="V93" s="7"/>
    </row>
    <row r="94" spans="1:22" ht="51">
      <c r="A94" s="184">
        <v>8</v>
      </c>
      <c r="B94" s="3" t="s">
        <v>475</v>
      </c>
      <c r="C94" s="10" t="s">
        <v>501</v>
      </c>
      <c r="D94" s="174">
        <v>10360</v>
      </c>
      <c r="E94" s="174">
        <v>25.935</v>
      </c>
      <c r="F94" s="174"/>
      <c r="G94" s="174"/>
      <c r="H94" s="174"/>
      <c r="I94" s="174"/>
      <c r="J94" s="174"/>
      <c r="K94" s="174"/>
      <c r="L94" s="174"/>
      <c r="M94" s="174">
        <v>25.935</v>
      </c>
      <c r="N94" s="174"/>
      <c r="O94" s="174"/>
      <c r="P94" s="174">
        <v>8833.946</v>
      </c>
      <c r="Q94" s="174">
        <v>25.935</v>
      </c>
      <c r="R94" s="174">
        <v>8777.365</v>
      </c>
      <c r="S94" s="180"/>
      <c r="T94" s="352"/>
      <c r="U94" s="210"/>
      <c r="V94" s="7"/>
    </row>
    <row r="95" spans="1:22" ht="45" customHeight="1">
      <c r="A95" s="184">
        <v>9</v>
      </c>
      <c r="B95" s="3" t="s">
        <v>450</v>
      </c>
      <c r="C95" s="10" t="s">
        <v>502</v>
      </c>
      <c r="D95" s="174">
        <v>8180</v>
      </c>
      <c r="E95" s="174">
        <v>59.829</v>
      </c>
      <c r="F95" s="174"/>
      <c r="G95" s="174"/>
      <c r="H95" s="174"/>
      <c r="I95" s="174"/>
      <c r="J95" s="174"/>
      <c r="K95" s="174"/>
      <c r="L95" s="174"/>
      <c r="M95" s="174">
        <v>59.829</v>
      </c>
      <c r="N95" s="174"/>
      <c r="O95" s="174"/>
      <c r="P95" s="174">
        <v>7775.548</v>
      </c>
      <c r="Q95" s="174">
        <v>59.829</v>
      </c>
      <c r="R95" s="174">
        <v>7686.5650000000005</v>
      </c>
      <c r="S95" s="180"/>
      <c r="T95" s="352"/>
      <c r="U95" s="210"/>
      <c r="V95" s="7"/>
    </row>
    <row r="96" spans="1:22" ht="33.75" customHeight="1">
      <c r="A96" s="184">
        <v>10</v>
      </c>
      <c r="B96" s="3" t="s">
        <v>451</v>
      </c>
      <c r="C96" s="10" t="s">
        <v>503</v>
      </c>
      <c r="D96" s="174">
        <v>7420</v>
      </c>
      <c r="E96" s="174">
        <v>4.524</v>
      </c>
      <c r="F96" s="174"/>
      <c r="G96" s="174"/>
      <c r="H96" s="174"/>
      <c r="I96" s="174"/>
      <c r="J96" s="174"/>
      <c r="K96" s="174"/>
      <c r="L96" s="174"/>
      <c r="M96" s="174">
        <v>4.524</v>
      </c>
      <c r="N96" s="174"/>
      <c r="O96" s="174"/>
      <c r="P96" s="174">
        <v>6681.249</v>
      </c>
      <c r="Q96" s="174">
        <v>4.524</v>
      </c>
      <c r="R96" s="174">
        <v>6597.476</v>
      </c>
      <c r="S96" s="180"/>
      <c r="T96" s="9"/>
      <c r="U96" s="210"/>
      <c r="V96" s="7"/>
    </row>
    <row r="97" spans="1:24" ht="42.75" customHeight="1">
      <c r="A97" s="29">
        <v>11</v>
      </c>
      <c r="B97" s="40" t="s">
        <v>244</v>
      </c>
      <c r="C97" s="10" t="s">
        <v>185</v>
      </c>
      <c r="D97" s="188">
        <v>7200</v>
      </c>
      <c r="E97" s="174">
        <f>2300+426.407</f>
        <v>2726.407</v>
      </c>
      <c r="F97" s="174">
        <v>2300</v>
      </c>
      <c r="G97" s="174"/>
      <c r="H97" s="174"/>
      <c r="I97" s="174"/>
      <c r="J97" s="174"/>
      <c r="K97" s="174"/>
      <c r="L97" s="174"/>
      <c r="M97" s="174">
        <v>462.607</v>
      </c>
      <c r="N97" s="174"/>
      <c r="O97" s="174">
        <v>2922.7</v>
      </c>
      <c r="P97" s="174">
        <v>6242.599999999999</v>
      </c>
      <c r="Q97" s="174">
        <f>2300+426.407</f>
        <v>2726.407</v>
      </c>
      <c r="R97" s="174">
        <f>6242.6+426.407</f>
        <v>6669.0070000000005</v>
      </c>
      <c r="S97" s="180"/>
      <c r="T97" s="9"/>
      <c r="U97" s="210" t="s">
        <v>136</v>
      </c>
      <c r="V97" s="7">
        <f t="shared" si="0"/>
        <v>0</v>
      </c>
      <c r="W97" s="7"/>
      <c r="X97" s="6">
        <v>1393</v>
      </c>
    </row>
    <row r="98" spans="1:23" ht="40.5" customHeight="1">
      <c r="A98" s="12">
        <v>12</v>
      </c>
      <c r="B98" s="40" t="s">
        <v>243</v>
      </c>
      <c r="C98" s="10" t="s">
        <v>185</v>
      </c>
      <c r="D98" s="174">
        <v>7500</v>
      </c>
      <c r="E98" s="174">
        <v>1200</v>
      </c>
      <c r="F98" s="174">
        <v>3000</v>
      </c>
      <c r="G98" s="174">
        <v>1200</v>
      </c>
      <c r="H98" s="174"/>
      <c r="I98" s="174"/>
      <c r="J98" s="174"/>
      <c r="K98" s="174"/>
      <c r="L98" s="174"/>
      <c r="M98" s="174"/>
      <c r="N98" s="174"/>
      <c r="O98" s="174">
        <v>1050</v>
      </c>
      <c r="P98" s="174">
        <v>1200</v>
      </c>
      <c r="Q98" s="174">
        <v>1200</v>
      </c>
      <c r="R98" s="174">
        <v>1200</v>
      </c>
      <c r="S98" s="180">
        <v>6300</v>
      </c>
      <c r="T98" s="9"/>
      <c r="U98" s="210" t="s">
        <v>136</v>
      </c>
      <c r="V98" s="7">
        <f t="shared" si="0"/>
        <v>0</v>
      </c>
      <c r="W98" s="7"/>
    </row>
    <row r="99" spans="1:22" ht="36.75" customHeight="1">
      <c r="A99" s="29">
        <v>13</v>
      </c>
      <c r="B99" s="28" t="s">
        <v>242</v>
      </c>
      <c r="C99" s="10" t="s">
        <v>185</v>
      </c>
      <c r="D99" s="174">
        <v>1350</v>
      </c>
      <c r="E99" s="174">
        <v>1000</v>
      </c>
      <c r="F99" s="174">
        <v>300</v>
      </c>
      <c r="G99" s="174">
        <v>1000</v>
      </c>
      <c r="H99" s="174"/>
      <c r="I99" s="174"/>
      <c r="J99" s="174"/>
      <c r="K99" s="174"/>
      <c r="L99" s="174"/>
      <c r="M99" s="174"/>
      <c r="N99" s="174"/>
      <c r="O99" s="174">
        <v>930</v>
      </c>
      <c r="P99" s="174">
        <v>1000</v>
      </c>
      <c r="Q99" s="174">
        <v>1000</v>
      </c>
      <c r="R99" s="174">
        <v>1000</v>
      </c>
      <c r="S99" s="180">
        <v>350</v>
      </c>
      <c r="T99" s="9"/>
      <c r="U99" s="210" t="s">
        <v>136</v>
      </c>
      <c r="V99" s="7">
        <f t="shared" si="0"/>
        <v>0</v>
      </c>
    </row>
    <row r="100" spans="1:22" ht="36.75" customHeight="1">
      <c r="A100" s="12">
        <v>14</v>
      </c>
      <c r="B100" s="11" t="s">
        <v>241</v>
      </c>
      <c r="C100" s="10" t="s">
        <v>158</v>
      </c>
      <c r="D100" s="185">
        <v>11850</v>
      </c>
      <c r="E100" s="174">
        <v>1910</v>
      </c>
      <c r="F100" s="174">
        <v>3000</v>
      </c>
      <c r="G100" s="174">
        <v>1910</v>
      </c>
      <c r="H100" s="174"/>
      <c r="I100" s="174"/>
      <c r="J100" s="174"/>
      <c r="K100" s="174"/>
      <c r="L100" s="174"/>
      <c r="M100" s="174"/>
      <c r="N100" s="174"/>
      <c r="O100" s="174">
        <v>3560</v>
      </c>
      <c r="P100" s="174">
        <v>3910</v>
      </c>
      <c r="Q100" s="174">
        <v>1910</v>
      </c>
      <c r="R100" s="174">
        <v>3910</v>
      </c>
      <c r="S100" s="180">
        <v>7940</v>
      </c>
      <c r="T100" s="9"/>
      <c r="U100" s="210" t="s">
        <v>136</v>
      </c>
      <c r="V100" s="7">
        <f t="shared" si="0"/>
        <v>0</v>
      </c>
    </row>
    <row r="101" spans="1:22" ht="31.5">
      <c r="A101" s="331">
        <v>15</v>
      </c>
      <c r="B101" s="332" t="s">
        <v>290</v>
      </c>
      <c r="C101" s="333" t="s">
        <v>185</v>
      </c>
      <c r="D101" s="328">
        <v>5300</v>
      </c>
      <c r="E101" s="328">
        <v>1200</v>
      </c>
      <c r="F101" s="328">
        <v>1550</v>
      </c>
      <c r="G101" s="328">
        <v>2361</v>
      </c>
      <c r="H101" s="328"/>
      <c r="I101" s="328"/>
      <c r="J101" s="328"/>
      <c r="K101" s="328"/>
      <c r="L101" s="328"/>
      <c r="M101" s="328"/>
      <c r="N101" s="328">
        <v>1200</v>
      </c>
      <c r="O101" s="328">
        <v>500</v>
      </c>
      <c r="P101" s="334">
        <v>500</v>
      </c>
      <c r="Q101" s="328">
        <v>1200</v>
      </c>
      <c r="R101" s="328">
        <v>1200</v>
      </c>
      <c r="S101" s="350">
        <v>4000</v>
      </c>
      <c r="T101" s="335"/>
      <c r="U101" s="210" t="s">
        <v>136</v>
      </c>
      <c r="V101" s="7">
        <f>E101-Q101</f>
        <v>0</v>
      </c>
    </row>
    <row r="102" spans="1:22" s="339" customFormat="1" ht="36.75" customHeight="1">
      <c r="A102" s="331">
        <v>16</v>
      </c>
      <c r="B102" s="336" t="s">
        <v>295</v>
      </c>
      <c r="C102" s="333" t="s">
        <v>160</v>
      </c>
      <c r="D102" s="351">
        <v>10700</v>
      </c>
      <c r="E102" s="328">
        <v>500</v>
      </c>
      <c r="F102" s="328">
        <v>2300</v>
      </c>
      <c r="G102" s="328">
        <v>1800</v>
      </c>
      <c r="H102" s="328"/>
      <c r="I102" s="328"/>
      <c r="J102" s="328"/>
      <c r="K102" s="328"/>
      <c r="L102" s="328"/>
      <c r="M102" s="328"/>
      <c r="N102" s="328">
        <v>500</v>
      </c>
      <c r="O102" s="328">
        <v>500</v>
      </c>
      <c r="P102" s="328">
        <v>1500</v>
      </c>
      <c r="Q102" s="328">
        <v>500</v>
      </c>
      <c r="R102" s="328">
        <v>1500</v>
      </c>
      <c r="S102" s="350">
        <f>D102-R102</f>
        <v>9200</v>
      </c>
      <c r="T102" s="335"/>
      <c r="U102" s="337"/>
      <c r="V102" s="338">
        <f>E102-Q102</f>
        <v>0</v>
      </c>
    </row>
    <row r="103" spans="1:22" ht="36.75" customHeight="1">
      <c r="A103" s="29">
        <v>17</v>
      </c>
      <c r="B103" s="3" t="s">
        <v>240</v>
      </c>
      <c r="C103" s="10" t="s">
        <v>143</v>
      </c>
      <c r="D103" s="185">
        <v>570</v>
      </c>
      <c r="E103" s="174">
        <v>300</v>
      </c>
      <c r="F103" s="174">
        <v>300</v>
      </c>
      <c r="G103" s="174"/>
      <c r="H103" s="174"/>
      <c r="I103" s="174"/>
      <c r="J103" s="174"/>
      <c r="K103" s="174"/>
      <c r="L103" s="174"/>
      <c r="M103" s="174"/>
      <c r="N103" s="174"/>
      <c r="O103" s="174">
        <v>300</v>
      </c>
      <c r="P103" s="174">
        <v>330</v>
      </c>
      <c r="Q103" s="174">
        <v>300</v>
      </c>
      <c r="R103" s="174">
        <v>300</v>
      </c>
      <c r="S103" s="180">
        <v>270</v>
      </c>
      <c r="T103" s="9"/>
      <c r="U103" s="210" t="s">
        <v>136</v>
      </c>
      <c r="V103" s="7">
        <f t="shared" si="0"/>
        <v>0</v>
      </c>
    </row>
    <row r="104" spans="1:22" ht="36.75" customHeight="1">
      <c r="A104" s="12">
        <v>18</v>
      </c>
      <c r="B104" s="11" t="s">
        <v>239</v>
      </c>
      <c r="C104" s="10" t="s">
        <v>185</v>
      </c>
      <c r="D104" s="174">
        <v>449</v>
      </c>
      <c r="E104" s="174">
        <v>56.531</v>
      </c>
      <c r="F104" s="174">
        <v>177</v>
      </c>
      <c r="G104" s="174">
        <f>F104-150</f>
        <v>27</v>
      </c>
      <c r="H104" s="174"/>
      <c r="I104" s="174"/>
      <c r="J104" s="174"/>
      <c r="K104" s="174"/>
      <c r="L104" s="174"/>
      <c r="M104" s="174">
        <v>29.531</v>
      </c>
      <c r="N104" s="174"/>
      <c r="O104" s="174"/>
      <c r="P104" s="174">
        <v>426.45</v>
      </c>
      <c r="Q104" s="174">
        <v>29.531</v>
      </c>
      <c r="R104" s="174">
        <f>P104</f>
        <v>426.45</v>
      </c>
      <c r="S104" s="180"/>
      <c r="T104" s="9"/>
      <c r="U104" s="210" t="s">
        <v>136</v>
      </c>
      <c r="V104" s="7">
        <f t="shared" si="0"/>
        <v>27</v>
      </c>
    </row>
    <row r="105" spans="1:22" ht="36.75" customHeight="1">
      <c r="A105" s="29">
        <v>19</v>
      </c>
      <c r="B105" s="11" t="s">
        <v>238</v>
      </c>
      <c r="C105" s="10" t="s">
        <v>185</v>
      </c>
      <c r="D105" s="185">
        <v>560</v>
      </c>
      <c r="E105" s="174">
        <v>29.4</v>
      </c>
      <c r="F105" s="174">
        <v>220</v>
      </c>
      <c r="G105" s="174">
        <f>F105-198</f>
        <v>22</v>
      </c>
      <c r="H105" s="174"/>
      <c r="I105" s="174"/>
      <c r="J105" s="174"/>
      <c r="K105" s="174"/>
      <c r="L105" s="174"/>
      <c r="M105" s="174">
        <v>7.4</v>
      </c>
      <c r="N105" s="174"/>
      <c r="O105" s="174"/>
      <c r="P105" s="174">
        <v>541.101</v>
      </c>
      <c r="Q105" s="174">
        <v>29.4</v>
      </c>
      <c r="R105" s="174">
        <f>P105</f>
        <v>541.101</v>
      </c>
      <c r="S105" s="180"/>
      <c r="T105" s="9"/>
      <c r="U105" s="210" t="s">
        <v>136</v>
      </c>
      <c r="V105" s="7">
        <f t="shared" si="0"/>
        <v>0</v>
      </c>
    </row>
    <row r="106" spans="1:23" ht="36.75" customHeight="1">
      <c r="A106" s="12">
        <v>20</v>
      </c>
      <c r="B106" s="11" t="s">
        <v>237</v>
      </c>
      <c r="C106" s="10" t="s">
        <v>236</v>
      </c>
      <c r="D106" s="185">
        <v>950</v>
      </c>
      <c r="E106" s="174">
        <v>57.985</v>
      </c>
      <c r="F106" s="174">
        <v>400</v>
      </c>
      <c r="G106" s="174">
        <f>F106-351</f>
        <v>49</v>
      </c>
      <c r="H106" s="174"/>
      <c r="I106" s="174"/>
      <c r="J106" s="174"/>
      <c r="K106" s="174"/>
      <c r="L106" s="174"/>
      <c r="M106" s="174">
        <v>8.985</v>
      </c>
      <c r="N106" s="174"/>
      <c r="O106" s="174"/>
      <c r="P106" s="174">
        <v>887.986</v>
      </c>
      <c r="Q106" s="174">
        <v>52.985</v>
      </c>
      <c r="R106" s="174">
        <f>P106</f>
        <v>887.986</v>
      </c>
      <c r="S106" s="180"/>
      <c r="T106" s="9"/>
      <c r="U106" s="210" t="s">
        <v>136</v>
      </c>
      <c r="V106" s="7">
        <f t="shared" si="0"/>
        <v>5</v>
      </c>
      <c r="W106" s="7"/>
    </row>
    <row r="107" spans="1:23" s="13" customFormat="1" ht="36.75" customHeight="1">
      <c r="A107" s="17" t="s">
        <v>18</v>
      </c>
      <c r="B107" s="16" t="s">
        <v>564</v>
      </c>
      <c r="C107" s="15"/>
      <c r="D107" s="186">
        <f>+D108</f>
        <v>765</v>
      </c>
      <c r="E107" s="186">
        <f>+E108</f>
        <v>29</v>
      </c>
      <c r="F107" s="186"/>
      <c r="G107" s="186"/>
      <c r="H107" s="186"/>
      <c r="I107" s="186"/>
      <c r="J107" s="186"/>
      <c r="K107" s="186"/>
      <c r="L107" s="186"/>
      <c r="M107" s="186"/>
      <c r="N107" s="186"/>
      <c r="O107" s="186"/>
      <c r="P107" s="186">
        <f>+P108</f>
        <v>728.3</v>
      </c>
      <c r="Q107" s="186">
        <f>+Q108</f>
        <v>28.7</v>
      </c>
      <c r="R107" s="186">
        <f>+R108</f>
        <v>728.3</v>
      </c>
      <c r="S107" s="186"/>
      <c r="T107" s="14"/>
      <c r="U107" s="321"/>
      <c r="V107" s="322"/>
      <c r="W107" s="322"/>
    </row>
    <row r="108" spans="1:23" ht="36.75" customHeight="1">
      <c r="A108" s="12">
        <v>1</v>
      </c>
      <c r="B108" s="11" t="s">
        <v>565</v>
      </c>
      <c r="C108" s="10" t="s">
        <v>185</v>
      </c>
      <c r="D108" s="185">
        <v>765</v>
      </c>
      <c r="E108" s="174">
        <v>29</v>
      </c>
      <c r="F108" s="174"/>
      <c r="G108" s="174"/>
      <c r="H108" s="174"/>
      <c r="I108" s="174"/>
      <c r="J108" s="174"/>
      <c r="K108" s="174"/>
      <c r="L108" s="174"/>
      <c r="M108" s="174"/>
      <c r="N108" s="174"/>
      <c r="O108" s="174"/>
      <c r="P108" s="175">
        <v>728.3</v>
      </c>
      <c r="Q108" s="174">
        <v>28.7</v>
      </c>
      <c r="R108" s="175">
        <v>728.3</v>
      </c>
      <c r="S108" s="180"/>
      <c r="T108" s="9"/>
      <c r="U108" s="8"/>
      <c r="W108" s="7"/>
    </row>
    <row r="109" spans="1:23" s="13" customFormat="1" ht="36.75" customHeight="1">
      <c r="A109" s="196" t="s">
        <v>235</v>
      </c>
      <c r="B109" s="16" t="s">
        <v>234</v>
      </c>
      <c r="C109" s="15"/>
      <c r="D109" s="186">
        <f>D110</f>
        <v>5260</v>
      </c>
      <c r="E109" s="186">
        <f>E110</f>
        <v>2640</v>
      </c>
      <c r="F109" s="186"/>
      <c r="G109" s="186"/>
      <c r="H109" s="186"/>
      <c r="I109" s="186"/>
      <c r="J109" s="186"/>
      <c r="K109" s="186"/>
      <c r="L109" s="186"/>
      <c r="M109" s="186"/>
      <c r="N109" s="186"/>
      <c r="O109" s="186">
        <f>O110</f>
        <v>3012</v>
      </c>
      <c r="P109" s="186">
        <f>P110</f>
        <v>3111</v>
      </c>
      <c r="Q109" s="186">
        <f>Q110</f>
        <v>2640</v>
      </c>
      <c r="R109" s="186">
        <f>R110</f>
        <v>2640</v>
      </c>
      <c r="S109" s="186">
        <f>S110</f>
        <v>2586.936</v>
      </c>
      <c r="T109" s="14"/>
      <c r="U109" s="197"/>
      <c r="W109" s="156"/>
    </row>
    <row r="110" spans="1:21" s="13" customFormat="1" ht="36.75" customHeight="1">
      <c r="A110" s="33" t="s">
        <v>18</v>
      </c>
      <c r="B110" s="16" t="s">
        <v>233</v>
      </c>
      <c r="C110" s="15"/>
      <c r="D110" s="169">
        <f>SUM(D111:D117)</f>
        <v>5260</v>
      </c>
      <c r="E110" s="169">
        <f>SUM(E111:E117)</f>
        <v>2640</v>
      </c>
      <c r="F110" s="169"/>
      <c r="G110" s="169"/>
      <c r="H110" s="169"/>
      <c r="I110" s="169"/>
      <c r="J110" s="169"/>
      <c r="K110" s="169"/>
      <c r="L110" s="169"/>
      <c r="M110" s="169"/>
      <c r="N110" s="169"/>
      <c r="O110" s="169">
        <f>SUM(O111:O117)</f>
        <v>3012</v>
      </c>
      <c r="P110" s="169">
        <f>SUM(P111:P117)</f>
        <v>3111</v>
      </c>
      <c r="Q110" s="169">
        <f>SUM(Q111:Q117)</f>
        <v>2640</v>
      </c>
      <c r="R110" s="169">
        <f>SUM(R111:R117)</f>
        <v>2640</v>
      </c>
      <c r="S110" s="169">
        <f>SUM(S111:S117)</f>
        <v>2586.936</v>
      </c>
      <c r="T110" s="14"/>
      <c r="U110" s="197"/>
    </row>
    <row r="111" spans="1:23" ht="33.75" customHeight="1">
      <c r="A111" s="184">
        <v>1</v>
      </c>
      <c r="B111" s="11" t="s">
        <v>232</v>
      </c>
      <c r="C111" s="10" t="s">
        <v>71</v>
      </c>
      <c r="D111" s="185">
        <v>1450</v>
      </c>
      <c r="E111" s="174">
        <v>1000</v>
      </c>
      <c r="F111" s="174">
        <v>1000</v>
      </c>
      <c r="G111" s="174"/>
      <c r="H111" s="174"/>
      <c r="I111" s="174"/>
      <c r="J111" s="174"/>
      <c r="K111" s="174"/>
      <c r="L111" s="174"/>
      <c r="M111" s="174"/>
      <c r="N111" s="174"/>
      <c r="O111" s="174">
        <v>1385</v>
      </c>
      <c r="P111" s="174">
        <v>1418</v>
      </c>
      <c r="Q111" s="174">
        <v>1000</v>
      </c>
      <c r="R111" s="175">
        <v>1000</v>
      </c>
      <c r="S111" s="180">
        <v>416.936</v>
      </c>
      <c r="T111" s="9"/>
      <c r="U111" s="210" t="s">
        <v>136</v>
      </c>
      <c r="V111" s="7">
        <f aca="true" t="shared" si="1" ref="V111:V132">E111-Q111</f>
        <v>0</v>
      </c>
      <c r="W111" s="7"/>
    </row>
    <row r="112" spans="1:23" ht="33.75" customHeight="1">
      <c r="A112" s="184">
        <v>2</v>
      </c>
      <c r="B112" s="11" t="s">
        <v>231</v>
      </c>
      <c r="C112" s="10" t="s">
        <v>158</v>
      </c>
      <c r="D112" s="185">
        <v>2000</v>
      </c>
      <c r="E112" s="174">
        <v>50</v>
      </c>
      <c r="F112" s="174">
        <v>1000</v>
      </c>
      <c r="G112" s="174">
        <v>50</v>
      </c>
      <c r="H112" s="174"/>
      <c r="I112" s="174"/>
      <c r="J112" s="174"/>
      <c r="K112" s="174"/>
      <c r="L112" s="174"/>
      <c r="M112" s="174"/>
      <c r="N112" s="174"/>
      <c r="O112" s="174">
        <v>20</v>
      </c>
      <c r="P112" s="174">
        <v>53</v>
      </c>
      <c r="Q112" s="174">
        <v>50</v>
      </c>
      <c r="R112" s="175">
        <v>50</v>
      </c>
      <c r="S112" s="180">
        <v>1950</v>
      </c>
      <c r="T112" s="9"/>
      <c r="U112" s="210" t="s">
        <v>136</v>
      </c>
      <c r="V112" s="7">
        <f t="shared" si="1"/>
        <v>0</v>
      </c>
      <c r="W112" s="7"/>
    </row>
    <row r="113" spans="1:23" ht="33.75" customHeight="1">
      <c r="A113" s="184">
        <v>3</v>
      </c>
      <c r="B113" s="3" t="s">
        <v>230</v>
      </c>
      <c r="C113" s="10" t="s">
        <v>190</v>
      </c>
      <c r="D113" s="185">
        <v>1450</v>
      </c>
      <c r="E113" s="174">
        <v>1300</v>
      </c>
      <c r="F113" s="174">
        <v>1500</v>
      </c>
      <c r="G113" s="174">
        <v>1300</v>
      </c>
      <c r="H113" s="174"/>
      <c r="I113" s="174"/>
      <c r="J113" s="174"/>
      <c r="K113" s="174"/>
      <c r="L113" s="174"/>
      <c r="M113" s="174"/>
      <c r="N113" s="174"/>
      <c r="O113" s="174">
        <v>1267</v>
      </c>
      <c r="P113" s="174">
        <v>1300</v>
      </c>
      <c r="Q113" s="174">
        <v>1300</v>
      </c>
      <c r="R113" s="175">
        <v>1300</v>
      </c>
      <c r="S113" s="180">
        <v>150</v>
      </c>
      <c r="T113" s="9"/>
      <c r="U113" s="210" t="s">
        <v>136</v>
      </c>
      <c r="V113" s="7">
        <f t="shared" si="1"/>
        <v>0</v>
      </c>
      <c r="W113" s="7"/>
    </row>
    <row r="114" spans="1:23" ht="33.75" customHeight="1">
      <c r="A114" s="198"/>
      <c r="B114" s="201" t="s">
        <v>229</v>
      </c>
      <c r="C114" s="192"/>
      <c r="D114" s="202"/>
      <c r="E114" s="194"/>
      <c r="F114" s="194"/>
      <c r="G114" s="194"/>
      <c r="H114" s="194"/>
      <c r="I114" s="194"/>
      <c r="J114" s="194"/>
      <c r="K114" s="194"/>
      <c r="L114" s="194"/>
      <c r="M114" s="194"/>
      <c r="N114" s="194"/>
      <c r="O114" s="174"/>
      <c r="P114" s="174"/>
      <c r="Q114" s="174"/>
      <c r="R114" s="175"/>
      <c r="S114" s="180"/>
      <c r="T114" s="9"/>
      <c r="U114" s="8"/>
      <c r="V114" s="7">
        <f t="shared" si="1"/>
        <v>0</v>
      </c>
      <c r="W114" s="7"/>
    </row>
    <row r="115" spans="1:23" ht="33.75" customHeight="1">
      <c r="A115" s="184">
        <v>4</v>
      </c>
      <c r="B115" s="3" t="s">
        <v>228</v>
      </c>
      <c r="C115" s="10" t="s">
        <v>163</v>
      </c>
      <c r="D115" s="185">
        <v>270</v>
      </c>
      <c r="E115" s="174">
        <v>200</v>
      </c>
      <c r="F115" s="174"/>
      <c r="G115" s="174"/>
      <c r="H115" s="174">
        <v>200</v>
      </c>
      <c r="I115" s="174"/>
      <c r="J115" s="174"/>
      <c r="K115" s="174"/>
      <c r="L115" s="174"/>
      <c r="M115" s="174"/>
      <c r="N115" s="174"/>
      <c r="O115" s="174">
        <v>250</v>
      </c>
      <c r="P115" s="174">
        <v>250</v>
      </c>
      <c r="Q115" s="174">
        <v>200</v>
      </c>
      <c r="R115" s="175">
        <v>200</v>
      </c>
      <c r="S115" s="180">
        <v>70</v>
      </c>
      <c r="T115" s="9"/>
      <c r="U115" s="320" t="s">
        <v>227</v>
      </c>
      <c r="V115" s="7">
        <f t="shared" si="1"/>
        <v>0</v>
      </c>
      <c r="W115" s="7"/>
    </row>
    <row r="116" spans="1:23" ht="33.75" customHeight="1">
      <c r="A116" s="184">
        <v>5</v>
      </c>
      <c r="B116" s="11" t="s">
        <v>226</v>
      </c>
      <c r="C116" s="10" t="s">
        <v>143</v>
      </c>
      <c r="D116" s="185">
        <v>50</v>
      </c>
      <c r="E116" s="174">
        <v>50</v>
      </c>
      <c r="F116" s="174"/>
      <c r="G116" s="174">
        <v>50</v>
      </c>
      <c r="H116" s="174"/>
      <c r="I116" s="174"/>
      <c r="J116" s="174"/>
      <c r="K116" s="174"/>
      <c r="L116" s="174"/>
      <c r="M116" s="174"/>
      <c r="N116" s="174"/>
      <c r="O116" s="174">
        <v>50</v>
      </c>
      <c r="P116" s="174">
        <v>50</v>
      </c>
      <c r="Q116" s="174">
        <v>50</v>
      </c>
      <c r="R116" s="174">
        <v>50</v>
      </c>
      <c r="S116" s="180"/>
      <c r="T116" s="352"/>
      <c r="U116" s="320"/>
      <c r="V116" s="7">
        <f t="shared" si="1"/>
        <v>0</v>
      </c>
      <c r="W116" s="7"/>
    </row>
    <row r="117" spans="1:23" ht="33.75" customHeight="1">
      <c r="A117" s="184">
        <v>6</v>
      </c>
      <c r="B117" s="11" t="s">
        <v>225</v>
      </c>
      <c r="C117" s="10" t="s">
        <v>66</v>
      </c>
      <c r="D117" s="185">
        <v>40</v>
      </c>
      <c r="E117" s="174">
        <v>40</v>
      </c>
      <c r="F117" s="174"/>
      <c r="G117" s="174">
        <v>40</v>
      </c>
      <c r="H117" s="174"/>
      <c r="I117" s="174"/>
      <c r="J117" s="174"/>
      <c r="K117" s="174"/>
      <c r="L117" s="174"/>
      <c r="M117" s="174"/>
      <c r="N117" s="174"/>
      <c r="O117" s="174">
        <v>40</v>
      </c>
      <c r="P117" s="174">
        <v>40</v>
      </c>
      <c r="Q117" s="174">
        <v>40</v>
      </c>
      <c r="R117" s="174">
        <v>40</v>
      </c>
      <c r="S117" s="180"/>
      <c r="T117" s="9"/>
      <c r="U117" s="320"/>
      <c r="V117" s="7">
        <f t="shared" si="1"/>
        <v>0</v>
      </c>
      <c r="W117" s="7"/>
    </row>
    <row r="118" spans="1:23" ht="33.75" customHeight="1">
      <c r="A118" s="33" t="s">
        <v>459</v>
      </c>
      <c r="B118" s="42" t="s">
        <v>460</v>
      </c>
      <c r="C118" s="15"/>
      <c r="D118" s="190">
        <f>SUM(D119:D119)</f>
        <v>2500</v>
      </c>
      <c r="E118" s="190">
        <f>SUM(E119:E119)</f>
        <v>1287</v>
      </c>
      <c r="F118" s="190"/>
      <c r="G118" s="190"/>
      <c r="H118" s="190"/>
      <c r="I118" s="190"/>
      <c r="J118" s="190"/>
      <c r="K118" s="190"/>
      <c r="L118" s="190"/>
      <c r="M118" s="190"/>
      <c r="N118" s="190"/>
      <c r="O118" s="190">
        <f>SUM(O119:O119)</f>
        <v>1287</v>
      </c>
      <c r="P118" s="190">
        <f>SUM(P119:P119)</f>
        <v>1287</v>
      </c>
      <c r="Q118" s="190">
        <f>SUM(Q119:Q119)</f>
        <v>1287</v>
      </c>
      <c r="R118" s="190">
        <f>SUM(R119:R119)</f>
        <v>1287</v>
      </c>
      <c r="S118" s="190">
        <f>SUM(S119:S119)</f>
        <v>1213</v>
      </c>
      <c r="T118" s="81"/>
      <c r="U118" s="67"/>
      <c r="V118" s="7">
        <f t="shared" si="1"/>
        <v>0</v>
      </c>
      <c r="W118" s="7"/>
    </row>
    <row r="119" spans="1:23" ht="53.25" customHeight="1">
      <c r="A119" s="2">
        <v>1</v>
      </c>
      <c r="B119" s="3" t="s">
        <v>24</v>
      </c>
      <c r="C119" s="2" t="s">
        <v>23</v>
      </c>
      <c r="D119" s="211">
        <v>2500</v>
      </c>
      <c r="E119" s="81">
        <v>1287</v>
      </c>
      <c r="F119" s="81"/>
      <c r="G119" s="81"/>
      <c r="H119" s="81"/>
      <c r="I119" s="81">
        <v>1287</v>
      </c>
      <c r="J119" s="81"/>
      <c r="K119" s="81"/>
      <c r="L119" s="81"/>
      <c r="M119" s="81"/>
      <c r="N119" s="81"/>
      <c r="O119" s="81">
        <v>1287</v>
      </c>
      <c r="P119" s="81">
        <v>1287</v>
      </c>
      <c r="Q119" s="81">
        <v>1287</v>
      </c>
      <c r="R119" s="81">
        <v>1287</v>
      </c>
      <c r="S119" s="81">
        <v>1213</v>
      </c>
      <c r="T119" s="81"/>
      <c r="U119" s="81">
        <v>1213</v>
      </c>
      <c r="V119" s="7">
        <f t="shared" si="1"/>
        <v>0</v>
      </c>
      <c r="W119" s="7"/>
    </row>
    <row r="120" spans="1:23" ht="33.75" customHeight="1">
      <c r="A120" s="33" t="s">
        <v>224</v>
      </c>
      <c r="B120" s="77" t="s">
        <v>223</v>
      </c>
      <c r="C120" s="168"/>
      <c r="D120" s="186">
        <f>D121</f>
        <v>3583</v>
      </c>
      <c r="E120" s="186">
        <f>E121</f>
        <v>3583</v>
      </c>
      <c r="F120" s="186"/>
      <c r="G120" s="186"/>
      <c r="H120" s="186"/>
      <c r="I120" s="186"/>
      <c r="J120" s="186"/>
      <c r="K120" s="186"/>
      <c r="L120" s="186"/>
      <c r="M120" s="186"/>
      <c r="N120" s="186"/>
      <c r="O120" s="186">
        <f>O121</f>
        <v>3583</v>
      </c>
      <c r="P120" s="186">
        <f>P121</f>
        <v>3583</v>
      </c>
      <c r="Q120" s="186">
        <f>Q121</f>
        <v>3583</v>
      </c>
      <c r="R120" s="186">
        <f>R121</f>
        <v>3583</v>
      </c>
      <c r="S120" s="186"/>
      <c r="T120" s="9"/>
      <c r="U120" s="8"/>
      <c r="V120" s="7">
        <f t="shared" si="1"/>
        <v>0</v>
      </c>
      <c r="W120" s="7"/>
    </row>
    <row r="121" spans="1:23" s="13" customFormat="1" ht="33.75" customHeight="1">
      <c r="A121" s="212" t="s">
        <v>18</v>
      </c>
      <c r="B121" s="213" t="s">
        <v>222</v>
      </c>
      <c r="C121" s="214"/>
      <c r="D121" s="215">
        <f>SUM(D122:D128)</f>
        <v>3583</v>
      </c>
      <c r="E121" s="215">
        <f>SUM(E122:E128)</f>
        <v>3583</v>
      </c>
      <c r="F121" s="215"/>
      <c r="G121" s="215"/>
      <c r="H121" s="215"/>
      <c r="I121" s="215"/>
      <c r="J121" s="215"/>
      <c r="K121" s="215"/>
      <c r="L121" s="215"/>
      <c r="M121" s="215"/>
      <c r="N121" s="215"/>
      <c r="O121" s="215">
        <f>SUM(O122:O128)</f>
        <v>3583</v>
      </c>
      <c r="P121" s="215">
        <f>SUM(P122:P128)</f>
        <v>3583</v>
      </c>
      <c r="Q121" s="215">
        <f>SUM(Q122:Q128)</f>
        <v>3583</v>
      </c>
      <c r="R121" s="215">
        <f>SUM(R122:R128)</f>
        <v>3583</v>
      </c>
      <c r="S121" s="215"/>
      <c r="T121" s="353"/>
      <c r="U121" s="197"/>
      <c r="V121" s="7">
        <f t="shared" si="1"/>
        <v>0</v>
      </c>
      <c r="W121" s="156"/>
    </row>
    <row r="122" spans="1:23" ht="39.75" customHeight="1">
      <c r="A122" s="203">
        <v>1</v>
      </c>
      <c r="B122" s="216" t="s">
        <v>221</v>
      </c>
      <c r="C122" s="205" t="s">
        <v>185</v>
      </c>
      <c r="D122" s="217">
        <v>850</v>
      </c>
      <c r="E122" s="217">
        <v>850</v>
      </c>
      <c r="F122" s="217"/>
      <c r="G122" s="217"/>
      <c r="H122" s="217"/>
      <c r="I122" s="217"/>
      <c r="J122" s="217"/>
      <c r="K122" s="217">
        <v>850</v>
      </c>
      <c r="L122" s="217"/>
      <c r="M122" s="217"/>
      <c r="N122" s="217"/>
      <c r="O122" s="217">
        <v>850</v>
      </c>
      <c r="P122" s="217">
        <v>850</v>
      </c>
      <c r="Q122" s="217">
        <v>850</v>
      </c>
      <c r="R122" s="217">
        <v>850</v>
      </c>
      <c r="S122" s="217"/>
      <c r="T122" s="9"/>
      <c r="U122" s="320" t="s">
        <v>220</v>
      </c>
      <c r="V122" s="7">
        <f t="shared" si="1"/>
        <v>0</v>
      </c>
      <c r="W122" s="7"/>
    </row>
    <row r="123" spans="1:23" ht="39.75" customHeight="1">
      <c r="A123" s="203">
        <v>2</v>
      </c>
      <c r="B123" s="216" t="s">
        <v>219</v>
      </c>
      <c r="C123" s="205" t="s">
        <v>76</v>
      </c>
      <c r="D123" s="217">
        <v>30</v>
      </c>
      <c r="E123" s="217">
        <v>30</v>
      </c>
      <c r="F123" s="217"/>
      <c r="G123" s="217"/>
      <c r="H123" s="217"/>
      <c r="I123" s="217"/>
      <c r="J123" s="217"/>
      <c r="K123" s="217">
        <v>30</v>
      </c>
      <c r="L123" s="217"/>
      <c r="M123" s="217"/>
      <c r="N123" s="217"/>
      <c r="O123" s="217">
        <v>30</v>
      </c>
      <c r="P123" s="217">
        <v>30</v>
      </c>
      <c r="Q123" s="217">
        <v>30</v>
      </c>
      <c r="R123" s="217">
        <v>30</v>
      </c>
      <c r="S123" s="217"/>
      <c r="T123" s="352"/>
      <c r="U123" s="320"/>
      <c r="V123" s="7">
        <f t="shared" si="1"/>
        <v>0</v>
      </c>
      <c r="W123" s="7"/>
    </row>
    <row r="124" spans="1:23" ht="39.75" customHeight="1">
      <c r="A124" s="203">
        <v>3</v>
      </c>
      <c r="B124" s="216" t="s">
        <v>218</v>
      </c>
      <c r="C124" s="205" t="s">
        <v>163</v>
      </c>
      <c r="D124" s="217">
        <v>150</v>
      </c>
      <c r="E124" s="217">
        <v>150</v>
      </c>
      <c r="F124" s="217"/>
      <c r="G124" s="217"/>
      <c r="H124" s="217"/>
      <c r="I124" s="217"/>
      <c r="J124" s="217"/>
      <c r="K124" s="217">
        <v>150</v>
      </c>
      <c r="L124" s="217"/>
      <c r="M124" s="217"/>
      <c r="N124" s="217"/>
      <c r="O124" s="217">
        <v>150</v>
      </c>
      <c r="P124" s="217">
        <v>150</v>
      </c>
      <c r="Q124" s="217">
        <v>150</v>
      </c>
      <c r="R124" s="217">
        <v>150</v>
      </c>
      <c r="S124" s="217"/>
      <c r="T124" s="352"/>
      <c r="U124" s="320"/>
      <c r="V124" s="7">
        <f t="shared" si="1"/>
        <v>0</v>
      </c>
      <c r="W124" s="7"/>
    </row>
    <row r="125" spans="1:23" ht="39.75" customHeight="1">
      <c r="A125" s="203">
        <v>4</v>
      </c>
      <c r="B125" s="216" t="s">
        <v>217</v>
      </c>
      <c r="C125" s="205" t="s">
        <v>76</v>
      </c>
      <c r="D125" s="217">
        <v>623</v>
      </c>
      <c r="E125" s="217">
        <v>623</v>
      </c>
      <c r="F125" s="217"/>
      <c r="G125" s="217"/>
      <c r="H125" s="217"/>
      <c r="I125" s="217"/>
      <c r="J125" s="217"/>
      <c r="K125" s="217">
        <v>623</v>
      </c>
      <c r="L125" s="217"/>
      <c r="M125" s="217"/>
      <c r="N125" s="217"/>
      <c r="O125" s="217">
        <v>623</v>
      </c>
      <c r="P125" s="217">
        <v>623</v>
      </c>
      <c r="Q125" s="217">
        <v>623</v>
      </c>
      <c r="R125" s="217">
        <v>623</v>
      </c>
      <c r="S125" s="217"/>
      <c r="T125" s="352"/>
      <c r="U125" s="320"/>
      <c r="V125" s="7">
        <f t="shared" si="1"/>
        <v>0</v>
      </c>
      <c r="W125" s="7"/>
    </row>
    <row r="126" spans="1:23" ht="39.75" customHeight="1">
      <c r="A126" s="203">
        <v>5</v>
      </c>
      <c r="B126" s="216" t="s">
        <v>216</v>
      </c>
      <c r="C126" s="205" t="s">
        <v>185</v>
      </c>
      <c r="D126" s="217">
        <v>30</v>
      </c>
      <c r="E126" s="217">
        <v>30</v>
      </c>
      <c r="F126" s="217"/>
      <c r="G126" s="217"/>
      <c r="H126" s="217"/>
      <c r="I126" s="217"/>
      <c r="J126" s="217"/>
      <c r="K126" s="217">
        <v>30</v>
      </c>
      <c r="L126" s="217"/>
      <c r="M126" s="217"/>
      <c r="N126" s="217"/>
      <c r="O126" s="217">
        <v>30</v>
      </c>
      <c r="P126" s="217">
        <v>30</v>
      </c>
      <c r="Q126" s="217">
        <v>30</v>
      </c>
      <c r="R126" s="217">
        <v>30</v>
      </c>
      <c r="S126" s="217"/>
      <c r="T126" s="352"/>
      <c r="U126" s="320"/>
      <c r="V126" s="7">
        <f t="shared" si="1"/>
        <v>0</v>
      </c>
      <c r="W126" s="7"/>
    </row>
    <row r="127" spans="1:23" ht="39.75" customHeight="1">
      <c r="A127" s="203">
        <v>6</v>
      </c>
      <c r="B127" s="216" t="s">
        <v>215</v>
      </c>
      <c r="C127" s="205" t="s">
        <v>143</v>
      </c>
      <c r="D127" s="217">
        <v>1500</v>
      </c>
      <c r="E127" s="217">
        <v>1500</v>
      </c>
      <c r="F127" s="217"/>
      <c r="G127" s="217"/>
      <c r="H127" s="217"/>
      <c r="I127" s="217"/>
      <c r="J127" s="217"/>
      <c r="K127" s="217">
        <v>1500</v>
      </c>
      <c r="L127" s="217"/>
      <c r="M127" s="217"/>
      <c r="N127" s="217"/>
      <c r="O127" s="217">
        <v>1500</v>
      </c>
      <c r="P127" s="217">
        <v>1500</v>
      </c>
      <c r="Q127" s="217">
        <v>1500</v>
      </c>
      <c r="R127" s="217">
        <v>1500</v>
      </c>
      <c r="S127" s="217"/>
      <c r="T127" s="352"/>
      <c r="U127" s="320"/>
      <c r="V127" s="7">
        <f t="shared" si="1"/>
        <v>0</v>
      </c>
      <c r="W127" s="7"/>
    </row>
    <row r="128" spans="1:23" ht="39.75" customHeight="1">
      <c r="A128" s="203">
        <v>7</v>
      </c>
      <c r="B128" s="216" t="s">
        <v>214</v>
      </c>
      <c r="C128" s="205" t="s">
        <v>66</v>
      </c>
      <c r="D128" s="217">
        <v>400</v>
      </c>
      <c r="E128" s="217">
        <v>400</v>
      </c>
      <c r="F128" s="217"/>
      <c r="G128" s="217"/>
      <c r="H128" s="217"/>
      <c r="I128" s="217"/>
      <c r="J128" s="217"/>
      <c r="K128" s="217">
        <v>400</v>
      </c>
      <c r="L128" s="217"/>
      <c r="M128" s="217"/>
      <c r="N128" s="217"/>
      <c r="O128" s="217">
        <v>400</v>
      </c>
      <c r="P128" s="217">
        <v>400</v>
      </c>
      <c r="Q128" s="217">
        <v>400</v>
      </c>
      <c r="R128" s="217">
        <v>400</v>
      </c>
      <c r="S128" s="217"/>
      <c r="T128" s="9"/>
      <c r="U128" s="320"/>
      <c r="V128" s="7">
        <f t="shared" si="1"/>
        <v>0</v>
      </c>
      <c r="W128" s="7"/>
    </row>
    <row r="129" spans="1:23" s="13" customFormat="1" ht="39.75" customHeight="1">
      <c r="A129" s="212" t="s">
        <v>213</v>
      </c>
      <c r="B129" s="218" t="s">
        <v>212</v>
      </c>
      <c r="C129" s="214"/>
      <c r="D129" s="215">
        <f>SUM(D130:D132)</f>
        <v>14200</v>
      </c>
      <c r="E129" s="215">
        <f>SUM(E130:E132)</f>
        <v>5000</v>
      </c>
      <c r="F129" s="215"/>
      <c r="G129" s="215"/>
      <c r="H129" s="215"/>
      <c r="I129" s="215"/>
      <c r="J129" s="215"/>
      <c r="K129" s="215"/>
      <c r="L129" s="215"/>
      <c r="M129" s="215"/>
      <c r="N129" s="215"/>
      <c r="O129" s="215">
        <f>SUM(O130:O132)</f>
        <v>300</v>
      </c>
      <c r="P129" s="215">
        <f>SUM(P130:P132)</f>
        <v>300</v>
      </c>
      <c r="Q129" s="215">
        <f>SUM(Q130:Q132)</f>
        <v>5000</v>
      </c>
      <c r="R129" s="215">
        <f>SUM(R130:R132)</f>
        <v>5000</v>
      </c>
      <c r="S129" s="215">
        <f>SUM(S130:S132)</f>
        <v>9200</v>
      </c>
      <c r="T129" s="9"/>
      <c r="U129" s="320" t="s">
        <v>211</v>
      </c>
      <c r="V129" s="7">
        <f t="shared" si="1"/>
        <v>0</v>
      </c>
      <c r="W129" s="156"/>
    </row>
    <row r="130" spans="1:23" ht="39.75" customHeight="1">
      <c r="A130" s="203">
        <v>1</v>
      </c>
      <c r="B130" s="204" t="s">
        <v>210</v>
      </c>
      <c r="C130" s="205" t="s">
        <v>197</v>
      </c>
      <c r="D130" s="206">
        <v>6200</v>
      </c>
      <c r="E130" s="206">
        <v>1000</v>
      </c>
      <c r="F130" s="206"/>
      <c r="G130" s="206"/>
      <c r="H130" s="206"/>
      <c r="I130" s="206"/>
      <c r="J130" s="206"/>
      <c r="K130" s="206"/>
      <c r="L130" s="206">
        <v>1000</v>
      </c>
      <c r="M130" s="206"/>
      <c r="N130" s="206"/>
      <c r="O130" s="206">
        <v>150</v>
      </c>
      <c r="P130" s="206">
        <v>150</v>
      </c>
      <c r="Q130" s="206">
        <v>1000</v>
      </c>
      <c r="R130" s="206">
        <v>1000</v>
      </c>
      <c r="S130" s="206">
        <f>D130-R130</f>
        <v>5200</v>
      </c>
      <c r="T130" s="352"/>
      <c r="U130" s="320"/>
      <c r="V130" s="7">
        <f t="shared" si="1"/>
        <v>0</v>
      </c>
      <c r="W130" s="7"/>
    </row>
    <row r="131" spans="1:23" ht="39.75" customHeight="1">
      <c r="A131" s="203">
        <v>2</v>
      </c>
      <c r="B131" s="204" t="s">
        <v>209</v>
      </c>
      <c r="C131" s="205" t="s">
        <v>74</v>
      </c>
      <c r="D131" s="206">
        <v>5500</v>
      </c>
      <c r="E131" s="206">
        <v>2500</v>
      </c>
      <c r="F131" s="206"/>
      <c r="G131" s="206"/>
      <c r="H131" s="206"/>
      <c r="I131" s="206"/>
      <c r="J131" s="206"/>
      <c r="K131" s="206"/>
      <c r="L131" s="206">
        <v>2500</v>
      </c>
      <c r="M131" s="206"/>
      <c r="N131" s="206"/>
      <c r="O131" s="206">
        <v>100</v>
      </c>
      <c r="P131" s="206">
        <v>100</v>
      </c>
      <c r="Q131" s="206">
        <v>2500</v>
      </c>
      <c r="R131" s="206">
        <v>2500</v>
      </c>
      <c r="S131" s="206">
        <f>D131-R131</f>
        <v>3000</v>
      </c>
      <c r="T131" s="352"/>
      <c r="U131" s="320"/>
      <c r="V131" s="7">
        <f t="shared" si="1"/>
        <v>0</v>
      </c>
      <c r="W131" s="7"/>
    </row>
    <row r="132" spans="1:23" ht="39.75" customHeight="1">
      <c r="A132" s="203">
        <v>3</v>
      </c>
      <c r="B132" s="204" t="s">
        <v>208</v>
      </c>
      <c r="C132" s="205" t="s">
        <v>37</v>
      </c>
      <c r="D132" s="206">
        <v>2500</v>
      </c>
      <c r="E132" s="206">
        <v>1500</v>
      </c>
      <c r="F132" s="206"/>
      <c r="G132" s="206"/>
      <c r="H132" s="206"/>
      <c r="I132" s="206"/>
      <c r="J132" s="206"/>
      <c r="K132" s="206"/>
      <c r="L132" s="206">
        <v>1500</v>
      </c>
      <c r="M132" s="206"/>
      <c r="N132" s="206"/>
      <c r="O132" s="206">
        <v>50</v>
      </c>
      <c r="P132" s="206">
        <v>50</v>
      </c>
      <c r="Q132" s="206">
        <v>1500</v>
      </c>
      <c r="R132" s="206">
        <v>1500</v>
      </c>
      <c r="S132" s="206">
        <f>D132-R132</f>
        <v>1000</v>
      </c>
      <c r="T132" s="9"/>
      <c r="U132" s="320"/>
      <c r="V132" s="7">
        <f t="shared" si="1"/>
        <v>0</v>
      </c>
      <c r="W132" s="7"/>
    </row>
    <row r="133" spans="1:23" s="13" customFormat="1" ht="39.75" customHeight="1">
      <c r="A133" s="196" t="s">
        <v>207</v>
      </c>
      <c r="B133" s="16" t="s">
        <v>206</v>
      </c>
      <c r="C133" s="15"/>
      <c r="D133" s="186">
        <f>SUM(D134:D144)</f>
        <v>40300</v>
      </c>
      <c r="E133" s="186"/>
      <c r="F133" s="186"/>
      <c r="G133" s="186"/>
      <c r="H133" s="186"/>
      <c r="I133" s="186"/>
      <c r="J133" s="186"/>
      <c r="K133" s="186"/>
      <c r="L133" s="186"/>
      <c r="M133" s="186"/>
      <c r="N133" s="186"/>
      <c r="O133" s="186"/>
      <c r="P133" s="186"/>
      <c r="Q133" s="186"/>
      <c r="R133" s="186"/>
      <c r="S133" s="186">
        <f>SUM(S134:S144)</f>
        <v>19000</v>
      </c>
      <c r="T133" s="9" t="s">
        <v>205</v>
      </c>
      <c r="U133" s="315" t="s">
        <v>204</v>
      </c>
      <c r="W133" s="156"/>
    </row>
    <row r="134" spans="1:23" s="13" customFormat="1" ht="39.75" customHeight="1">
      <c r="A134" s="219">
        <v>1</v>
      </c>
      <c r="B134" s="220" t="s">
        <v>203</v>
      </c>
      <c r="C134" s="205" t="s">
        <v>155</v>
      </c>
      <c r="D134" s="221">
        <v>7500</v>
      </c>
      <c r="E134" s="207"/>
      <c r="F134" s="207"/>
      <c r="G134" s="207"/>
      <c r="H134" s="207"/>
      <c r="I134" s="207"/>
      <c r="J134" s="207"/>
      <c r="K134" s="207"/>
      <c r="L134" s="207"/>
      <c r="M134" s="207"/>
      <c r="N134" s="207"/>
      <c r="O134" s="207"/>
      <c r="P134" s="207"/>
      <c r="Q134" s="207"/>
      <c r="R134" s="207"/>
      <c r="S134" s="206">
        <v>3000</v>
      </c>
      <c r="T134" s="352"/>
      <c r="U134" s="315"/>
      <c r="W134" s="156"/>
    </row>
    <row r="135" spans="1:23" s="13" customFormat="1" ht="39.75" customHeight="1">
      <c r="A135" s="219">
        <v>2</v>
      </c>
      <c r="B135" s="220" t="s">
        <v>201</v>
      </c>
      <c r="C135" s="205" t="s">
        <v>197</v>
      </c>
      <c r="D135" s="221">
        <v>5000</v>
      </c>
      <c r="E135" s="329"/>
      <c r="F135" s="329"/>
      <c r="G135" s="329"/>
      <c r="H135" s="329"/>
      <c r="I135" s="329"/>
      <c r="J135" s="329"/>
      <c r="K135" s="329"/>
      <c r="L135" s="329"/>
      <c r="M135" s="329"/>
      <c r="N135" s="329"/>
      <c r="O135" s="329"/>
      <c r="P135" s="329"/>
      <c r="Q135" s="329"/>
      <c r="R135" s="329"/>
      <c r="S135" s="206">
        <v>2500</v>
      </c>
      <c r="T135" s="352"/>
      <c r="U135" s="315"/>
      <c r="W135" s="156"/>
    </row>
    <row r="136" spans="1:23" s="13" customFormat="1" ht="39.75" customHeight="1">
      <c r="A136" s="219">
        <v>3</v>
      </c>
      <c r="B136" s="220" t="s">
        <v>198</v>
      </c>
      <c r="C136" s="205" t="s">
        <v>197</v>
      </c>
      <c r="D136" s="221">
        <v>2500</v>
      </c>
      <c r="E136" s="329"/>
      <c r="F136" s="329"/>
      <c r="G136" s="329"/>
      <c r="H136" s="329"/>
      <c r="I136" s="329"/>
      <c r="J136" s="329"/>
      <c r="K136" s="329"/>
      <c r="L136" s="329"/>
      <c r="M136" s="329"/>
      <c r="N136" s="329"/>
      <c r="O136" s="329"/>
      <c r="P136" s="329"/>
      <c r="Q136" s="329"/>
      <c r="R136" s="329"/>
      <c r="S136" s="206">
        <v>1000</v>
      </c>
      <c r="T136" s="352"/>
      <c r="U136" s="315"/>
      <c r="W136" s="156"/>
    </row>
    <row r="137" spans="1:23" s="13" customFormat="1" ht="39.75" customHeight="1">
      <c r="A137" s="219">
        <v>4</v>
      </c>
      <c r="B137" s="220" t="s">
        <v>196</v>
      </c>
      <c r="C137" s="205" t="s">
        <v>185</v>
      </c>
      <c r="D137" s="221">
        <v>5000</v>
      </c>
      <c r="E137" s="329"/>
      <c r="F137" s="329"/>
      <c r="G137" s="329"/>
      <c r="H137" s="329"/>
      <c r="I137" s="329"/>
      <c r="J137" s="329"/>
      <c r="K137" s="329"/>
      <c r="L137" s="329"/>
      <c r="M137" s="329"/>
      <c r="N137" s="329"/>
      <c r="O137" s="329"/>
      <c r="P137" s="329"/>
      <c r="Q137" s="329"/>
      <c r="R137" s="329"/>
      <c r="S137" s="206">
        <v>2500</v>
      </c>
      <c r="T137" s="352"/>
      <c r="U137" s="315"/>
      <c r="W137" s="156"/>
    </row>
    <row r="138" spans="1:23" s="13" customFormat="1" ht="39.75" customHeight="1">
      <c r="A138" s="219">
        <v>5</v>
      </c>
      <c r="B138" s="220" t="s">
        <v>195</v>
      </c>
      <c r="C138" s="205" t="s">
        <v>185</v>
      </c>
      <c r="D138" s="221">
        <v>1200</v>
      </c>
      <c r="E138" s="329"/>
      <c r="F138" s="329"/>
      <c r="G138" s="329"/>
      <c r="H138" s="329"/>
      <c r="I138" s="329"/>
      <c r="J138" s="329"/>
      <c r="K138" s="329"/>
      <c r="L138" s="329"/>
      <c r="M138" s="329"/>
      <c r="N138" s="329"/>
      <c r="O138" s="329"/>
      <c r="P138" s="329"/>
      <c r="Q138" s="329"/>
      <c r="R138" s="329"/>
      <c r="S138" s="206">
        <v>1000</v>
      </c>
      <c r="T138" s="352"/>
      <c r="U138" s="315"/>
      <c r="W138" s="156"/>
    </row>
    <row r="139" spans="1:23" s="13" customFormat="1" ht="39.75" customHeight="1">
      <c r="A139" s="219">
        <v>6</v>
      </c>
      <c r="B139" s="220" t="s">
        <v>194</v>
      </c>
      <c r="C139" s="205" t="s">
        <v>193</v>
      </c>
      <c r="D139" s="221">
        <v>3900</v>
      </c>
      <c r="E139" s="329"/>
      <c r="F139" s="329"/>
      <c r="G139" s="329"/>
      <c r="H139" s="329"/>
      <c r="I139" s="329"/>
      <c r="J139" s="329"/>
      <c r="K139" s="329"/>
      <c r="L139" s="329"/>
      <c r="M139" s="329"/>
      <c r="N139" s="329"/>
      <c r="O139" s="329"/>
      <c r="P139" s="329"/>
      <c r="Q139" s="329"/>
      <c r="R139" s="329"/>
      <c r="S139" s="206">
        <v>2000</v>
      </c>
      <c r="T139" s="352"/>
      <c r="U139" s="315"/>
      <c r="W139" s="156"/>
    </row>
    <row r="140" spans="1:23" s="13" customFormat="1" ht="39.75" customHeight="1">
      <c r="A140" s="219">
        <v>7</v>
      </c>
      <c r="B140" s="220" t="s">
        <v>192</v>
      </c>
      <c r="C140" s="205" t="s">
        <v>102</v>
      </c>
      <c r="D140" s="221">
        <v>2300</v>
      </c>
      <c r="E140" s="329"/>
      <c r="F140" s="329"/>
      <c r="G140" s="329"/>
      <c r="H140" s="329"/>
      <c r="I140" s="329"/>
      <c r="J140" s="329"/>
      <c r="K140" s="329"/>
      <c r="L140" s="329"/>
      <c r="M140" s="329"/>
      <c r="N140" s="329"/>
      <c r="O140" s="329"/>
      <c r="P140" s="329"/>
      <c r="Q140" s="329"/>
      <c r="R140" s="329"/>
      <c r="S140" s="206">
        <v>1000</v>
      </c>
      <c r="T140" s="352"/>
      <c r="U140" s="315"/>
      <c r="W140" s="156"/>
    </row>
    <row r="141" spans="1:23" s="13" customFormat="1" ht="39.75" customHeight="1">
      <c r="A141" s="219">
        <v>8</v>
      </c>
      <c r="B141" s="220" t="s">
        <v>189</v>
      </c>
      <c r="C141" s="205" t="s">
        <v>185</v>
      </c>
      <c r="D141" s="221">
        <v>1500</v>
      </c>
      <c r="E141" s="329"/>
      <c r="F141" s="329"/>
      <c r="G141" s="329"/>
      <c r="H141" s="329"/>
      <c r="I141" s="329"/>
      <c r="J141" s="329"/>
      <c r="K141" s="329"/>
      <c r="L141" s="329"/>
      <c r="M141" s="329"/>
      <c r="N141" s="329"/>
      <c r="O141" s="329"/>
      <c r="P141" s="329"/>
      <c r="Q141" s="329"/>
      <c r="R141" s="329"/>
      <c r="S141" s="206">
        <v>500</v>
      </c>
      <c r="T141" s="352"/>
      <c r="U141" s="315"/>
      <c r="W141" s="156"/>
    </row>
    <row r="142" spans="1:23" s="13" customFormat="1" ht="39.75" customHeight="1">
      <c r="A142" s="219">
        <v>9</v>
      </c>
      <c r="B142" s="220" t="s">
        <v>188</v>
      </c>
      <c r="C142" s="205" t="s">
        <v>185</v>
      </c>
      <c r="D142" s="221">
        <v>3000</v>
      </c>
      <c r="E142" s="329"/>
      <c r="F142" s="329"/>
      <c r="G142" s="329"/>
      <c r="H142" s="329"/>
      <c r="I142" s="329"/>
      <c r="J142" s="329"/>
      <c r="K142" s="329"/>
      <c r="L142" s="329"/>
      <c r="M142" s="329"/>
      <c r="N142" s="329"/>
      <c r="O142" s="329"/>
      <c r="P142" s="329"/>
      <c r="Q142" s="329"/>
      <c r="R142" s="329"/>
      <c r="S142" s="206">
        <v>1500</v>
      </c>
      <c r="T142" s="352"/>
      <c r="U142" s="315"/>
      <c r="W142" s="156"/>
    </row>
    <row r="143" spans="1:23" s="13" customFormat="1" ht="39.75" customHeight="1">
      <c r="A143" s="219">
        <v>10</v>
      </c>
      <c r="B143" s="220" t="s">
        <v>187</v>
      </c>
      <c r="C143" s="205" t="s">
        <v>185</v>
      </c>
      <c r="D143" s="221">
        <v>4200</v>
      </c>
      <c r="E143" s="329"/>
      <c r="F143" s="329"/>
      <c r="G143" s="329"/>
      <c r="H143" s="329"/>
      <c r="I143" s="329"/>
      <c r="J143" s="329"/>
      <c r="K143" s="329"/>
      <c r="L143" s="329"/>
      <c r="M143" s="329"/>
      <c r="N143" s="329"/>
      <c r="O143" s="329"/>
      <c r="P143" s="329"/>
      <c r="Q143" s="329"/>
      <c r="R143" s="329"/>
      <c r="S143" s="206">
        <v>2000</v>
      </c>
      <c r="T143" s="352"/>
      <c r="U143" s="315"/>
      <c r="W143" s="156"/>
    </row>
    <row r="144" spans="1:23" s="13" customFormat="1" ht="39.75" customHeight="1">
      <c r="A144" s="219">
        <v>11</v>
      </c>
      <c r="B144" s="220" t="s">
        <v>186</v>
      </c>
      <c r="C144" s="205" t="s">
        <v>185</v>
      </c>
      <c r="D144" s="221">
        <v>4200</v>
      </c>
      <c r="E144" s="329"/>
      <c r="F144" s="329"/>
      <c r="G144" s="329"/>
      <c r="H144" s="329"/>
      <c r="I144" s="329"/>
      <c r="J144" s="329"/>
      <c r="K144" s="329"/>
      <c r="L144" s="329"/>
      <c r="M144" s="329"/>
      <c r="N144" s="329"/>
      <c r="O144" s="329"/>
      <c r="P144" s="329"/>
      <c r="Q144" s="329"/>
      <c r="R144" s="329"/>
      <c r="S144" s="206">
        <v>2000</v>
      </c>
      <c r="T144" s="352"/>
      <c r="U144" s="315"/>
      <c r="W144" s="156"/>
    </row>
    <row r="145" spans="1:20" ht="39.75" customHeight="1" thickBot="1">
      <c r="A145" s="23">
        <v>12</v>
      </c>
      <c r="B145" s="20" t="s">
        <v>182</v>
      </c>
      <c r="C145" s="23" t="s">
        <v>72</v>
      </c>
      <c r="D145" s="208"/>
      <c r="E145" s="330"/>
      <c r="F145" s="330"/>
      <c r="G145" s="330"/>
      <c r="H145" s="330"/>
      <c r="I145" s="330"/>
      <c r="J145" s="330"/>
      <c r="K145" s="330"/>
      <c r="L145" s="330"/>
      <c r="M145" s="330"/>
      <c r="N145" s="330"/>
      <c r="O145" s="330"/>
      <c r="P145" s="330"/>
      <c r="Q145" s="330"/>
      <c r="R145" s="330"/>
      <c r="S145" s="209"/>
      <c r="T145" s="314"/>
    </row>
    <row r="146" ht="16.5" thickTop="1"/>
  </sheetData>
  <sheetProtection/>
  <mergeCells count="30">
    <mergeCell ref="H5:H8"/>
    <mergeCell ref="A1:B1"/>
    <mergeCell ref="A2:T2"/>
    <mergeCell ref="A3:T3"/>
    <mergeCell ref="O5:P5"/>
    <mergeCell ref="Q5:R5"/>
    <mergeCell ref="T5:T8"/>
    <mergeCell ref="S5:S8"/>
    <mergeCell ref="I5:I8"/>
    <mergeCell ref="R6:R8"/>
    <mergeCell ref="F5:F8"/>
    <mergeCell ref="E4:T4"/>
    <mergeCell ref="A5:A8"/>
    <mergeCell ref="B5:B8"/>
    <mergeCell ref="C5:C8"/>
    <mergeCell ref="D5:D8"/>
    <mergeCell ref="P6:P8"/>
    <mergeCell ref="E5:E8"/>
    <mergeCell ref="O6:O8"/>
    <mergeCell ref="L5:L8"/>
    <mergeCell ref="N5:N8"/>
    <mergeCell ref="G5:G8"/>
    <mergeCell ref="U129:U132"/>
    <mergeCell ref="U122:U128"/>
    <mergeCell ref="U115:U117"/>
    <mergeCell ref="J5:J8"/>
    <mergeCell ref="U107:W107"/>
    <mergeCell ref="Q6:Q8"/>
    <mergeCell ref="M5:M8"/>
    <mergeCell ref="K5:K8"/>
  </mergeCells>
  <printOptions/>
  <pageMargins left="0.53" right="0" top="0.37" bottom="0.37" header="0.25" footer="0.2"/>
  <pageSetup horizontalDpi="600" verticalDpi="600" orientation="landscape" paperSize="9" scale="75" r:id="rId1"/>
  <headerFooter alignWithMargins="0">
    <oddFooter>&amp;CPage &amp;P</oddFooter>
  </headerFooter>
  <rowBreaks count="1" manualBreakCount="1">
    <brk id="44" max="10" man="1"/>
  </rowBreaks>
</worksheet>
</file>

<file path=xl/worksheets/sheet4.xml><?xml version="1.0" encoding="utf-8"?>
<worksheet xmlns="http://schemas.openxmlformats.org/spreadsheetml/2006/main" xmlns:r="http://schemas.openxmlformats.org/officeDocument/2006/relationships">
  <sheetPr>
    <tabColor rgb="FFFFFF00"/>
  </sheetPr>
  <dimension ref="A1:N15"/>
  <sheetViews>
    <sheetView view="pageBreakPreview" zoomScaleNormal="85" zoomScaleSheetLayoutView="100" zoomScalePageLayoutView="0" workbookViewId="0" topLeftCell="A1">
      <selection activeCell="J14" sqref="J14"/>
    </sheetView>
  </sheetViews>
  <sheetFormatPr defaultColWidth="9.00390625" defaultRowHeight="15.75"/>
  <cols>
    <col min="1" max="1" width="4.00390625" style="222" customWidth="1"/>
    <col min="2" max="2" width="31.375" style="223" customWidth="1"/>
    <col min="3" max="3" width="10.125" style="222" customWidth="1"/>
    <col min="4" max="4" width="10.125" style="223" customWidth="1"/>
    <col min="5" max="5" width="11.125" style="222" customWidth="1"/>
    <col min="6" max="7" width="11.125" style="222" hidden="1" customWidth="1"/>
    <col min="8" max="8" width="11.125" style="222" customWidth="1"/>
    <col min="9" max="9" width="11.25390625" style="222" customWidth="1"/>
    <col min="10" max="10" width="10.75390625" style="222" customWidth="1"/>
    <col min="11" max="12" width="10.875" style="222" customWidth="1"/>
    <col min="13" max="13" width="13.00390625" style="223" customWidth="1"/>
    <col min="14" max="14" width="40.00390625" style="223" customWidth="1"/>
    <col min="15" max="16384" width="9.00390625" style="223" customWidth="1"/>
  </cols>
  <sheetData>
    <row r="1" spans="1:2" ht="15.75">
      <c r="A1" s="378" t="s">
        <v>320</v>
      </c>
      <c r="B1" s="378"/>
    </row>
    <row r="2" spans="1:13" ht="21" customHeight="1">
      <c r="A2" s="385" t="s">
        <v>319</v>
      </c>
      <c r="B2" s="385"/>
      <c r="C2" s="385"/>
      <c r="D2" s="385"/>
      <c r="E2" s="385"/>
      <c r="F2" s="385"/>
      <c r="G2" s="385"/>
      <c r="H2" s="385"/>
      <c r="I2" s="385"/>
      <c r="J2" s="385"/>
      <c r="K2" s="385"/>
      <c r="L2" s="385"/>
      <c r="M2" s="385"/>
    </row>
    <row r="3" spans="1:13" ht="22.5" customHeight="1">
      <c r="A3" s="386" t="str">
        <f>'CĐNS HUYỆN'!A3:T3</f>
        <v>(Kèm theo Báo cáo số       /BC-UBND ngày       tháng 11 năm 2019 của UBND huyện Tuần Giáo)</v>
      </c>
      <c r="B3" s="386"/>
      <c r="C3" s="386"/>
      <c r="D3" s="386"/>
      <c r="E3" s="386"/>
      <c r="F3" s="386"/>
      <c r="G3" s="386"/>
      <c r="H3" s="386"/>
      <c r="I3" s="386"/>
      <c r="J3" s="386"/>
      <c r="K3" s="386"/>
      <c r="L3" s="386"/>
      <c r="M3" s="386"/>
    </row>
    <row r="4" spans="5:13" ht="18.75" customHeight="1">
      <c r="E4" s="384"/>
      <c r="F4" s="384"/>
      <c r="G4" s="384"/>
      <c r="H4" s="384"/>
      <c r="I4" s="384"/>
      <c r="J4" s="384"/>
      <c r="K4" s="384"/>
      <c r="L4" s="384"/>
      <c r="M4" s="384"/>
    </row>
    <row r="5" spans="1:13" s="124" customFormat="1" ht="21" customHeight="1">
      <c r="A5" s="387" t="s">
        <v>309</v>
      </c>
      <c r="B5" s="388" t="s">
        <v>308</v>
      </c>
      <c r="C5" s="387" t="s">
        <v>307</v>
      </c>
      <c r="D5" s="387" t="s">
        <v>122</v>
      </c>
      <c r="E5" s="387" t="s">
        <v>318</v>
      </c>
      <c r="F5" s="381" t="s">
        <v>548</v>
      </c>
      <c r="G5" s="381" t="s">
        <v>550</v>
      </c>
      <c r="H5" s="387" t="s">
        <v>176</v>
      </c>
      <c r="I5" s="387"/>
      <c r="J5" s="387" t="s">
        <v>305</v>
      </c>
      <c r="K5" s="387"/>
      <c r="L5" s="381" t="s">
        <v>175</v>
      </c>
      <c r="M5" s="387" t="s">
        <v>174</v>
      </c>
    </row>
    <row r="6" spans="1:13" s="124" customFormat="1" ht="5.25" customHeight="1">
      <c r="A6" s="387"/>
      <c r="B6" s="388"/>
      <c r="C6" s="387"/>
      <c r="D6" s="387"/>
      <c r="E6" s="387"/>
      <c r="F6" s="382"/>
      <c r="G6" s="382"/>
      <c r="H6" s="387"/>
      <c r="I6" s="387"/>
      <c r="J6" s="387"/>
      <c r="K6" s="387"/>
      <c r="L6" s="382"/>
      <c r="M6" s="387"/>
    </row>
    <row r="7" spans="1:13" s="124" customFormat="1" ht="23.25" customHeight="1">
      <c r="A7" s="387"/>
      <c r="B7" s="388"/>
      <c r="C7" s="387"/>
      <c r="D7" s="387"/>
      <c r="E7" s="387"/>
      <c r="F7" s="382"/>
      <c r="G7" s="382"/>
      <c r="H7" s="387" t="s">
        <v>172</v>
      </c>
      <c r="I7" s="387" t="s">
        <v>317</v>
      </c>
      <c r="J7" s="387" t="s">
        <v>172</v>
      </c>
      <c r="K7" s="387" t="s">
        <v>316</v>
      </c>
      <c r="L7" s="382"/>
      <c r="M7" s="387"/>
    </row>
    <row r="8" spans="1:13" s="124" customFormat="1" ht="19.5" customHeight="1">
      <c r="A8" s="387"/>
      <c r="B8" s="388"/>
      <c r="C8" s="387"/>
      <c r="D8" s="387"/>
      <c r="E8" s="387"/>
      <c r="F8" s="383"/>
      <c r="G8" s="383"/>
      <c r="H8" s="387"/>
      <c r="I8" s="387"/>
      <c r="J8" s="387"/>
      <c r="K8" s="387"/>
      <c r="L8" s="383"/>
      <c r="M8" s="387"/>
    </row>
    <row r="9" spans="1:14" s="124" customFormat="1" ht="30.75" customHeight="1">
      <c r="A9" s="224" t="s">
        <v>20</v>
      </c>
      <c r="B9" s="225" t="s">
        <v>78</v>
      </c>
      <c r="C9" s="226"/>
      <c r="D9" s="227">
        <f aca="true" t="shared" si="0" ref="D9:L9">D10</f>
        <v>6750</v>
      </c>
      <c r="E9" s="227">
        <f t="shared" si="0"/>
        <v>5252</v>
      </c>
      <c r="F9" s="227"/>
      <c r="G9" s="227"/>
      <c r="H9" s="227">
        <f t="shared" si="0"/>
        <v>5310</v>
      </c>
      <c r="I9" s="227">
        <f t="shared" si="0"/>
        <v>5430</v>
      </c>
      <c r="J9" s="227">
        <f t="shared" si="0"/>
        <v>5252</v>
      </c>
      <c r="K9" s="227">
        <f t="shared" si="0"/>
        <v>5252</v>
      </c>
      <c r="L9" s="227">
        <f t="shared" si="0"/>
        <v>1498</v>
      </c>
      <c r="M9" s="228"/>
      <c r="N9" s="229"/>
    </row>
    <row r="10" spans="1:14" s="124" customFormat="1" ht="26.25" customHeight="1">
      <c r="A10" s="230" t="s">
        <v>18</v>
      </c>
      <c r="B10" s="231" t="s">
        <v>233</v>
      </c>
      <c r="C10" s="230"/>
      <c r="D10" s="232">
        <f aca="true" t="shared" si="1" ref="D10:L10">SUM(D11:D14)</f>
        <v>6750</v>
      </c>
      <c r="E10" s="232">
        <f t="shared" si="1"/>
        <v>5252</v>
      </c>
      <c r="F10" s="232"/>
      <c r="G10" s="232"/>
      <c r="H10" s="232">
        <f t="shared" si="1"/>
        <v>5310</v>
      </c>
      <c r="I10" s="232">
        <f t="shared" si="1"/>
        <v>5430</v>
      </c>
      <c r="J10" s="232">
        <f t="shared" si="1"/>
        <v>5252</v>
      </c>
      <c r="K10" s="232">
        <f t="shared" si="1"/>
        <v>5252</v>
      </c>
      <c r="L10" s="232">
        <f t="shared" si="1"/>
        <v>1498</v>
      </c>
      <c r="M10" s="233"/>
      <c r="N10" s="229"/>
    </row>
    <row r="11" spans="1:14" ht="33.75" customHeight="1">
      <c r="A11" s="234">
        <v>1</v>
      </c>
      <c r="B11" s="235" t="s">
        <v>315</v>
      </c>
      <c r="C11" s="236" t="s">
        <v>250</v>
      </c>
      <c r="D11" s="237">
        <v>2150</v>
      </c>
      <c r="E11" s="233">
        <v>1900</v>
      </c>
      <c r="F11" s="233">
        <v>2000</v>
      </c>
      <c r="G11" s="233">
        <v>1900</v>
      </c>
      <c r="H11" s="233">
        <v>1780</v>
      </c>
      <c r="I11" s="233">
        <f>740+1160</f>
        <v>1900</v>
      </c>
      <c r="J11" s="233">
        <v>1900</v>
      </c>
      <c r="K11" s="233">
        <v>1900</v>
      </c>
      <c r="L11" s="233">
        <v>250</v>
      </c>
      <c r="M11" s="238"/>
      <c r="N11" s="239" t="s">
        <v>136</v>
      </c>
    </row>
    <row r="12" spans="1:14" ht="33.75" customHeight="1">
      <c r="A12" s="234">
        <v>2</v>
      </c>
      <c r="B12" s="235" t="s">
        <v>314</v>
      </c>
      <c r="C12" s="236" t="s">
        <v>143</v>
      </c>
      <c r="D12" s="237">
        <v>1400</v>
      </c>
      <c r="E12" s="233">
        <v>1300</v>
      </c>
      <c r="F12" s="233">
        <v>1300</v>
      </c>
      <c r="G12" s="233">
        <v>1300</v>
      </c>
      <c r="H12" s="233">
        <v>1300</v>
      </c>
      <c r="I12" s="233">
        <v>1300</v>
      </c>
      <c r="J12" s="233">
        <v>1300</v>
      </c>
      <c r="K12" s="233">
        <v>1300</v>
      </c>
      <c r="L12" s="233">
        <v>100</v>
      </c>
      <c r="M12" s="238"/>
      <c r="N12" s="239" t="s">
        <v>136</v>
      </c>
    </row>
    <row r="13" spans="1:14" ht="33.75" customHeight="1">
      <c r="A13" s="234">
        <v>3</v>
      </c>
      <c r="B13" s="235" t="s">
        <v>313</v>
      </c>
      <c r="C13" s="236" t="s">
        <v>160</v>
      </c>
      <c r="D13" s="237">
        <v>1900</v>
      </c>
      <c r="E13" s="233">
        <v>1352</v>
      </c>
      <c r="F13" s="233">
        <v>1539</v>
      </c>
      <c r="G13" s="233">
        <v>1352</v>
      </c>
      <c r="H13" s="233">
        <v>1530</v>
      </c>
      <c r="I13" s="233">
        <v>1530</v>
      </c>
      <c r="J13" s="233">
        <v>1352</v>
      </c>
      <c r="K13" s="233">
        <v>1352</v>
      </c>
      <c r="L13" s="233">
        <v>548</v>
      </c>
      <c r="M13" s="238"/>
      <c r="N13" s="239" t="s">
        <v>136</v>
      </c>
    </row>
    <row r="14" spans="1:14" ht="27.75" customHeight="1">
      <c r="A14" s="234">
        <v>4</v>
      </c>
      <c r="B14" s="235" t="s">
        <v>312</v>
      </c>
      <c r="C14" s="236" t="s">
        <v>143</v>
      </c>
      <c r="D14" s="237">
        <v>1300</v>
      </c>
      <c r="E14" s="233">
        <v>700</v>
      </c>
      <c r="F14" s="233"/>
      <c r="G14" s="233">
        <v>700</v>
      </c>
      <c r="H14" s="233">
        <v>700</v>
      </c>
      <c r="I14" s="233">
        <v>700</v>
      </c>
      <c r="J14" s="233">
        <v>700</v>
      </c>
      <c r="K14" s="233">
        <v>700</v>
      </c>
      <c r="L14" s="233">
        <v>600</v>
      </c>
      <c r="M14" s="240"/>
      <c r="N14" s="239" t="s">
        <v>136</v>
      </c>
    </row>
    <row r="15" spans="1:13" ht="16.5" thickBot="1">
      <c r="A15" s="241"/>
      <c r="B15" s="242"/>
      <c r="C15" s="241"/>
      <c r="D15" s="242"/>
      <c r="E15" s="241"/>
      <c r="F15" s="241"/>
      <c r="G15" s="241"/>
      <c r="H15" s="241"/>
      <c r="I15" s="241"/>
      <c r="J15" s="241"/>
      <c r="K15" s="241"/>
      <c r="L15" s="241"/>
      <c r="M15" s="242"/>
    </row>
    <row r="16" ht="16.5" thickTop="1"/>
  </sheetData>
  <sheetProtection/>
  <mergeCells count="19">
    <mergeCell ref="A1:B1"/>
    <mergeCell ref="A5:A8"/>
    <mergeCell ref="B5:B8"/>
    <mergeCell ref="C5:C8"/>
    <mergeCell ref="J5:K6"/>
    <mergeCell ref="H5:I6"/>
    <mergeCell ref="K7:K8"/>
    <mergeCell ref="I7:I8"/>
    <mergeCell ref="J7:J8"/>
    <mergeCell ref="G5:G8"/>
    <mergeCell ref="F5:F8"/>
    <mergeCell ref="E4:M4"/>
    <mergeCell ref="A2:M2"/>
    <mergeCell ref="A3:M3"/>
    <mergeCell ref="D5:D8"/>
    <mergeCell ref="L5:L8"/>
    <mergeCell ref="M5:M8"/>
    <mergeCell ref="H7:H8"/>
    <mergeCell ref="E5:E8"/>
  </mergeCells>
  <printOptions/>
  <pageMargins left="0.72" right="0" top="0.51" bottom="0.2362204724409449" header="0.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BZ34"/>
  <sheetViews>
    <sheetView zoomScalePageLayoutView="0" workbookViewId="0" topLeftCell="A1">
      <selection activeCell="A28" sqref="A1:IV16384"/>
    </sheetView>
  </sheetViews>
  <sheetFormatPr defaultColWidth="9.00390625" defaultRowHeight="15.75"/>
  <cols>
    <col min="1" max="1" width="3.875" style="6" customWidth="1"/>
    <col min="2" max="2" width="38.875" style="6" customWidth="1"/>
    <col min="3" max="3" width="13.00390625" style="19" customWidth="1"/>
    <col min="4" max="4" width="17.875" style="19" hidden="1" customWidth="1"/>
    <col min="5" max="5" width="9.75390625" style="19" hidden="1" customWidth="1"/>
    <col min="6" max="6" width="11.00390625" style="19" hidden="1" customWidth="1"/>
    <col min="7" max="7" width="10.25390625" style="6" customWidth="1"/>
    <col min="8" max="8" width="9.875" style="54" hidden="1" customWidth="1"/>
    <col min="9" max="10" width="9.875" style="6" hidden="1" customWidth="1"/>
    <col min="11" max="11" width="14.375" style="6" hidden="1" customWidth="1"/>
    <col min="12" max="12" width="14.125" style="6" hidden="1" customWidth="1"/>
    <col min="13" max="13" width="10.75390625" style="6" hidden="1" customWidth="1"/>
    <col min="14" max="14" width="11.75390625" style="6" hidden="1" customWidth="1"/>
    <col min="15" max="16" width="14.00390625" style="6" hidden="1" customWidth="1"/>
    <col min="17" max="17" width="14.125" style="6" hidden="1" customWidth="1"/>
    <col min="18" max="22" width="10.00390625" style="6" hidden="1" customWidth="1"/>
    <col min="23" max="23" width="10.50390625" style="6" hidden="1" customWidth="1"/>
    <col min="24" max="24" width="8.625" style="6" hidden="1" customWidth="1"/>
    <col min="25" max="25" width="12.375" style="6" hidden="1" customWidth="1"/>
    <col min="26" max="26" width="9.50390625" style="6" hidden="1" customWidth="1"/>
    <col min="27" max="27" width="0.74609375" style="6" hidden="1" customWidth="1"/>
    <col min="28" max="28" width="0.12890625" style="6" customWidth="1"/>
    <col min="29" max="30" width="13.125" style="6" hidden="1" customWidth="1"/>
    <col min="31" max="31" width="9.375" style="6" hidden="1" customWidth="1"/>
    <col min="32" max="32" width="15.875" style="6" hidden="1" customWidth="1"/>
    <col min="33" max="33" width="11.00390625" style="6" hidden="1" customWidth="1"/>
    <col min="34" max="36" width="14.50390625" style="6" hidden="1" customWidth="1"/>
    <col min="37" max="41" width="10.875" style="6" hidden="1" customWidth="1"/>
    <col min="42" max="42" width="11.25390625" style="6" hidden="1" customWidth="1"/>
    <col min="43" max="43" width="9.875" style="6" hidden="1" customWidth="1"/>
    <col min="44" max="44" width="9.375" style="6" hidden="1" customWidth="1"/>
    <col min="45" max="45" width="11.50390625" style="6" hidden="1" customWidth="1"/>
    <col min="46" max="46" width="13.75390625" style="6" hidden="1" customWidth="1"/>
    <col min="47" max="47" width="10.875" style="6" hidden="1" customWidth="1"/>
    <col min="48" max="48" width="13.75390625" style="6" hidden="1" customWidth="1"/>
    <col min="49" max="49" width="10.625" style="6" hidden="1" customWidth="1"/>
    <col min="50" max="50" width="16.625" style="6" hidden="1" customWidth="1"/>
    <col min="51" max="51" width="10.375" style="55" customWidth="1"/>
    <col min="52" max="52" width="10.375" style="55" hidden="1" customWidth="1"/>
    <col min="53" max="56" width="9.375" style="55" hidden="1" customWidth="1"/>
    <col min="57" max="57" width="10.75390625" style="55" customWidth="1"/>
    <col min="58" max="58" width="10.375" style="55" customWidth="1"/>
    <col min="59" max="59" width="10.375" style="55" hidden="1" customWidth="1"/>
    <col min="60" max="63" width="9.625" style="55" hidden="1" customWidth="1"/>
    <col min="64" max="64" width="11.00390625" style="55" customWidth="1"/>
    <col min="65" max="65" width="10.375" style="55" customWidth="1"/>
    <col min="66" max="66" width="15.00390625" style="6" hidden="1" customWidth="1"/>
    <col min="67" max="67" width="11.25390625" style="18" hidden="1" customWidth="1"/>
    <col min="68" max="68" width="0.12890625" style="18" customWidth="1"/>
    <col min="69" max="69" width="11.875" style="18" customWidth="1"/>
    <col min="70" max="70" width="11.875" style="6" customWidth="1"/>
    <col min="71" max="71" width="12.875" style="6" hidden="1" customWidth="1"/>
    <col min="72" max="72" width="40.00390625" style="6" customWidth="1"/>
    <col min="73" max="73" width="21.625" style="6" customWidth="1"/>
    <col min="74" max="74" width="17.00390625" style="6" customWidth="1"/>
    <col min="75" max="16384" width="9.00390625" style="6" customWidth="1"/>
  </cols>
  <sheetData>
    <row r="1" spans="1:73" ht="15.75" customHeight="1">
      <c r="A1" s="378" t="s">
        <v>417</v>
      </c>
      <c r="B1" s="378"/>
      <c r="AF1" s="37"/>
      <c r="AX1" s="37"/>
      <c r="BN1" s="37"/>
      <c r="BO1" s="53"/>
      <c r="BP1" s="53"/>
      <c r="BQ1" s="53"/>
      <c r="BU1" s="37"/>
    </row>
    <row r="2" spans="1:78" ht="29.25" customHeight="1">
      <c r="A2" s="389" t="s">
        <v>416</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89"/>
      <c r="BM2" s="389"/>
      <c r="BN2" s="389"/>
      <c r="BO2" s="51"/>
      <c r="BP2" s="51"/>
      <c r="BQ2" s="51"/>
      <c r="BR2" s="51"/>
      <c r="BS2" s="51"/>
      <c r="BT2" s="51"/>
      <c r="BU2" s="51"/>
      <c r="BV2" s="51"/>
      <c r="BW2" s="51"/>
      <c r="BX2" s="51"/>
      <c r="BY2" s="51"/>
      <c r="BZ2" s="51"/>
    </row>
    <row r="3" spans="1:78" ht="21" customHeight="1">
      <c r="A3" s="390" t="str">
        <f>'[2]H.TRỢ ĐẤT LÚA ok'!A3:CR3</f>
        <v>(Kèm theo Báo cáo số       /BC-UBND ngày       tháng 11 năm 2019 của UBND huyện Tuần Giáo)</v>
      </c>
      <c r="B3" s="390"/>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c r="BN3" s="390"/>
      <c r="BO3" s="52"/>
      <c r="BP3" s="52"/>
      <c r="BQ3" s="52"/>
      <c r="BR3" s="52"/>
      <c r="BS3" s="51"/>
      <c r="BT3" s="51"/>
      <c r="BU3" s="51"/>
      <c r="BV3" s="51"/>
      <c r="BW3" s="51"/>
      <c r="BX3" s="51"/>
      <c r="BY3" s="51"/>
      <c r="BZ3" s="51"/>
    </row>
    <row r="4" spans="1:78" ht="22.5" customHeight="1">
      <c r="A4" s="50"/>
      <c r="B4" s="50"/>
      <c r="C4" s="50"/>
      <c r="D4" s="50"/>
      <c r="E4" s="50"/>
      <c r="F4" s="50"/>
      <c r="G4" s="50"/>
      <c r="H4" s="50"/>
      <c r="I4" s="50"/>
      <c r="J4" s="50"/>
      <c r="K4" s="50"/>
      <c r="L4" s="50"/>
      <c r="M4" s="323" t="s">
        <v>128</v>
      </c>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49"/>
      <c r="BT4" s="49"/>
      <c r="BU4" s="49"/>
      <c r="BV4" s="49"/>
      <c r="BW4" s="49"/>
      <c r="BX4" s="49"/>
      <c r="BY4" s="49"/>
      <c r="BZ4" s="49"/>
    </row>
    <row r="5" spans="1:70" ht="33" customHeight="1">
      <c r="A5" s="369" t="s">
        <v>179</v>
      </c>
      <c r="B5" s="369" t="s">
        <v>308</v>
      </c>
      <c r="C5" s="369" t="s">
        <v>415</v>
      </c>
      <c r="D5" s="369" t="s">
        <v>414</v>
      </c>
      <c r="E5" s="369" t="s">
        <v>124</v>
      </c>
      <c r="F5" s="369" t="s">
        <v>413</v>
      </c>
      <c r="G5" s="369" t="s">
        <v>122</v>
      </c>
      <c r="H5" s="392" t="s">
        <v>412</v>
      </c>
      <c r="I5" s="369" t="s">
        <v>411</v>
      </c>
      <c r="J5" s="369"/>
      <c r="K5" s="369" t="s">
        <v>317</v>
      </c>
      <c r="L5" s="369" t="s">
        <v>410</v>
      </c>
      <c r="M5" s="369" t="s">
        <v>409</v>
      </c>
      <c r="N5" s="48" t="s">
        <v>404</v>
      </c>
      <c r="O5" s="48"/>
      <c r="P5" s="48"/>
      <c r="Q5" s="48"/>
      <c r="R5" s="48" t="s">
        <v>404</v>
      </c>
      <c r="S5" s="48"/>
      <c r="T5" s="48"/>
      <c r="U5" s="48"/>
      <c r="V5" s="48"/>
      <c r="W5" s="48"/>
      <c r="X5" s="48"/>
      <c r="Y5" s="48"/>
      <c r="Z5" s="48"/>
      <c r="AA5" s="48"/>
      <c r="AB5" s="48"/>
      <c r="AC5" s="369" t="s">
        <v>408</v>
      </c>
      <c r="AD5" s="48"/>
      <c r="AE5" s="48"/>
      <c r="AF5" s="48"/>
      <c r="AG5" s="48" t="s">
        <v>407</v>
      </c>
      <c r="AH5" s="48"/>
      <c r="AI5" s="48"/>
      <c r="AJ5" s="48"/>
      <c r="AK5" s="48"/>
      <c r="AL5" s="48"/>
      <c r="AM5" s="48"/>
      <c r="AN5" s="48"/>
      <c r="AO5" s="48"/>
      <c r="AP5" s="48"/>
      <c r="AQ5" s="48"/>
      <c r="AR5" s="48"/>
      <c r="AS5" s="48"/>
      <c r="AT5" s="48"/>
      <c r="AU5" s="369" t="s">
        <v>406</v>
      </c>
      <c r="AV5" s="48"/>
      <c r="AW5" s="48"/>
      <c r="AX5" s="48"/>
      <c r="AY5" s="391" t="s">
        <v>405</v>
      </c>
      <c r="AZ5" s="391" t="s">
        <v>404</v>
      </c>
      <c r="BA5" s="391"/>
      <c r="BB5" s="391"/>
      <c r="BC5" s="391"/>
      <c r="BD5" s="391"/>
      <c r="BE5" s="391"/>
      <c r="BF5" s="391"/>
      <c r="BG5" s="391" t="s">
        <v>305</v>
      </c>
      <c r="BH5" s="391"/>
      <c r="BI5" s="391"/>
      <c r="BJ5" s="391"/>
      <c r="BK5" s="391"/>
      <c r="BL5" s="391"/>
      <c r="BM5" s="391"/>
      <c r="BN5" s="369" t="s">
        <v>174</v>
      </c>
      <c r="BO5" s="395" t="s">
        <v>403</v>
      </c>
      <c r="BP5" s="395" t="s">
        <v>402</v>
      </c>
      <c r="BQ5" s="393" t="s">
        <v>538</v>
      </c>
      <c r="BR5" s="369" t="s">
        <v>174</v>
      </c>
    </row>
    <row r="6" spans="1:70" ht="33" customHeight="1">
      <c r="A6" s="369"/>
      <c r="B6" s="369"/>
      <c r="C6" s="369"/>
      <c r="D6" s="369"/>
      <c r="E6" s="369"/>
      <c r="F6" s="369"/>
      <c r="G6" s="369"/>
      <c r="H6" s="392"/>
      <c r="I6" s="31" t="s">
        <v>401</v>
      </c>
      <c r="J6" s="31" t="s">
        <v>400</v>
      </c>
      <c r="K6" s="369"/>
      <c r="L6" s="369"/>
      <c r="M6" s="369"/>
      <c r="N6" s="31" t="s">
        <v>397</v>
      </c>
      <c r="O6" s="31" t="s">
        <v>396</v>
      </c>
      <c r="P6" s="31" t="s">
        <v>395</v>
      </c>
      <c r="Q6" s="31" t="s">
        <v>394</v>
      </c>
      <c r="R6" s="31" t="s">
        <v>381</v>
      </c>
      <c r="S6" s="31" t="s">
        <v>393</v>
      </c>
      <c r="T6" s="31" t="s">
        <v>392</v>
      </c>
      <c r="U6" s="31" t="s">
        <v>399</v>
      </c>
      <c r="V6" s="31" t="s">
        <v>398</v>
      </c>
      <c r="W6" s="31" t="s">
        <v>380</v>
      </c>
      <c r="X6" s="31" t="s">
        <v>387</v>
      </c>
      <c r="Y6" s="31" t="s">
        <v>388</v>
      </c>
      <c r="Z6" s="31" t="s">
        <v>387</v>
      </c>
      <c r="AA6" s="31" t="s">
        <v>386</v>
      </c>
      <c r="AB6" s="31" t="s">
        <v>385</v>
      </c>
      <c r="AC6" s="369"/>
      <c r="AD6" s="31" t="s">
        <v>173</v>
      </c>
      <c r="AE6" s="31" t="s">
        <v>173</v>
      </c>
      <c r="AF6" s="31" t="s">
        <v>173</v>
      </c>
      <c r="AG6" s="31" t="s">
        <v>397</v>
      </c>
      <c r="AH6" s="31" t="s">
        <v>396</v>
      </c>
      <c r="AI6" s="31" t="s">
        <v>395</v>
      </c>
      <c r="AJ6" s="31" t="s">
        <v>394</v>
      </c>
      <c r="AK6" s="31" t="s">
        <v>381</v>
      </c>
      <c r="AL6" s="31" t="s">
        <v>393</v>
      </c>
      <c r="AM6" s="31" t="s">
        <v>392</v>
      </c>
      <c r="AN6" s="31" t="s">
        <v>391</v>
      </c>
      <c r="AO6" s="31" t="s">
        <v>390</v>
      </c>
      <c r="AP6" s="31" t="s">
        <v>389</v>
      </c>
      <c r="AQ6" s="31" t="s">
        <v>388</v>
      </c>
      <c r="AR6" s="31" t="s">
        <v>387</v>
      </c>
      <c r="AS6" s="31" t="s">
        <v>386</v>
      </c>
      <c r="AT6" s="31" t="s">
        <v>385</v>
      </c>
      <c r="AU6" s="369"/>
      <c r="AV6" s="31" t="s">
        <v>171</v>
      </c>
      <c r="AW6" s="31" t="s">
        <v>171</v>
      </c>
      <c r="AX6" s="31" t="s">
        <v>171</v>
      </c>
      <c r="AY6" s="391"/>
      <c r="AZ6" s="56" t="s">
        <v>384</v>
      </c>
      <c r="BA6" s="56" t="s">
        <v>383</v>
      </c>
      <c r="BB6" s="56" t="s">
        <v>382</v>
      </c>
      <c r="BC6" s="56" t="s">
        <v>381</v>
      </c>
      <c r="BD6" s="56" t="s">
        <v>380</v>
      </c>
      <c r="BE6" s="56" t="s">
        <v>172</v>
      </c>
      <c r="BF6" s="56" t="s">
        <v>176</v>
      </c>
      <c r="BG6" s="56" t="s">
        <v>384</v>
      </c>
      <c r="BH6" s="56" t="s">
        <v>383</v>
      </c>
      <c r="BI6" s="56" t="s">
        <v>382</v>
      </c>
      <c r="BJ6" s="56" t="s">
        <v>381</v>
      </c>
      <c r="BK6" s="56" t="s">
        <v>380</v>
      </c>
      <c r="BL6" s="56" t="s">
        <v>172</v>
      </c>
      <c r="BM6" s="56" t="s">
        <v>379</v>
      </c>
      <c r="BN6" s="369"/>
      <c r="BO6" s="395"/>
      <c r="BP6" s="395"/>
      <c r="BQ6" s="394"/>
      <c r="BR6" s="369"/>
    </row>
    <row r="7" spans="1:74" ht="29.25" customHeight="1">
      <c r="A7" s="47"/>
      <c r="B7" s="47" t="s">
        <v>301</v>
      </c>
      <c r="C7" s="47"/>
      <c r="D7" s="47"/>
      <c r="E7" s="47"/>
      <c r="F7" s="47"/>
      <c r="G7" s="46">
        <f>+G8+G23</f>
        <v>40450</v>
      </c>
      <c r="H7" s="46">
        <f aca="true" t="shared" si="0" ref="H7:BR7">+H8+H23</f>
        <v>6260173000</v>
      </c>
      <c r="I7" s="46">
        <f t="shared" si="0"/>
        <v>500000000</v>
      </c>
      <c r="J7" s="46">
        <f t="shared" si="0"/>
        <v>2141905800</v>
      </c>
      <c r="K7" s="46">
        <f t="shared" si="0"/>
        <v>5347746600</v>
      </c>
      <c r="L7" s="46">
        <f t="shared" si="0"/>
        <v>4618267200</v>
      </c>
      <c r="M7" s="46">
        <f t="shared" si="0"/>
        <v>12749.89</v>
      </c>
      <c r="N7" s="46">
        <f t="shared" si="0"/>
        <v>0</v>
      </c>
      <c r="O7" s="46">
        <f t="shared" si="0"/>
        <v>1405727400</v>
      </c>
      <c r="P7" s="46">
        <f t="shared" si="0"/>
        <v>2000000000</v>
      </c>
      <c r="Q7" s="46">
        <f t="shared" si="0"/>
        <v>3405727400</v>
      </c>
      <c r="R7" s="46">
        <f t="shared" si="0"/>
        <v>0</v>
      </c>
      <c r="S7" s="46">
        <f t="shared" si="0"/>
        <v>16647.136</v>
      </c>
      <c r="T7" s="46">
        <f t="shared" si="0"/>
        <v>11680</v>
      </c>
      <c r="U7" s="46">
        <f t="shared" si="0"/>
        <v>4967.136</v>
      </c>
      <c r="V7" s="46">
        <f t="shared" si="0"/>
        <v>0</v>
      </c>
      <c r="W7" s="46">
        <f t="shared" si="0"/>
        <v>4967.136</v>
      </c>
      <c r="X7" s="46">
        <f t="shared" si="0"/>
        <v>421.4</v>
      </c>
      <c r="Y7" s="46">
        <f t="shared" si="0"/>
        <v>421400000</v>
      </c>
      <c r="Z7" s="46">
        <f t="shared" si="0"/>
        <v>4527.136</v>
      </c>
      <c r="AA7" s="46">
        <f t="shared" si="0"/>
        <v>4545.736</v>
      </c>
      <c r="AB7" s="46">
        <f t="shared" si="0"/>
        <v>4545736000</v>
      </c>
      <c r="AC7" s="46">
        <f t="shared" si="0"/>
        <v>21994.874</v>
      </c>
      <c r="AD7" s="46">
        <f t="shared" si="0"/>
        <v>10314.874</v>
      </c>
      <c r="AE7" s="46">
        <f t="shared" si="0"/>
        <v>10314.874</v>
      </c>
      <c r="AF7" s="46">
        <f t="shared" si="0"/>
        <v>10314874000</v>
      </c>
      <c r="AG7" s="46">
        <f t="shared" si="0"/>
        <v>0</v>
      </c>
      <c r="AH7" s="46">
        <f t="shared" si="0"/>
        <v>1065634000</v>
      </c>
      <c r="AI7" s="46">
        <f t="shared" si="0"/>
        <v>161014000</v>
      </c>
      <c r="AJ7" s="46">
        <f t="shared" si="0"/>
        <v>1226648000</v>
      </c>
      <c r="AK7" s="46">
        <f t="shared" si="0"/>
        <v>0</v>
      </c>
      <c r="AL7" s="46">
        <f t="shared" si="0"/>
        <v>11749.889000000001</v>
      </c>
      <c r="AM7" s="46">
        <f t="shared" si="0"/>
        <v>7962.2</v>
      </c>
      <c r="AN7" s="46">
        <f t="shared" si="0"/>
        <v>3787.689</v>
      </c>
      <c r="AO7" s="46">
        <f t="shared" si="0"/>
        <v>0</v>
      </c>
      <c r="AP7" s="46">
        <f t="shared" si="0"/>
        <v>3787.689</v>
      </c>
      <c r="AQ7" s="46">
        <f t="shared" si="0"/>
        <v>0</v>
      </c>
      <c r="AR7" s="46">
        <f t="shared" si="0"/>
        <v>3787.689</v>
      </c>
      <c r="AS7" s="46">
        <f t="shared" si="0"/>
        <v>0</v>
      </c>
      <c r="AT7" s="46">
        <f t="shared" si="0"/>
        <v>3787689000</v>
      </c>
      <c r="AU7" s="46">
        <f t="shared" si="0"/>
        <v>14701.616</v>
      </c>
      <c r="AV7" s="46">
        <f t="shared" si="0"/>
        <v>8477.5752</v>
      </c>
      <c r="AW7" s="46">
        <f t="shared" si="0"/>
        <v>8477.5752</v>
      </c>
      <c r="AX7" s="46">
        <f t="shared" si="0"/>
        <v>8477575200</v>
      </c>
      <c r="AY7" s="46">
        <f t="shared" si="0"/>
        <v>15300</v>
      </c>
      <c r="AZ7" s="46">
        <f t="shared" si="0"/>
        <v>0</v>
      </c>
      <c r="BA7" s="46">
        <f t="shared" si="0"/>
        <v>0</v>
      </c>
      <c r="BB7" s="46">
        <f t="shared" si="0"/>
        <v>7179.624</v>
      </c>
      <c r="BC7" s="46">
        <f t="shared" si="0"/>
        <v>0</v>
      </c>
      <c r="BD7" s="46">
        <f t="shared" si="0"/>
        <v>0</v>
      </c>
      <c r="BE7" s="46">
        <f t="shared" si="0"/>
        <v>14543.824</v>
      </c>
      <c r="BF7" s="46">
        <f t="shared" si="0"/>
        <v>36088.698000000004</v>
      </c>
      <c r="BG7" s="46">
        <f t="shared" si="0"/>
        <v>0</v>
      </c>
      <c r="BH7" s="46">
        <f t="shared" si="0"/>
        <v>0</v>
      </c>
      <c r="BI7" s="46">
        <f t="shared" si="0"/>
        <v>9144.3</v>
      </c>
      <c r="BJ7" s="46">
        <f t="shared" si="0"/>
        <v>0</v>
      </c>
      <c r="BK7" s="46">
        <f t="shared" si="0"/>
        <v>0</v>
      </c>
      <c r="BL7" s="46">
        <f t="shared" si="0"/>
        <v>15293.9</v>
      </c>
      <c r="BM7" s="46">
        <f t="shared" si="0"/>
        <v>30430.316</v>
      </c>
      <c r="BN7" s="46">
        <f t="shared" si="0"/>
        <v>0</v>
      </c>
      <c r="BO7" s="46">
        <f t="shared" si="0"/>
        <v>5380</v>
      </c>
      <c r="BP7" s="46">
        <f t="shared" si="0"/>
        <v>6.099999999999909</v>
      </c>
      <c r="BQ7" s="46">
        <f>+BQ8+BQ23+BQ28</f>
        <v>13540.5</v>
      </c>
      <c r="BR7" s="46">
        <f t="shared" si="0"/>
        <v>0</v>
      </c>
      <c r="BT7" s="45"/>
      <c r="BU7" s="44"/>
      <c r="BV7" s="41"/>
    </row>
    <row r="8" spans="1:74" ht="29.25" customHeight="1">
      <c r="A8" s="43" t="s">
        <v>20</v>
      </c>
      <c r="B8" s="42" t="s">
        <v>83</v>
      </c>
      <c r="C8" s="15"/>
      <c r="D8" s="15"/>
      <c r="E8" s="15"/>
      <c r="F8" s="15"/>
      <c r="G8" s="57">
        <f>+SUM(G9:G22)</f>
        <v>32950</v>
      </c>
      <c r="H8" s="57">
        <f aca="true" t="shared" si="1" ref="H8:BS8">+SUM(H9:H22)</f>
        <v>6260173000</v>
      </c>
      <c r="I8" s="57">
        <f t="shared" si="1"/>
        <v>500000000</v>
      </c>
      <c r="J8" s="57">
        <f t="shared" si="1"/>
        <v>2141905800</v>
      </c>
      <c r="K8" s="57">
        <f t="shared" si="1"/>
        <v>5347746600</v>
      </c>
      <c r="L8" s="57">
        <f t="shared" si="1"/>
        <v>4618267200</v>
      </c>
      <c r="M8" s="57">
        <f t="shared" si="1"/>
        <v>10749.89</v>
      </c>
      <c r="N8" s="57">
        <f t="shared" si="1"/>
        <v>0</v>
      </c>
      <c r="O8" s="57">
        <f t="shared" si="1"/>
        <v>1405727400</v>
      </c>
      <c r="P8" s="57">
        <f t="shared" si="1"/>
        <v>2000000000</v>
      </c>
      <c r="Q8" s="57">
        <f t="shared" si="1"/>
        <v>3405727400</v>
      </c>
      <c r="R8" s="57">
        <f t="shared" si="1"/>
        <v>0</v>
      </c>
      <c r="S8" s="57">
        <f t="shared" si="1"/>
        <v>16647.136</v>
      </c>
      <c r="T8" s="57">
        <f t="shared" si="1"/>
        <v>11680</v>
      </c>
      <c r="U8" s="57">
        <f t="shared" si="1"/>
        <v>4967.136</v>
      </c>
      <c r="V8" s="57">
        <f t="shared" si="1"/>
        <v>0</v>
      </c>
      <c r="W8" s="57">
        <f t="shared" si="1"/>
        <v>4967.136</v>
      </c>
      <c r="X8" s="57">
        <f t="shared" si="1"/>
        <v>421.4</v>
      </c>
      <c r="Y8" s="57">
        <f t="shared" si="1"/>
        <v>421400000</v>
      </c>
      <c r="Z8" s="57">
        <f t="shared" si="1"/>
        <v>4527.136</v>
      </c>
      <c r="AA8" s="57">
        <f t="shared" si="1"/>
        <v>4545.736</v>
      </c>
      <c r="AB8" s="57">
        <f t="shared" si="1"/>
        <v>4545736000</v>
      </c>
      <c r="AC8" s="57">
        <f t="shared" si="1"/>
        <v>21994.874</v>
      </c>
      <c r="AD8" s="57">
        <f t="shared" si="1"/>
        <v>10314.874</v>
      </c>
      <c r="AE8" s="57">
        <f t="shared" si="1"/>
        <v>10314.874</v>
      </c>
      <c r="AF8" s="57">
        <f t="shared" si="1"/>
        <v>10314874000</v>
      </c>
      <c r="AG8" s="57">
        <f t="shared" si="1"/>
        <v>0</v>
      </c>
      <c r="AH8" s="57">
        <f t="shared" si="1"/>
        <v>1065634000</v>
      </c>
      <c r="AI8" s="57">
        <f t="shared" si="1"/>
        <v>161014000</v>
      </c>
      <c r="AJ8" s="57">
        <f t="shared" si="1"/>
        <v>1226648000</v>
      </c>
      <c r="AK8" s="57">
        <f t="shared" si="1"/>
        <v>0</v>
      </c>
      <c r="AL8" s="57">
        <f t="shared" si="1"/>
        <v>11749.889000000001</v>
      </c>
      <c r="AM8" s="57">
        <f t="shared" si="1"/>
        <v>7962.2</v>
      </c>
      <c r="AN8" s="57">
        <f t="shared" si="1"/>
        <v>3787.689</v>
      </c>
      <c r="AO8" s="57">
        <f t="shared" si="1"/>
        <v>0</v>
      </c>
      <c r="AP8" s="57">
        <f t="shared" si="1"/>
        <v>3787.689</v>
      </c>
      <c r="AQ8" s="57">
        <f t="shared" si="1"/>
        <v>0</v>
      </c>
      <c r="AR8" s="57">
        <f t="shared" si="1"/>
        <v>3787.689</v>
      </c>
      <c r="AS8" s="57">
        <f t="shared" si="1"/>
        <v>0</v>
      </c>
      <c r="AT8" s="57">
        <f t="shared" si="1"/>
        <v>3787689000</v>
      </c>
      <c r="AU8" s="57">
        <f t="shared" si="1"/>
        <v>14701.616</v>
      </c>
      <c r="AV8" s="57">
        <f t="shared" si="1"/>
        <v>8477.5752</v>
      </c>
      <c r="AW8" s="57">
        <f t="shared" si="1"/>
        <v>8477.5752</v>
      </c>
      <c r="AX8" s="57">
        <f t="shared" si="1"/>
        <v>8477575200</v>
      </c>
      <c r="AY8" s="57">
        <f t="shared" si="1"/>
        <v>10300</v>
      </c>
      <c r="AZ8" s="57">
        <f t="shared" si="1"/>
        <v>0</v>
      </c>
      <c r="BA8" s="57">
        <f t="shared" si="1"/>
        <v>0</v>
      </c>
      <c r="BB8" s="57">
        <f t="shared" si="1"/>
        <v>7179.624</v>
      </c>
      <c r="BC8" s="57">
        <f t="shared" si="1"/>
        <v>0</v>
      </c>
      <c r="BD8" s="57">
        <f t="shared" si="1"/>
        <v>0</v>
      </c>
      <c r="BE8" s="57">
        <f t="shared" si="1"/>
        <v>9492.024</v>
      </c>
      <c r="BF8" s="57">
        <f t="shared" si="1"/>
        <v>31036.898</v>
      </c>
      <c r="BG8" s="57">
        <f t="shared" si="1"/>
        <v>0</v>
      </c>
      <c r="BH8" s="57">
        <f t="shared" si="1"/>
        <v>0</v>
      </c>
      <c r="BI8" s="57">
        <f t="shared" si="1"/>
        <v>9144.3</v>
      </c>
      <c r="BJ8" s="57">
        <f t="shared" si="1"/>
        <v>0</v>
      </c>
      <c r="BK8" s="57">
        <f t="shared" si="1"/>
        <v>0</v>
      </c>
      <c r="BL8" s="57">
        <f t="shared" si="1"/>
        <v>10293.9</v>
      </c>
      <c r="BM8" s="57">
        <f t="shared" si="1"/>
        <v>25430.316</v>
      </c>
      <c r="BN8" s="57">
        <f t="shared" si="1"/>
        <v>0</v>
      </c>
      <c r="BO8" s="57">
        <f t="shared" si="1"/>
        <v>5380</v>
      </c>
      <c r="BP8" s="57">
        <f t="shared" si="1"/>
        <v>6.099999999999909</v>
      </c>
      <c r="BQ8" s="57">
        <f t="shared" si="1"/>
        <v>6318.5</v>
      </c>
      <c r="BR8" s="57">
        <f t="shared" si="1"/>
        <v>0</v>
      </c>
      <c r="BS8" s="57">
        <f t="shared" si="1"/>
        <v>12811732800</v>
      </c>
      <c r="BT8" s="41"/>
      <c r="BU8" s="41"/>
      <c r="BV8" s="41"/>
    </row>
    <row r="9" spans="1:74" ht="24" customHeight="1">
      <c r="A9" s="29">
        <v>1</v>
      </c>
      <c r="B9" s="40" t="s">
        <v>378</v>
      </c>
      <c r="C9" s="10" t="s">
        <v>71</v>
      </c>
      <c r="D9" s="10" t="s">
        <v>377</v>
      </c>
      <c r="E9" s="10" t="s">
        <v>344</v>
      </c>
      <c r="F9" s="10" t="s">
        <v>376</v>
      </c>
      <c r="G9" s="58">
        <v>2650</v>
      </c>
      <c r="H9" s="58">
        <v>1500000000</v>
      </c>
      <c r="I9" s="58"/>
      <c r="J9" s="58"/>
      <c r="K9" s="58">
        <v>1668641000</v>
      </c>
      <c r="L9" s="58">
        <v>1500000000</v>
      </c>
      <c r="M9" s="58">
        <v>700</v>
      </c>
      <c r="N9" s="58"/>
      <c r="O9" s="58"/>
      <c r="P9" s="58">
        <v>800000000</v>
      </c>
      <c r="Q9" s="58">
        <v>800000000</v>
      </c>
      <c r="R9" s="58"/>
      <c r="S9" s="58">
        <f aca="true" t="shared" si="2" ref="S9:S22">T9+U9</f>
        <v>800</v>
      </c>
      <c r="T9" s="58"/>
      <c r="U9" s="58">
        <f aca="true" t="shared" si="3" ref="U9:U22">V9+W9</f>
        <v>800</v>
      </c>
      <c r="V9" s="58"/>
      <c r="W9" s="58">
        <f>Z9+R9</f>
        <v>800</v>
      </c>
      <c r="X9" s="58"/>
      <c r="Y9" s="58"/>
      <c r="Z9" s="58">
        <f>+AA9+X9</f>
        <v>800</v>
      </c>
      <c r="AA9" s="58">
        <f>+AB9/1000000</f>
        <v>800</v>
      </c>
      <c r="AB9" s="58">
        <v>800000000</v>
      </c>
      <c r="AC9" s="58">
        <f aca="true" t="shared" si="4" ref="AC9:AC22">T9+AD9</f>
        <v>2468.641</v>
      </c>
      <c r="AD9" s="58">
        <f aca="true" t="shared" si="5" ref="AD9:AD22">AE9+V9</f>
        <v>2468.641</v>
      </c>
      <c r="AE9" s="58">
        <f>+AF9/1000000</f>
        <v>2468.641</v>
      </c>
      <c r="AF9" s="58">
        <v>2468641000</v>
      </c>
      <c r="AG9" s="58"/>
      <c r="AH9" s="58"/>
      <c r="AI9" s="58"/>
      <c r="AJ9" s="58">
        <v>0</v>
      </c>
      <c r="AK9" s="58"/>
      <c r="AL9" s="58">
        <f aca="true" t="shared" si="6" ref="AL9:AL22">AM9+AN9</f>
        <v>700</v>
      </c>
      <c r="AM9" s="58"/>
      <c r="AN9" s="58">
        <f aca="true" t="shared" si="7" ref="AN9:AN22">AO9+AP9</f>
        <v>700</v>
      </c>
      <c r="AO9" s="58"/>
      <c r="AP9" s="58">
        <f>AR9+AK9</f>
        <v>700</v>
      </c>
      <c r="AQ9" s="58"/>
      <c r="AR9" s="58">
        <f>+AT9/1000000</f>
        <v>700</v>
      </c>
      <c r="AS9" s="58"/>
      <c r="AT9" s="58">
        <v>700000000</v>
      </c>
      <c r="AU9" s="58">
        <f aca="true" t="shared" si="8" ref="AU9:AU22">AM9+AV9</f>
        <v>2300</v>
      </c>
      <c r="AV9" s="58">
        <f aca="true" t="shared" si="9" ref="AV9:AV22">AW9+AO9</f>
        <v>2300</v>
      </c>
      <c r="AW9" s="58">
        <f>+AX9/1000000</f>
        <v>2300</v>
      </c>
      <c r="AX9" s="58">
        <v>2300000000</v>
      </c>
      <c r="AY9" s="58">
        <v>350</v>
      </c>
      <c r="AZ9" s="58"/>
      <c r="BA9" s="58"/>
      <c r="BB9" s="58">
        <v>24.624</v>
      </c>
      <c r="BC9" s="58"/>
      <c r="BD9" s="58"/>
      <c r="BE9" s="58">
        <v>24.624</v>
      </c>
      <c r="BF9" s="58">
        <v>2493.265</v>
      </c>
      <c r="BG9" s="58"/>
      <c r="BH9" s="58"/>
      <c r="BI9" s="58">
        <v>193.3</v>
      </c>
      <c r="BJ9" s="58"/>
      <c r="BK9" s="58"/>
      <c r="BL9" s="58">
        <v>350</v>
      </c>
      <c r="BM9" s="58">
        <v>2493.3</v>
      </c>
      <c r="BN9" s="59"/>
      <c r="BO9" s="60"/>
      <c r="BP9" s="61">
        <f aca="true" t="shared" si="10" ref="BP9:BP22">AY9-BL9</f>
        <v>0</v>
      </c>
      <c r="BQ9" s="61"/>
      <c r="BR9" s="26"/>
      <c r="BS9" s="37">
        <v>450000000</v>
      </c>
      <c r="BT9" s="37"/>
      <c r="BU9" s="37"/>
      <c r="BV9" s="37"/>
    </row>
    <row r="10" spans="1:74" ht="24" customHeight="1">
      <c r="A10" s="29">
        <v>2</v>
      </c>
      <c r="B10" s="40" t="s">
        <v>375</v>
      </c>
      <c r="C10" s="10" t="s">
        <v>76</v>
      </c>
      <c r="D10" s="10" t="s">
        <v>374</v>
      </c>
      <c r="E10" s="10" t="s">
        <v>353</v>
      </c>
      <c r="F10" s="10" t="s">
        <v>373</v>
      </c>
      <c r="G10" s="58">
        <v>3300</v>
      </c>
      <c r="H10" s="58">
        <v>1835803000</v>
      </c>
      <c r="I10" s="58"/>
      <c r="J10" s="58">
        <v>717535800</v>
      </c>
      <c r="K10" s="58">
        <v>1303186000</v>
      </c>
      <c r="L10" s="58">
        <v>1118267200</v>
      </c>
      <c r="M10" s="58">
        <v>1420</v>
      </c>
      <c r="N10" s="58"/>
      <c r="O10" s="58">
        <v>182992000</v>
      </c>
      <c r="P10" s="58">
        <v>200000000</v>
      </c>
      <c r="Q10" s="58">
        <v>382992000</v>
      </c>
      <c r="R10" s="58"/>
      <c r="S10" s="58">
        <f t="shared" si="2"/>
        <v>383</v>
      </c>
      <c r="T10" s="58"/>
      <c r="U10" s="58">
        <f t="shared" si="3"/>
        <v>383</v>
      </c>
      <c r="V10" s="58"/>
      <c r="W10" s="58">
        <f>Z10+R10</f>
        <v>383</v>
      </c>
      <c r="X10" s="58"/>
      <c r="Y10" s="58"/>
      <c r="Z10" s="58">
        <f>+AA10+X10</f>
        <v>383</v>
      </c>
      <c r="AA10" s="58">
        <f>+AB10/1000000</f>
        <v>383</v>
      </c>
      <c r="AB10" s="58">
        <v>383000000</v>
      </c>
      <c r="AC10" s="58">
        <f t="shared" si="4"/>
        <v>1686.178</v>
      </c>
      <c r="AD10" s="58">
        <f t="shared" si="5"/>
        <v>1686.178</v>
      </c>
      <c r="AE10" s="58">
        <f>+AF10/1000000+R10</f>
        <v>1686.178</v>
      </c>
      <c r="AF10" s="58">
        <v>1686178000</v>
      </c>
      <c r="AG10" s="58"/>
      <c r="AH10" s="58">
        <v>182992000</v>
      </c>
      <c r="AI10" s="58"/>
      <c r="AJ10" s="58">
        <v>182992000</v>
      </c>
      <c r="AK10" s="58"/>
      <c r="AL10" s="58">
        <f t="shared" si="6"/>
        <v>1419.992</v>
      </c>
      <c r="AM10" s="58">
        <v>857</v>
      </c>
      <c r="AN10" s="58">
        <f t="shared" si="7"/>
        <v>562.992</v>
      </c>
      <c r="AO10" s="58"/>
      <c r="AP10" s="58">
        <f>AR10+AK10</f>
        <v>562.992</v>
      </c>
      <c r="AQ10" s="58"/>
      <c r="AR10" s="58">
        <f>+AT10/1000000</f>
        <v>562.992</v>
      </c>
      <c r="AS10" s="58"/>
      <c r="AT10" s="58">
        <v>562992000</v>
      </c>
      <c r="AU10" s="58">
        <v>1300.1</v>
      </c>
      <c r="AV10" s="58">
        <f t="shared" si="9"/>
        <v>1681.2592</v>
      </c>
      <c r="AW10" s="58">
        <f>+AX10/1000000</f>
        <v>1681.2592</v>
      </c>
      <c r="AX10" s="58">
        <v>1681259200</v>
      </c>
      <c r="AY10" s="58">
        <f>762</f>
        <v>762</v>
      </c>
      <c r="AZ10" s="58"/>
      <c r="BA10" s="58"/>
      <c r="BB10" s="58">
        <v>800</v>
      </c>
      <c r="BC10" s="58"/>
      <c r="BD10" s="58"/>
      <c r="BE10" s="58">
        <v>800</v>
      </c>
      <c r="BF10" s="58">
        <v>2486.178</v>
      </c>
      <c r="BG10" s="58"/>
      <c r="BH10" s="58"/>
      <c r="BI10" s="58">
        <v>362</v>
      </c>
      <c r="BJ10" s="58"/>
      <c r="BK10" s="58"/>
      <c r="BL10" s="58">
        <v>762</v>
      </c>
      <c r="BM10" s="58">
        <v>1662.1</v>
      </c>
      <c r="BN10" s="62"/>
      <c r="BO10" s="60"/>
      <c r="BP10" s="61">
        <f t="shared" si="10"/>
        <v>0</v>
      </c>
      <c r="BQ10" s="61">
        <f>G10-BM10-173</f>
        <v>1464.9</v>
      </c>
      <c r="BR10" s="26"/>
      <c r="BS10" s="37">
        <v>761732800</v>
      </c>
      <c r="BT10" s="37"/>
      <c r="BU10" s="37"/>
      <c r="BV10" s="37"/>
    </row>
    <row r="11" spans="1:74" ht="33" customHeight="1">
      <c r="A11" s="29">
        <v>4</v>
      </c>
      <c r="B11" s="40" t="s">
        <v>372</v>
      </c>
      <c r="C11" s="10" t="s">
        <v>163</v>
      </c>
      <c r="D11" s="10" t="s">
        <v>371</v>
      </c>
      <c r="E11" s="10" t="s">
        <v>344</v>
      </c>
      <c r="F11" s="10" t="s">
        <v>370</v>
      </c>
      <c r="G11" s="58">
        <v>2800</v>
      </c>
      <c r="H11" s="58">
        <v>900000000</v>
      </c>
      <c r="I11" s="58">
        <v>500000000</v>
      </c>
      <c r="J11" s="58"/>
      <c r="K11" s="58">
        <v>1375919600</v>
      </c>
      <c r="L11" s="58">
        <v>1400000000</v>
      </c>
      <c r="M11" s="58">
        <v>997.966</v>
      </c>
      <c r="N11" s="58"/>
      <c r="O11" s="58">
        <v>978341400</v>
      </c>
      <c r="P11" s="58">
        <v>300000000</v>
      </c>
      <c r="Q11" s="58">
        <v>1278341400</v>
      </c>
      <c r="R11" s="58"/>
      <c r="S11" s="58">
        <f t="shared" si="2"/>
        <v>1418.342</v>
      </c>
      <c r="T11" s="58">
        <v>140</v>
      </c>
      <c r="U11" s="58">
        <f t="shared" si="3"/>
        <v>1278.342</v>
      </c>
      <c r="V11" s="58"/>
      <c r="W11" s="58">
        <f>Z11+R11</f>
        <v>1278.342</v>
      </c>
      <c r="X11" s="58"/>
      <c r="Y11" s="58"/>
      <c r="Z11" s="58">
        <f>+AA11+X11</f>
        <v>1278.342</v>
      </c>
      <c r="AA11" s="58">
        <f>+AB11/1000000</f>
        <v>1278.342</v>
      </c>
      <c r="AB11" s="58">
        <v>1278342000</v>
      </c>
      <c r="AC11" s="58">
        <f t="shared" si="4"/>
        <v>2794.261</v>
      </c>
      <c r="AD11" s="58">
        <f t="shared" si="5"/>
        <v>2654.261</v>
      </c>
      <c r="AE11" s="58">
        <f>+AF11/1000000+R11</f>
        <v>2654.261</v>
      </c>
      <c r="AF11" s="58">
        <v>2654261000</v>
      </c>
      <c r="AG11" s="58"/>
      <c r="AH11" s="58">
        <v>682642000</v>
      </c>
      <c r="AI11" s="58">
        <v>142055000</v>
      </c>
      <c r="AJ11" s="58">
        <v>824697000</v>
      </c>
      <c r="AK11" s="58"/>
      <c r="AL11" s="58">
        <f t="shared" si="6"/>
        <v>997.9970000000001</v>
      </c>
      <c r="AM11" s="58">
        <v>173.3</v>
      </c>
      <c r="AN11" s="58">
        <f t="shared" si="7"/>
        <v>824.697</v>
      </c>
      <c r="AO11" s="58"/>
      <c r="AP11" s="58">
        <f>AR11+AK11</f>
        <v>824.697</v>
      </c>
      <c r="AQ11" s="58"/>
      <c r="AR11" s="58">
        <f>+AT11/1000000</f>
        <v>824.697</v>
      </c>
      <c r="AS11" s="58"/>
      <c r="AT11" s="58">
        <v>824697000</v>
      </c>
      <c r="AU11" s="58">
        <f t="shared" si="8"/>
        <v>2669.616</v>
      </c>
      <c r="AV11" s="58">
        <f t="shared" si="9"/>
        <v>2496.316</v>
      </c>
      <c r="AW11" s="58">
        <f>+AX11/1000000</f>
        <v>2496.316</v>
      </c>
      <c r="AX11" s="58">
        <v>2496316000</v>
      </c>
      <c r="AY11" s="58">
        <v>100</v>
      </c>
      <c r="AZ11" s="58"/>
      <c r="BA11" s="58"/>
      <c r="BB11" s="58"/>
      <c r="BC11" s="58"/>
      <c r="BD11" s="58"/>
      <c r="BE11" s="58"/>
      <c r="BF11" s="58">
        <v>2794.261</v>
      </c>
      <c r="BG11" s="58"/>
      <c r="BH11" s="58"/>
      <c r="BI11" s="58">
        <v>100</v>
      </c>
      <c r="BJ11" s="58"/>
      <c r="BK11" s="58"/>
      <c r="BL11" s="58">
        <v>100</v>
      </c>
      <c r="BM11" s="58">
        <v>2769.616</v>
      </c>
      <c r="BN11" s="39"/>
      <c r="BO11" s="38"/>
      <c r="BP11" s="61">
        <f t="shared" si="10"/>
        <v>0</v>
      </c>
      <c r="BQ11" s="61"/>
      <c r="BR11" s="26"/>
      <c r="BS11" s="37">
        <v>0</v>
      </c>
      <c r="BT11" s="37"/>
      <c r="BU11" s="37"/>
      <c r="BV11" s="37"/>
    </row>
    <row r="12" spans="1:78" ht="36.75" customHeight="1">
      <c r="A12" s="29">
        <v>6</v>
      </c>
      <c r="B12" s="40" t="s">
        <v>369</v>
      </c>
      <c r="C12" s="10" t="s">
        <v>163</v>
      </c>
      <c r="D12" s="10" t="s">
        <v>368</v>
      </c>
      <c r="E12" s="10" t="s">
        <v>344</v>
      </c>
      <c r="F12" s="10" t="s">
        <v>367</v>
      </c>
      <c r="G12" s="58">
        <v>4500</v>
      </c>
      <c r="H12" s="58">
        <v>1724370000</v>
      </c>
      <c r="I12" s="58"/>
      <c r="J12" s="58">
        <v>1424370000</v>
      </c>
      <c r="K12" s="58">
        <v>500000000</v>
      </c>
      <c r="L12" s="58">
        <v>300000000</v>
      </c>
      <c r="M12" s="58">
        <v>1831.924</v>
      </c>
      <c r="N12" s="58"/>
      <c r="O12" s="58"/>
      <c r="P12" s="58">
        <v>700000000</v>
      </c>
      <c r="Q12" s="58">
        <v>700000000</v>
      </c>
      <c r="R12" s="58"/>
      <c r="S12" s="58">
        <f t="shared" si="2"/>
        <v>3991.4</v>
      </c>
      <c r="T12" s="58">
        <v>2170</v>
      </c>
      <c r="U12" s="58">
        <f t="shared" si="3"/>
        <v>1821.4</v>
      </c>
      <c r="V12" s="58"/>
      <c r="W12" s="58">
        <f>Z12+R12</f>
        <v>1821.4</v>
      </c>
      <c r="X12" s="58">
        <f>+Y12/1000000</f>
        <v>421.4</v>
      </c>
      <c r="Y12" s="58">
        <v>421400000</v>
      </c>
      <c r="Z12" s="58">
        <f>+AA12+X12</f>
        <v>1821.4</v>
      </c>
      <c r="AA12" s="58">
        <f>+AB12/1000000</f>
        <v>1400</v>
      </c>
      <c r="AB12" s="58">
        <v>1400000000</v>
      </c>
      <c r="AC12" s="58">
        <f t="shared" si="4"/>
        <v>4491.4</v>
      </c>
      <c r="AD12" s="58">
        <f t="shared" si="5"/>
        <v>2321.4</v>
      </c>
      <c r="AE12" s="58">
        <f>+AF12/1000000+R12</f>
        <v>2321.4</v>
      </c>
      <c r="AF12" s="58">
        <f>1900000000+Y12</f>
        <v>2321400000</v>
      </c>
      <c r="AG12" s="58"/>
      <c r="AH12" s="58"/>
      <c r="AI12" s="58">
        <v>18959000</v>
      </c>
      <c r="AJ12" s="58">
        <v>18959000</v>
      </c>
      <c r="AK12" s="58"/>
      <c r="AL12" s="58">
        <f t="shared" si="6"/>
        <v>2831.9</v>
      </c>
      <c r="AM12" s="58">
        <f>500+831.9</f>
        <v>1331.9</v>
      </c>
      <c r="AN12" s="58">
        <f t="shared" si="7"/>
        <v>1500</v>
      </c>
      <c r="AO12" s="58"/>
      <c r="AP12" s="58">
        <f>AR12+AK12</f>
        <v>1500</v>
      </c>
      <c r="AQ12" s="58"/>
      <c r="AR12" s="58">
        <f>+AT12/1000000</f>
        <v>1500</v>
      </c>
      <c r="AS12" s="58"/>
      <c r="AT12" s="58">
        <v>1500000000</v>
      </c>
      <c r="AU12" s="58">
        <v>2631.9</v>
      </c>
      <c r="AV12" s="58">
        <f t="shared" si="9"/>
        <v>1800</v>
      </c>
      <c r="AW12" s="58">
        <f>+AX12/1000000</f>
        <v>1800</v>
      </c>
      <c r="AX12" s="58">
        <v>1800000000</v>
      </c>
      <c r="AY12" s="58">
        <v>1368</v>
      </c>
      <c r="AZ12" s="58"/>
      <c r="BA12" s="58"/>
      <c r="BB12" s="58"/>
      <c r="BC12" s="58"/>
      <c r="BD12" s="58"/>
      <c r="BE12" s="58"/>
      <c r="BF12" s="58">
        <v>4491.4</v>
      </c>
      <c r="BG12" s="58"/>
      <c r="BH12" s="58"/>
      <c r="BI12" s="58">
        <v>1368</v>
      </c>
      <c r="BJ12" s="58"/>
      <c r="BK12" s="58"/>
      <c r="BL12" s="58">
        <v>1368</v>
      </c>
      <c r="BM12" s="58">
        <v>4491.4</v>
      </c>
      <c r="BN12" s="59"/>
      <c r="BO12" s="60"/>
      <c r="BP12" s="61">
        <f t="shared" si="10"/>
        <v>0</v>
      </c>
      <c r="BQ12" s="61"/>
      <c r="BR12" s="26"/>
      <c r="BS12" s="37">
        <v>2700000000</v>
      </c>
      <c r="BT12" s="37"/>
      <c r="BU12" s="37"/>
      <c r="BV12" s="37"/>
      <c r="BW12" s="24"/>
      <c r="BX12" s="24"/>
      <c r="BY12" s="24"/>
      <c r="BZ12" s="24"/>
    </row>
    <row r="13" spans="1:78" ht="35.25" customHeight="1">
      <c r="A13" s="29">
        <v>7</v>
      </c>
      <c r="B13" s="40" t="s">
        <v>366</v>
      </c>
      <c r="C13" s="10" t="s">
        <v>155</v>
      </c>
      <c r="D13" s="10" t="s">
        <v>365</v>
      </c>
      <c r="E13" s="10" t="s">
        <v>344</v>
      </c>
      <c r="F13" s="10" t="s">
        <v>364</v>
      </c>
      <c r="G13" s="58">
        <v>1000</v>
      </c>
      <c r="H13" s="58">
        <v>300000000</v>
      </c>
      <c r="I13" s="58"/>
      <c r="J13" s="58"/>
      <c r="K13" s="58">
        <v>500000000</v>
      </c>
      <c r="L13" s="58">
        <v>300000000</v>
      </c>
      <c r="M13" s="58">
        <v>400</v>
      </c>
      <c r="N13" s="58"/>
      <c r="O13" s="58">
        <v>244394000</v>
      </c>
      <c r="P13" s="58"/>
      <c r="Q13" s="58">
        <v>244394000</v>
      </c>
      <c r="R13" s="58"/>
      <c r="S13" s="58">
        <f t="shared" si="2"/>
        <v>494.394</v>
      </c>
      <c r="T13" s="58">
        <v>250</v>
      </c>
      <c r="U13" s="58">
        <f t="shared" si="3"/>
        <v>244.394</v>
      </c>
      <c r="V13" s="58"/>
      <c r="W13" s="58">
        <f>Z13+R13</f>
        <v>244.394</v>
      </c>
      <c r="X13" s="58"/>
      <c r="Y13" s="58"/>
      <c r="Z13" s="58">
        <f>+AA13+X13</f>
        <v>244.394</v>
      </c>
      <c r="AA13" s="58">
        <f>+AB13/1000000</f>
        <v>244.394</v>
      </c>
      <c r="AB13" s="58">
        <v>244394000</v>
      </c>
      <c r="AC13" s="58">
        <f t="shared" si="4"/>
        <v>994.394</v>
      </c>
      <c r="AD13" s="58">
        <f t="shared" si="5"/>
        <v>744.394</v>
      </c>
      <c r="AE13" s="58">
        <f>+AF13/1000000+R13</f>
        <v>744.394</v>
      </c>
      <c r="AF13" s="58">
        <v>744394000</v>
      </c>
      <c r="AG13" s="58"/>
      <c r="AH13" s="58">
        <v>200000000</v>
      </c>
      <c r="AI13" s="58"/>
      <c r="AJ13" s="58">
        <v>200000000</v>
      </c>
      <c r="AK13" s="58"/>
      <c r="AL13" s="58">
        <f t="shared" si="6"/>
        <v>400</v>
      </c>
      <c r="AM13" s="58">
        <v>200</v>
      </c>
      <c r="AN13" s="58">
        <f t="shared" si="7"/>
        <v>200</v>
      </c>
      <c r="AO13" s="58"/>
      <c r="AP13" s="58">
        <f>AR13+AK13</f>
        <v>200</v>
      </c>
      <c r="AQ13" s="58"/>
      <c r="AR13" s="58">
        <f>+AT13/1000000</f>
        <v>200</v>
      </c>
      <c r="AS13" s="58"/>
      <c r="AT13" s="58">
        <v>200000000</v>
      </c>
      <c r="AU13" s="58">
        <f t="shared" si="8"/>
        <v>400</v>
      </c>
      <c r="AV13" s="58">
        <f t="shared" si="9"/>
        <v>200</v>
      </c>
      <c r="AW13" s="58">
        <f>+AX13/1000000</f>
        <v>200</v>
      </c>
      <c r="AX13" s="58">
        <v>200000000</v>
      </c>
      <c r="AY13" s="58">
        <v>100</v>
      </c>
      <c r="AZ13" s="58"/>
      <c r="BA13" s="58"/>
      <c r="BB13" s="58"/>
      <c r="BC13" s="58"/>
      <c r="BD13" s="58"/>
      <c r="BE13" s="58"/>
      <c r="BF13" s="58">
        <v>994.394</v>
      </c>
      <c r="BG13" s="58"/>
      <c r="BH13" s="58"/>
      <c r="BI13" s="58">
        <v>100</v>
      </c>
      <c r="BJ13" s="58"/>
      <c r="BK13" s="58"/>
      <c r="BL13" s="58">
        <v>100</v>
      </c>
      <c r="BM13" s="58">
        <v>500</v>
      </c>
      <c r="BN13" s="39"/>
      <c r="BO13" s="38"/>
      <c r="BP13" s="61">
        <f t="shared" si="10"/>
        <v>0</v>
      </c>
      <c r="BQ13" s="61"/>
      <c r="BR13" s="26"/>
      <c r="BS13" s="37">
        <v>500000000</v>
      </c>
      <c r="BT13" s="37"/>
      <c r="BU13" s="37"/>
      <c r="BV13" s="37"/>
      <c r="BW13" s="24"/>
      <c r="BX13" s="24"/>
      <c r="BY13" s="24"/>
      <c r="BZ13" s="24"/>
    </row>
    <row r="14" spans="1:78" ht="39" customHeight="1">
      <c r="A14" s="29">
        <v>10</v>
      </c>
      <c r="B14" s="28" t="s">
        <v>363</v>
      </c>
      <c r="C14" s="10" t="s">
        <v>362</v>
      </c>
      <c r="D14" s="10" t="s">
        <v>361</v>
      </c>
      <c r="E14" s="10" t="s">
        <v>330</v>
      </c>
      <c r="F14" s="10" t="s">
        <v>360</v>
      </c>
      <c r="G14" s="63">
        <v>1500</v>
      </c>
      <c r="H14" s="64"/>
      <c r="I14" s="64"/>
      <c r="J14" s="64"/>
      <c r="K14" s="64"/>
      <c r="L14" s="64"/>
      <c r="M14" s="58">
        <v>500</v>
      </c>
      <c r="N14" s="58"/>
      <c r="O14" s="58"/>
      <c r="P14" s="58"/>
      <c r="Q14" s="58">
        <v>0</v>
      </c>
      <c r="R14" s="58"/>
      <c r="S14" s="58">
        <f t="shared" si="2"/>
        <v>850</v>
      </c>
      <c r="T14" s="58">
        <v>800</v>
      </c>
      <c r="U14" s="58">
        <f t="shared" si="3"/>
        <v>50</v>
      </c>
      <c r="V14" s="58"/>
      <c r="W14" s="58">
        <f>+AE14</f>
        <v>50</v>
      </c>
      <c r="X14" s="58"/>
      <c r="Y14" s="58"/>
      <c r="Z14" s="58"/>
      <c r="AA14" s="58">
        <f aca="true" t="shared" si="11" ref="AA14:AA20">+AB14/1000000</f>
        <v>50</v>
      </c>
      <c r="AB14" s="58">
        <v>50000000</v>
      </c>
      <c r="AC14" s="58">
        <f t="shared" si="4"/>
        <v>850</v>
      </c>
      <c r="AD14" s="58">
        <f t="shared" si="5"/>
        <v>50</v>
      </c>
      <c r="AE14" s="58">
        <f aca="true" t="shared" si="12" ref="AE14:AE20">+AF14/1000000+R14</f>
        <v>50</v>
      </c>
      <c r="AF14" s="58">
        <f>+AB14</f>
        <v>50000000</v>
      </c>
      <c r="AG14" s="58"/>
      <c r="AH14" s="58"/>
      <c r="AI14" s="58"/>
      <c r="AJ14" s="58">
        <v>0</v>
      </c>
      <c r="AK14" s="58"/>
      <c r="AL14" s="58">
        <f t="shared" si="6"/>
        <v>500</v>
      </c>
      <c r="AM14" s="58">
        <v>500</v>
      </c>
      <c r="AN14" s="58">
        <f t="shared" si="7"/>
        <v>0</v>
      </c>
      <c r="AO14" s="58"/>
      <c r="AP14" s="58"/>
      <c r="AQ14" s="58"/>
      <c r="AR14" s="58"/>
      <c r="AS14" s="58"/>
      <c r="AT14" s="58"/>
      <c r="AU14" s="58">
        <f t="shared" si="8"/>
        <v>500</v>
      </c>
      <c r="AV14" s="58">
        <f t="shared" si="9"/>
        <v>0</v>
      </c>
      <c r="AW14" s="58"/>
      <c r="AX14" s="58"/>
      <c r="AY14" s="58">
        <v>995</v>
      </c>
      <c r="AZ14" s="58"/>
      <c r="BA14" s="58"/>
      <c r="BB14" s="58">
        <v>645</v>
      </c>
      <c r="BC14" s="58"/>
      <c r="BD14" s="58"/>
      <c r="BE14" s="58">
        <v>645</v>
      </c>
      <c r="BF14" s="58">
        <v>1495</v>
      </c>
      <c r="BG14" s="58"/>
      <c r="BH14" s="58"/>
      <c r="BI14" s="58">
        <v>995</v>
      </c>
      <c r="BJ14" s="58"/>
      <c r="BK14" s="58"/>
      <c r="BL14" s="58">
        <v>995</v>
      </c>
      <c r="BM14" s="58">
        <v>1495</v>
      </c>
      <c r="BN14" s="59"/>
      <c r="BO14" s="60"/>
      <c r="BP14" s="61">
        <f t="shared" si="10"/>
        <v>0</v>
      </c>
      <c r="BQ14" s="61"/>
      <c r="BR14" s="26"/>
      <c r="BS14" s="34">
        <v>1000000000</v>
      </c>
      <c r="BT14" s="25"/>
      <c r="BW14" s="24"/>
      <c r="BX14" s="24"/>
      <c r="BY14" s="24"/>
      <c r="BZ14" s="24"/>
    </row>
    <row r="15" spans="1:78" ht="41.25" customHeight="1">
      <c r="A15" s="29">
        <v>11</v>
      </c>
      <c r="B15" s="28" t="s">
        <v>359</v>
      </c>
      <c r="C15" s="10" t="s">
        <v>66</v>
      </c>
      <c r="D15" s="10" t="s">
        <v>358</v>
      </c>
      <c r="E15" s="10" t="s">
        <v>330</v>
      </c>
      <c r="F15" s="10" t="s">
        <v>357</v>
      </c>
      <c r="G15" s="63">
        <v>2000</v>
      </c>
      <c r="H15" s="64"/>
      <c r="I15" s="64"/>
      <c r="J15" s="64"/>
      <c r="K15" s="64"/>
      <c r="L15" s="64"/>
      <c r="M15" s="58">
        <v>700</v>
      </c>
      <c r="N15" s="58"/>
      <c r="O15" s="58"/>
      <c r="P15" s="58"/>
      <c r="Q15" s="58">
        <v>0</v>
      </c>
      <c r="R15" s="58"/>
      <c r="S15" s="58">
        <f t="shared" si="2"/>
        <v>1075</v>
      </c>
      <c r="T15" s="58">
        <v>1000</v>
      </c>
      <c r="U15" s="58">
        <f t="shared" si="3"/>
        <v>75</v>
      </c>
      <c r="V15" s="58"/>
      <c r="W15" s="58">
        <f aca="true" t="shared" si="13" ref="W15:W20">+AE15</f>
        <v>75</v>
      </c>
      <c r="X15" s="58"/>
      <c r="Y15" s="58"/>
      <c r="Z15" s="58"/>
      <c r="AA15" s="58">
        <f t="shared" si="11"/>
        <v>75</v>
      </c>
      <c r="AB15" s="58">
        <v>75000000</v>
      </c>
      <c r="AC15" s="58">
        <f t="shared" si="4"/>
        <v>1075</v>
      </c>
      <c r="AD15" s="58">
        <f t="shared" si="5"/>
        <v>75</v>
      </c>
      <c r="AE15" s="58">
        <f t="shared" si="12"/>
        <v>75</v>
      </c>
      <c r="AF15" s="58">
        <f aca="true" t="shared" si="14" ref="AF15:AF20">+AB15</f>
        <v>75000000</v>
      </c>
      <c r="AG15" s="58"/>
      <c r="AH15" s="58"/>
      <c r="AI15" s="58"/>
      <c r="AJ15" s="58">
        <v>0</v>
      </c>
      <c r="AK15" s="58"/>
      <c r="AL15" s="58">
        <f t="shared" si="6"/>
        <v>700</v>
      </c>
      <c r="AM15" s="58">
        <v>700</v>
      </c>
      <c r="AN15" s="58">
        <f t="shared" si="7"/>
        <v>0</v>
      </c>
      <c r="AO15" s="58"/>
      <c r="AP15" s="58"/>
      <c r="AQ15" s="58"/>
      <c r="AR15" s="58"/>
      <c r="AS15" s="58"/>
      <c r="AT15" s="58"/>
      <c r="AU15" s="58">
        <f t="shared" si="8"/>
        <v>700</v>
      </c>
      <c r="AV15" s="58">
        <f t="shared" si="9"/>
        <v>0</v>
      </c>
      <c r="AW15" s="58"/>
      <c r="AX15" s="58"/>
      <c r="AY15" s="58">
        <v>1285</v>
      </c>
      <c r="AZ15" s="58"/>
      <c r="BA15" s="58"/>
      <c r="BB15" s="58">
        <v>910</v>
      </c>
      <c r="BC15" s="58"/>
      <c r="BD15" s="58"/>
      <c r="BE15" s="58">
        <v>910</v>
      </c>
      <c r="BF15" s="58">
        <v>1985</v>
      </c>
      <c r="BG15" s="58"/>
      <c r="BH15" s="58"/>
      <c r="BI15" s="58">
        <v>1285</v>
      </c>
      <c r="BJ15" s="58"/>
      <c r="BK15" s="58"/>
      <c r="BL15" s="58">
        <v>1285</v>
      </c>
      <c r="BM15" s="58">
        <v>1985</v>
      </c>
      <c r="BN15" s="59"/>
      <c r="BO15" s="60"/>
      <c r="BP15" s="61">
        <f t="shared" si="10"/>
        <v>0</v>
      </c>
      <c r="BQ15" s="61"/>
      <c r="BR15" s="26"/>
      <c r="BS15" s="34">
        <v>1300000000</v>
      </c>
      <c r="BT15" s="36"/>
      <c r="BU15" s="35"/>
      <c r="BW15" s="24"/>
      <c r="BX15" s="24"/>
      <c r="BY15" s="24"/>
      <c r="BZ15" s="24"/>
    </row>
    <row r="16" spans="1:78" ht="43.5" customHeight="1">
      <c r="A16" s="29">
        <v>12</v>
      </c>
      <c r="B16" s="28" t="s">
        <v>356</v>
      </c>
      <c r="C16" s="10" t="s">
        <v>355</v>
      </c>
      <c r="D16" s="10" t="s">
        <v>354</v>
      </c>
      <c r="E16" s="10" t="s">
        <v>353</v>
      </c>
      <c r="F16" s="10" t="s">
        <v>352</v>
      </c>
      <c r="G16" s="63">
        <v>2000</v>
      </c>
      <c r="H16" s="64"/>
      <c r="I16" s="64"/>
      <c r="J16" s="64"/>
      <c r="K16" s="64"/>
      <c r="L16" s="64"/>
      <c r="M16" s="58">
        <v>700</v>
      </c>
      <c r="N16" s="58"/>
      <c r="O16" s="58"/>
      <c r="P16" s="58"/>
      <c r="Q16" s="58">
        <v>0</v>
      </c>
      <c r="R16" s="58"/>
      <c r="S16" s="58">
        <f t="shared" si="2"/>
        <v>1070</v>
      </c>
      <c r="T16" s="58">
        <v>1000</v>
      </c>
      <c r="U16" s="58">
        <f t="shared" si="3"/>
        <v>70</v>
      </c>
      <c r="V16" s="58"/>
      <c r="W16" s="58">
        <f t="shared" si="13"/>
        <v>70</v>
      </c>
      <c r="X16" s="58"/>
      <c r="Y16" s="58"/>
      <c r="Z16" s="58"/>
      <c r="AA16" s="58">
        <f t="shared" si="11"/>
        <v>70</v>
      </c>
      <c r="AB16" s="58">
        <v>70000000</v>
      </c>
      <c r="AC16" s="58">
        <f t="shared" si="4"/>
        <v>1070</v>
      </c>
      <c r="AD16" s="58">
        <f t="shared" si="5"/>
        <v>70</v>
      </c>
      <c r="AE16" s="58">
        <f t="shared" si="12"/>
        <v>70</v>
      </c>
      <c r="AF16" s="58">
        <f t="shared" si="14"/>
        <v>70000000</v>
      </c>
      <c r="AG16" s="58"/>
      <c r="AH16" s="58"/>
      <c r="AI16" s="58"/>
      <c r="AJ16" s="58">
        <v>0</v>
      </c>
      <c r="AK16" s="58"/>
      <c r="AL16" s="58">
        <f t="shared" si="6"/>
        <v>700</v>
      </c>
      <c r="AM16" s="58">
        <v>700</v>
      </c>
      <c r="AN16" s="58">
        <f t="shared" si="7"/>
        <v>0</v>
      </c>
      <c r="AO16" s="58"/>
      <c r="AP16" s="58"/>
      <c r="AQ16" s="58"/>
      <c r="AR16" s="58"/>
      <c r="AS16" s="58"/>
      <c r="AT16" s="58"/>
      <c r="AU16" s="58">
        <f t="shared" si="8"/>
        <v>700</v>
      </c>
      <c r="AV16" s="58">
        <f t="shared" si="9"/>
        <v>0</v>
      </c>
      <c r="AW16" s="58"/>
      <c r="AX16" s="58"/>
      <c r="AY16" s="58">
        <v>723</v>
      </c>
      <c r="AZ16" s="58"/>
      <c r="BA16" s="58"/>
      <c r="BB16" s="58">
        <v>600</v>
      </c>
      <c r="BC16" s="58"/>
      <c r="BD16" s="58"/>
      <c r="BE16" s="58">
        <v>1491.6</v>
      </c>
      <c r="BF16" s="58">
        <v>1961.6</v>
      </c>
      <c r="BG16" s="58"/>
      <c r="BH16" s="58"/>
      <c r="BI16" s="58">
        <v>723</v>
      </c>
      <c r="BJ16" s="58"/>
      <c r="BK16" s="58"/>
      <c r="BL16" s="58">
        <v>723</v>
      </c>
      <c r="BM16" s="58">
        <v>1923</v>
      </c>
      <c r="BN16" s="59"/>
      <c r="BO16" s="65">
        <v>500</v>
      </c>
      <c r="BP16" s="61">
        <f t="shared" si="10"/>
        <v>0</v>
      </c>
      <c r="BQ16" s="61">
        <f>G16-BM16-15</f>
        <v>62</v>
      </c>
      <c r="BR16" s="26"/>
      <c r="BS16" s="34">
        <v>1300000000</v>
      </c>
      <c r="BT16" s="25"/>
      <c r="BW16" s="24"/>
      <c r="BX16" s="24"/>
      <c r="BY16" s="24"/>
      <c r="BZ16" s="24"/>
    </row>
    <row r="17" spans="1:78" ht="45" customHeight="1">
      <c r="A17" s="29">
        <v>13</v>
      </c>
      <c r="B17" s="28" t="s">
        <v>351</v>
      </c>
      <c r="C17" s="10" t="s">
        <v>350</v>
      </c>
      <c r="D17" s="10" t="s">
        <v>349</v>
      </c>
      <c r="E17" s="10" t="s">
        <v>344</v>
      </c>
      <c r="F17" s="10" t="s">
        <v>348</v>
      </c>
      <c r="G17" s="63">
        <v>1500</v>
      </c>
      <c r="H17" s="64"/>
      <c r="I17" s="64"/>
      <c r="J17" s="64"/>
      <c r="K17" s="64"/>
      <c r="L17" s="64"/>
      <c r="M17" s="58">
        <v>500</v>
      </c>
      <c r="N17" s="58"/>
      <c r="O17" s="58"/>
      <c r="P17" s="58"/>
      <c r="Q17" s="58">
        <v>0</v>
      </c>
      <c r="R17" s="58"/>
      <c r="S17" s="58">
        <f t="shared" si="2"/>
        <v>1470</v>
      </c>
      <c r="T17" s="58">
        <v>1420</v>
      </c>
      <c r="U17" s="58">
        <f t="shared" si="3"/>
        <v>50</v>
      </c>
      <c r="V17" s="58"/>
      <c r="W17" s="58">
        <f t="shared" si="13"/>
        <v>50</v>
      </c>
      <c r="X17" s="58"/>
      <c r="Y17" s="58"/>
      <c r="Z17" s="58"/>
      <c r="AA17" s="58">
        <f t="shared" si="11"/>
        <v>50</v>
      </c>
      <c r="AB17" s="58">
        <v>50000000</v>
      </c>
      <c r="AC17" s="58">
        <f t="shared" si="4"/>
        <v>1470</v>
      </c>
      <c r="AD17" s="58">
        <f t="shared" si="5"/>
        <v>50</v>
      </c>
      <c r="AE17" s="58">
        <f t="shared" si="12"/>
        <v>50</v>
      </c>
      <c r="AF17" s="58">
        <f t="shared" si="14"/>
        <v>50000000</v>
      </c>
      <c r="AG17" s="58"/>
      <c r="AH17" s="58"/>
      <c r="AI17" s="58"/>
      <c r="AJ17" s="58">
        <v>0</v>
      </c>
      <c r="AK17" s="58"/>
      <c r="AL17" s="58">
        <f t="shared" si="6"/>
        <v>500</v>
      </c>
      <c r="AM17" s="58">
        <v>500</v>
      </c>
      <c r="AN17" s="58">
        <f t="shared" si="7"/>
        <v>0</v>
      </c>
      <c r="AO17" s="58"/>
      <c r="AP17" s="58"/>
      <c r="AQ17" s="58"/>
      <c r="AR17" s="58"/>
      <c r="AS17" s="58"/>
      <c r="AT17" s="58"/>
      <c r="AU17" s="58">
        <f t="shared" si="8"/>
        <v>500</v>
      </c>
      <c r="AV17" s="58">
        <f t="shared" si="9"/>
        <v>0</v>
      </c>
      <c r="AW17" s="58"/>
      <c r="AX17" s="58"/>
      <c r="AY17" s="58">
        <v>970</v>
      </c>
      <c r="AZ17" s="58"/>
      <c r="BA17" s="58"/>
      <c r="BB17" s="58"/>
      <c r="BC17" s="58"/>
      <c r="BD17" s="58"/>
      <c r="BE17" s="58">
        <v>0</v>
      </c>
      <c r="BF17" s="58">
        <v>1470</v>
      </c>
      <c r="BG17" s="58"/>
      <c r="BH17" s="58"/>
      <c r="BI17" s="58">
        <v>970</v>
      </c>
      <c r="BJ17" s="58"/>
      <c r="BK17" s="58"/>
      <c r="BL17" s="58">
        <v>970</v>
      </c>
      <c r="BM17" s="58">
        <v>1470</v>
      </c>
      <c r="BN17" s="59"/>
      <c r="BO17" s="65"/>
      <c r="BP17" s="61">
        <f t="shared" si="10"/>
        <v>0</v>
      </c>
      <c r="BQ17" s="61"/>
      <c r="BR17" s="26"/>
      <c r="BS17" s="34">
        <v>1000000000</v>
      </c>
      <c r="BT17" s="25"/>
      <c r="BW17" s="24"/>
      <c r="BX17" s="24"/>
      <c r="BY17" s="24"/>
      <c r="BZ17" s="24"/>
    </row>
    <row r="18" spans="1:78" ht="40.5" customHeight="1">
      <c r="A18" s="29">
        <v>14</v>
      </c>
      <c r="B18" s="28" t="s">
        <v>347</v>
      </c>
      <c r="C18" s="10" t="s">
        <v>346</v>
      </c>
      <c r="D18" s="10" t="s">
        <v>345</v>
      </c>
      <c r="E18" s="10" t="s">
        <v>344</v>
      </c>
      <c r="F18" s="10" t="s">
        <v>343</v>
      </c>
      <c r="G18" s="63">
        <v>1500</v>
      </c>
      <c r="H18" s="64"/>
      <c r="I18" s="64"/>
      <c r="J18" s="64"/>
      <c r="K18" s="64"/>
      <c r="L18" s="64"/>
      <c r="M18" s="58">
        <v>500</v>
      </c>
      <c r="N18" s="58"/>
      <c r="O18" s="58"/>
      <c r="P18" s="58"/>
      <c r="Q18" s="58">
        <v>0</v>
      </c>
      <c r="R18" s="58"/>
      <c r="S18" s="58">
        <f t="shared" si="2"/>
        <v>1055</v>
      </c>
      <c r="T18" s="58">
        <v>1000</v>
      </c>
      <c r="U18" s="58">
        <f t="shared" si="3"/>
        <v>55</v>
      </c>
      <c r="V18" s="58"/>
      <c r="W18" s="58">
        <f t="shared" si="13"/>
        <v>55</v>
      </c>
      <c r="X18" s="58"/>
      <c r="Y18" s="58"/>
      <c r="Z18" s="58"/>
      <c r="AA18" s="58">
        <f t="shared" si="11"/>
        <v>55</v>
      </c>
      <c r="AB18" s="58">
        <v>55000000</v>
      </c>
      <c r="AC18" s="58">
        <f t="shared" si="4"/>
        <v>1055</v>
      </c>
      <c r="AD18" s="58">
        <f t="shared" si="5"/>
        <v>55</v>
      </c>
      <c r="AE18" s="58">
        <f t="shared" si="12"/>
        <v>55</v>
      </c>
      <c r="AF18" s="58">
        <f t="shared" si="14"/>
        <v>55000000</v>
      </c>
      <c r="AG18" s="58"/>
      <c r="AH18" s="58"/>
      <c r="AI18" s="58"/>
      <c r="AJ18" s="58">
        <v>0</v>
      </c>
      <c r="AK18" s="58"/>
      <c r="AL18" s="58">
        <f t="shared" si="6"/>
        <v>500</v>
      </c>
      <c r="AM18" s="58">
        <v>500</v>
      </c>
      <c r="AN18" s="58">
        <f t="shared" si="7"/>
        <v>0</v>
      </c>
      <c r="AO18" s="58"/>
      <c r="AP18" s="58"/>
      <c r="AQ18" s="58"/>
      <c r="AR18" s="58"/>
      <c r="AS18" s="58"/>
      <c r="AT18" s="58"/>
      <c r="AU18" s="58">
        <f t="shared" si="8"/>
        <v>500</v>
      </c>
      <c r="AV18" s="58">
        <f t="shared" si="9"/>
        <v>0</v>
      </c>
      <c r="AW18" s="58"/>
      <c r="AX18" s="58"/>
      <c r="AY18" s="58">
        <v>500</v>
      </c>
      <c r="AZ18" s="58"/>
      <c r="BA18" s="58"/>
      <c r="BB18" s="58">
        <v>400</v>
      </c>
      <c r="BC18" s="58"/>
      <c r="BD18" s="58"/>
      <c r="BE18" s="58">
        <v>400</v>
      </c>
      <c r="BF18" s="58">
        <v>1455</v>
      </c>
      <c r="BG18" s="58"/>
      <c r="BH18" s="58"/>
      <c r="BI18" s="58">
        <v>500</v>
      </c>
      <c r="BJ18" s="58"/>
      <c r="BK18" s="58"/>
      <c r="BL18" s="58">
        <v>500</v>
      </c>
      <c r="BM18" s="58">
        <v>1000</v>
      </c>
      <c r="BN18" s="59"/>
      <c r="BO18" s="65">
        <v>477</v>
      </c>
      <c r="BP18" s="61">
        <f t="shared" si="10"/>
        <v>0</v>
      </c>
      <c r="BQ18" s="61">
        <f>G18-BM18-25</f>
        <v>475</v>
      </c>
      <c r="BR18" s="26"/>
      <c r="BS18" s="34">
        <v>1000000000</v>
      </c>
      <c r="BT18" s="25"/>
      <c r="BW18" s="24"/>
      <c r="BX18" s="24"/>
      <c r="BY18" s="24"/>
      <c r="BZ18" s="24"/>
    </row>
    <row r="19" spans="1:78" ht="34.5" customHeight="1">
      <c r="A19" s="29">
        <v>15</v>
      </c>
      <c r="B19" s="28" t="s">
        <v>342</v>
      </c>
      <c r="C19" s="10" t="s">
        <v>341</v>
      </c>
      <c r="D19" s="10" t="s">
        <v>340</v>
      </c>
      <c r="E19" s="10" t="s">
        <v>101</v>
      </c>
      <c r="F19" s="10" t="s">
        <v>339</v>
      </c>
      <c r="G19" s="63">
        <v>2000</v>
      </c>
      <c r="H19" s="64"/>
      <c r="I19" s="64"/>
      <c r="J19" s="64"/>
      <c r="K19" s="64"/>
      <c r="L19" s="64"/>
      <c r="M19" s="58">
        <v>700</v>
      </c>
      <c r="N19" s="58"/>
      <c r="O19" s="58"/>
      <c r="P19" s="58"/>
      <c r="Q19" s="58">
        <v>0</v>
      </c>
      <c r="R19" s="58"/>
      <c r="S19" s="58">
        <f t="shared" si="2"/>
        <v>1280</v>
      </c>
      <c r="T19" s="58">
        <v>1200</v>
      </c>
      <c r="U19" s="58">
        <f t="shared" si="3"/>
        <v>80</v>
      </c>
      <c r="V19" s="58"/>
      <c r="W19" s="58">
        <f t="shared" si="13"/>
        <v>80</v>
      </c>
      <c r="X19" s="58"/>
      <c r="Y19" s="58"/>
      <c r="Z19" s="58"/>
      <c r="AA19" s="58">
        <f t="shared" si="11"/>
        <v>80</v>
      </c>
      <c r="AB19" s="58">
        <v>80000000</v>
      </c>
      <c r="AC19" s="58">
        <f t="shared" si="4"/>
        <v>1280</v>
      </c>
      <c r="AD19" s="58">
        <f t="shared" si="5"/>
        <v>80</v>
      </c>
      <c r="AE19" s="58">
        <f t="shared" si="12"/>
        <v>80</v>
      </c>
      <c r="AF19" s="58">
        <f t="shared" si="14"/>
        <v>80000000</v>
      </c>
      <c r="AG19" s="58"/>
      <c r="AH19" s="58"/>
      <c r="AI19" s="58"/>
      <c r="AJ19" s="58">
        <v>0</v>
      </c>
      <c r="AK19" s="58"/>
      <c r="AL19" s="58">
        <f t="shared" si="6"/>
        <v>700</v>
      </c>
      <c r="AM19" s="58">
        <v>700</v>
      </c>
      <c r="AN19" s="58">
        <f t="shared" si="7"/>
        <v>0</v>
      </c>
      <c r="AO19" s="58"/>
      <c r="AP19" s="58"/>
      <c r="AQ19" s="58"/>
      <c r="AR19" s="58"/>
      <c r="AS19" s="58"/>
      <c r="AT19" s="58"/>
      <c r="AU19" s="58">
        <f t="shared" si="8"/>
        <v>700</v>
      </c>
      <c r="AV19" s="58">
        <f t="shared" si="9"/>
        <v>0</v>
      </c>
      <c r="AW19" s="58"/>
      <c r="AX19" s="58"/>
      <c r="AY19" s="58">
        <f>G19-1-AU19</f>
        <v>1299</v>
      </c>
      <c r="AZ19" s="58"/>
      <c r="BA19" s="58"/>
      <c r="BB19" s="58">
        <v>500</v>
      </c>
      <c r="BC19" s="58"/>
      <c r="BD19" s="58"/>
      <c r="BE19" s="58">
        <v>712.9</v>
      </c>
      <c r="BF19" s="58">
        <v>1992.9</v>
      </c>
      <c r="BG19" s="58"/>
      <c r="BH19" s="58"/>
      <c r="BI19" s="58">
        <v>700</v>
      </c>
      <c r="BJ19" s="58"/>
      <c r="BK19" s="58"/>
      <c r="BL19" s="58">
        <v>1292.9</v>
      </c>
      <c r="BM19" s="58">
        <v>1992.9</v>
      </c>
      <c r="BN19" s="59"/>
      <c r="BO19" s="65"/>
      <c r="BP19" s="61">
        <f t="shared" si="10"/>
        <v>6.099999999999909</v>
      </c>
      <c r="BQ19" s="61"/>
      <c r="BR19" s="26"/>
      <c r="BS19" s="34">
        <v>1500000000</v>
      </c>
      <c r="BT19" s="25"/>
      <c r="BW19" s="24"/>
      <c r="BX19" s="24"/>
      <c r="BY19" s="24"/>
      <c r="BZ19" s="24"/>
    </row>
    <row r="20" spans="1:78" ht="42.75" customHeight="1">
      <c r="A20" s="29">
        <v>16</v>
      </c>
      <c r="B20" s="28" t="s">
        <v>338</v>
      </c>
      <c r="C20" s="10" t="s">
        <v>76</v>
      </c>
      <c r="D20" s="10" t="s">
        <v>337</v>
      </c>
      <c r="E20" s="10" t="s">
        <v>101</v>
      </c>
      <c r="F20" s="10" t="s">
        <v>336</v>
      </c>
      <c r="G20" s="63">
        <v>4000</v>
      </c>
      <c r="H20" s="64"/>
      <c r="I20" s="64"/>
      <c r="J20" s="64"/>
      <c r="K20" s="64"/>
      <c r="L20" s="64"/>
      <c r="M20" s="58">
        <v>700</v>
      </c>
      <c r="N20" s="58"/>
      <c r="O20" s="58"/>
      <c r="P20" s="58"/>
      <c r="Q20" s="58">
        <v>0</v>
      </c>
      <c r="R20" s="58"/>
      <c r="S20" s="58">
        <f t="shared" si="2"/>
        <v>1060</v>
      </c>
      <c r="T20" s="58">
        <v>1000</v>
      </c>
      <c r="U20" s="58">
        <f t="shared" si="3"/>
        <v>60</v>
      </c>
      <c r="V20" s="58"/>
      <c r="W20" s="58">
        <f t="shared" si="13"/>
        <v>60</v>
      </c>
      <c r="X20" s="58"/>
      <c r="Y20" s="58"/>
      <c r="Z20" s="58"/>
      <c r="AA20" s="58">
        <f t="shared" si="11"/>
        <v>60</v>
      </c>
      <c r="AB20" s="58">
        <v>60000000</v>
      </c>
      <c r="AC20" s="58">
        <f t="shared" si="4"/>
        <v>1060</v>
      </c>
      <c r="AD20" s="58">
        <f t="shared" si="5"/>
        <v>60</v>
      </c>
      <c r="AE20" s="58">
        <f t="shared" si="12"/>
        <v>60</v>
      </c>
      <c r="AF20" s="58">
        <f t="shared" si="14"/>
        <v>60000000</v>
      </c>
      <c r="AG20" s="58"/>
      <c r="AH20" s="58"/>
      <c r="AI20" s="58"/>
      <c r="AJ20" s="58">
        <v>0</v>
      </c>
      <c r="AK20" s="58"/>
      <c r="AL20" s="58">
        <f t="shared" si="6"/>
        <v>700</v>
      </c>
      <c r="AM20" s="58">
        <v>700</v>
      </c>
      <c r="AN20" s="58">
        <f t="shared" si="7"/>
        <v>0</v>
      </c>
      <c r="AO20" s="58"/>
      <c r="AP20" s="58"/>
      <c r="AQ20" s="58"/>
      <c r="AR20" s="58"/>
      <c r="AS20" s="58"/>
      <c r="AT20" s="58"/>
      <c r="AU20" s="58">
        <f t="shared" si="8"/>
        <v>700</v>
      </c>
      <c r="AV20" s="58">
        <f t="shared" si="9"/>
        <v>0</v>
      </c>
      <c r="AW20" s="58"/>
      <c r="AX20" s="58"/>
      <c r="AY20" s="58">
        <v>848</v>
      </c>
      <c r="AZ20" s="58"/>
      <c r="BA20" s="58"/>
      <c r="BB20" s="58">
        <v>2000</v>
      </c>
      <c r="BC20" s="58"/>
      <c r="BD20" s="58"/>
      <c r="BE20" s="58">
        <v>2500</v>
      </c>
      <c r="BF20" s="58">
        <v>3280</v>
      </c>
      <c r="BG20" s="58"/>
      <c r="BH20" s="58"/>
      <c r="BI20" s="58">
        <v>848</v>
      </c>
      <c r="BJ20" s="58"/>
      <c r="BK20" s="58"/>
      <c r="BL20" s="58">
        <v>848</v>
      </c>
      <c r="BM20" s="58">
        <v>1548</v>
      </c>
      <c r="BN20" s="59"/>
      <c r="BO20" s="65">
        <v>2303</v>
      </c>
      <c r="BP20" s="61">
        <f t="shared" si="10"/>
        <v>0</v>
      </c>
      <c r="BQ20" s="61">
        <f>G20-BM20-148</f>
        <v>2304</v>
      </c>
      <c r="BR20" s="26"/>
      <c r="BS20" s="34">
        <v>1300000000</v>
      </c>
      <c r="BT20" s="25"/>
      <c r="BW20" s="24"/>
      <c r="BX20" s="24"/>
      <c r="BY20" s="24"/>
      <c r="BZ20" s="24"/>
    </row>
    <row r="21" spans="1:78" ht="25.5" customHeight="1">
      <c r="A21" s="29">
        <v>17</v>
      </c>
      <c r="B21" s="28" t="s">
        <v>335</v>
      </c>
      <c r="C21" s="10" t="s">
        <v>185</v>
      </c>
      <c r="D21" s="10" t="s">
        <v>334</v>
      </c>
      <c r="E21" s="10" t="s">
        <v>330</v>
      </c>
      <c r="F21" s="10" t="s">
        <v>333</v>
      </c>
      <c r="G21" s="63">
        <v>1700</v>
      </c>
      <c r="H21" s="64"/>
      <c r="I21" s="64"/>
      <c r="J21" s="64"/>
      <c r="K21" s="64"/>
      <c r="L21" s="64"/>
      <c r="M21" s="58">
        <v>500</v>
      </c>
      <c r="N21" s="58"/>
      <c r="O21" s="58"/>
      <c r="P21" s="58"/>
      <c r="Q21" s="58"/>
      <c r="R21" s="58"/>
      <c r="S21" s="58">
        <f t="shared" si="2"/>
        <v>1000</v>
      </c>
      <c r="T21" s="58">
        <v>1000</v>
      </c>
      <c r="U21" s="58">
        <f t="shared" si="3"/>
        <v>0</v>
      </c>
      <c r="V21" s="58"/>
      <c r="W21" s="58"/>
      <c r="X21" s="58"/>
      <c r="Y21" s="58"/>
      <c r="Z21" s="58"/>
      <c r="AA21" s="58"/>
      <c r="AB21" s="58"/>
      <c r="AC21" s="58">
        <f t="shared" si="4"/>
        <v>1000</v>
      </c>
      <c r="AD21" s="58">
        <f t="shared" si="5"/>
        <v>0</v>
      </c>
      <c r="AE21" s="58"/>
      <c r="AF21" s="58"/>
      <c r="AG21" s="58"/>
      <c r="AH21" s="58"/>
      <c r="AI21" s="58"/>
      <c r="AJ21" s="58"/>
      <c r="AK21" s="58"/>
      <c r="AL21" s="58">
        <f t="shared" si="6"/>
        <v>500</v>
      </c>
      <c r="AM21" s="58">
        <v>500</v>
      </c>
      <c r="AN21" s="58">
        <f t="shared" si="7"/>
        <v>0</v>
      </c>
      <c r="AO21" s="58"/>
      <c r="AP21" s="58"/>
      <c r="AQ21" s="58"/>
      <c r="AR21" s="58"/>
      <c r="AS21" s="58"/>
      <c r="AT21" s="58"/>
      <c r="AU21" s="58">
        <f t="shared" si="8"/>
        <v>500</v>
      </c>
      <c r="AV21" s="58">
        <f t="shared" si="9"/>
        <v>0</v>
      </c>
      <c r="AW21" s="58"/>
      <c r="AX21" s="58"/>
      <c r="AY21" s="58">
        <f>G21-AU21-700</f>
        <v>500</v>
      </c>
      <c r="AZ21" s="58"/>
      <c r="BA21" s="58"/>
      <c r="BB21" s="58">
        <v>300</v>
      </c>
      <c r="BC21" s="58"/>
      <c r="BD21" s="58"/>
      <c r="BE21" s="58">
        <v>300</v>
      </c>
      <c r="BF21" s="58">
        <v>1650</v>
      </c>
      <c r="BG21" s="58"/>
      <c r="BH21" s="58"/>
      <c r="BI21" s="58">
        <v>500</v>
      </c>
      <c r="BJ21" s="58"/>
      <c r="BK21" s="58"/>
      <c r="BL21" s="58">
        <v>500</v>
      </c>
      <c r="BM21" s="58">
        <v>1000</v>
      </c>
      <c r="BN21" s="59"/>
      <c r="BO21" s="65">
        <v>700</v>
      </c>
      <c r="BP21" s="61">
        <f t="shared" si="10"/>
        <v>0</v>
      </c>
      <c r="BQ21" s="61">
        <f>G21-BM21-78.4</f>
        <v>621.6</v>
      </c>
      <c r="BR21" s="26"/>
      <c r="BS21" s="25"/>
      <c r="BT21" s="25"/>
      <c r="BW21" s="24"/>
      <c r="BX21" s="24"/>
      <c r="BY21" s="24"/>
      <c r="BZ21" s="24"/>
    </row>
    <row r="22" spans="1:78" ht="35.25" customHeight="1">
      <c r="A22" s="29">
        <v>18</v>
      </c>
      <c r="B22" s="28" t="s">
        <v>332</v>
      </c>
      <c r="C22" s="10" t="s">
        <v>185</v>
      </c>
      <c r="D22" s="10" t="s">
        <v>331</v>
      </c>
      <c r="E22" s="10" t="s">
        <v>330</v>
      </c>
      <c r="F22" s="10" t="s">
        <v>329</v>
      </c>
      <c r="G22" s="63">
        <v>2500</v>
      </c>
      <c r="H22" s="64"/>
      <c r="I22" s="64"/>
      <c r="J22" s="64"/>
      <c r="K22" s="64"/>
      <c r="L22" s="64"/>
      <c r="M22" s="58">
        <v>600</v>
      </c>
      <c r="N22" s="58"/>
      <c r="O22" s="58"/>
      <c r="P22" s="58"/>
      <c r="Q22" s="58"/>
      <c r="R22" s="58"/>
      <c r="S22" s="58">
        <f t="shared" si="2"/>
        <v>700</v>
      </c>
      <c r="T22" s="58">
        <v>700</v>
      </c>
      <c r="U22" s="58">
        <f t="shared" si="3"/>
        <v>0</v>
      </c>
      <c r="V22" s="58"/>
      <c r="W22" s="58"/>
      <c r="X22" s="58"/>
      <c r="Y22" s="58"/>
      <c r="Z22" s="58"/>
      <c r="AA22" s="58"/>
      <c r="AB22" s="58"/>
      <c r="AC22" s="58">
        <f t="shared" si="4"/>
        <v>700</v>
      </c>
      <c r="AD22" s="58">
        <f t="shared" si="5"/>
        <v>0</v>
      </c>
      <c r="AE22" s="58"/>
      <c r="AF22" s="58"/>
      <c r="AG22" s="58"/>
      <c r="AH22" s="58"/>
      <c r="AI22" s="58"/>
      <c r="AJ22" s="58"/>
      <c r="AK22" s="58"/>
      <c r="AL22" s="58">
        <f t="shared" si="6"/>
        <v>600</v>
      </c>
      <c r="AM22" s="58">
        <v>600</v>
      </c>
      <c r="AN22" s="58">
        <f t="shared" si="7"/>
        <v>0</v>
      </c>
      <c r="AO22" s="58"/>
      <c r="AP22" s="58"/>
      <c r="AQ22" s="58"/>
      <c r="AR22" s="58"/>
      <c r="AS22" s="58"/>
      <c r="AT22" s="58"/>
      <c r="AU22" s="58">
        <f t="shared" si="8"/>
        <v>600</v>
      </c>
      <c r="AV22" s="58">
        <f t="shared" si="9"/>
        <v>0</v>
      </c>
      <c r="AW22" s="58"/>
      <c r="AX22" s="58"/>
      <c r="AY22" s="58">
        <f>G22-AU22-1400</f>
        <v>500</v>
      </c>
      <c r="AZ22" s="58"/>
      <c r="BA22" s="58"/>
      <c r="BB22" s="58">
        <v>1000</v>
      </c>
      <c r="BC22" s="58"/>
      <c r="BD22" s="58"/>
      <c r="BE22" s="58">
        <v>1707.9</v>
      </c>
      <c r="BF22" s="58">
        <v>2487.9</v>
      </c>
      <c r="BG22" s="58"/>
      <c r="BH22" s="58"/>
      <c r="BI22" s="58">
        <v>500</v>
      </c>
      <c r="BJ22" s="58"/>
      <c r="BK22" s="58"/>
      <c r="BL22" s="58">
        <v>500</v>
      </c>
      <c r="BM22" s="58">
        <v>1100</v>
      </c>
      <c r="BN22" s="59"/>
      <c r="BO22" s="65">
        <v>1400</v>
      </c>
      <c r="BP22" s="61">
        <f t="shared" si="10"/>
        <v>0</v>
      </c>
      <c r="BQ22" s="61">
        <f>G22-BM22-9</f>
        <v>1391</v>
      </c>
      <c r="BR22" s="26"/>
      <c r="BS22" s="25"/>
      <c r="BT22" s="25"/>
      <c r="BW22" s="24"/>
      <c r="BX22" s="24"/>
      <c r="BY22" s="24"/>
      <c r="BZ22" s="24"/>
    </row>
    <row r="23" spans="1:78" s="13" customFormat="1" ht="27" customHeight="1">
      <c r="A23" s="33" t="s">
        <v>85</v>
      </c>
      <c r="B23" s="32" t="s">
        <v>78</v>
      </c>
      <c r="C23" s="15"/>
      <c r="D23" s="15"/>
      <c r="E23" s="15"/>
      <c r="F23" s="15"/>
      <c r="G23" s="66">
        <f aca="true" t="shared" si="15" ref="G23:BR23">+G24+G25+G26+G27</f>
        <v>7500</v>
      </c>
      <c r="H23" s="66">
        <f t="shared" si="15"/>
        <v>0</v>
      </c>
      <c r="I23" s="66">
        <f t="shared" si="15"/>
        <v>0</v>
      </c>
      <c r="J23" s="66">
        <f t="shared" si="15"/>
        <v>0</v>
      </c>
      <c r="K23" s="66">
        <f t="shared" si="15"/>
        <v>0</v>
      </c>
      <c r="L23" s="66">
        <f t="shared" si="15"/>
        <v>0</v>
      </c>
      <c r="M23" s="66">
        <f t="shared" si="15"/>
        <v>2000</v>
      </c>
      <c r="N23" s="66">
        <f t="shared" si="15"/>
        <v>0</v>
      </c>
      <c r="O23" s="66">
        <f t="shared" si="15"/>
        <v>0</v>
      </c>
      <c r="P23" s="66">
        <f t="shared" si="15"/>
        <v>0</v>
      </c>
      <c r="Q23" s="66">
        <f t="shared" si="15"/>
        <v>0</v>
      </c>
      <c r="R23" s="66">
        <f t="shared" si="15"/>
        <v>0</v>
      </c>
      <c r="S23" s="66">
        <f t="shared" si="15"/>
        <v>0</v>
      </c>
      <c r="T23" s="66">
        <f t="shared" si="15"/>
        <v>0</v>
      </c>
      <c r="U23" s="66">
        <f t="shared" si="15"/>
        <v>0</v>
      </c>
      <c r="V23" s="66">
        <f t="shared" si="15"/>
        <v>0</v>
      </c>
      <c r="W23" s="66">
        <f t="shared" si="15"/>
        <v>0</v>
      </c>
      <c r="X23" s="66">
        <f t="shared" si="15"/>
        <v>0</v>
      </c>
      <c r="Y23" s="66">
        <f t="shared" si="15"/>
        <v>0</v>
      </c>
      <c r="Z23" s="66">
        <f t="shared" si="15"/>
        <v>0</v>
      </c>
      <c r="AA23" s="66">
        <f t="shared" si="15"/>
        <v>0</v>
      </c>
      <c r="AB23" s="66">
        <f t="shared" si="15"/>
        <v>0</v>
      </c>
      <c r="AC23" s="66">
        <f t="shared" si="15"/>
        <v>0</v>
      </c>
      <c r="AD23" s="66">
        <f t="shared" si="15"/>
        <v>0</v>
      </c>
      <c r="AE23" s="66">
        <f t="shared" si="15"/>
        <v>0</v>
      </c>
      <c r="AF23" s="66">
        <f t="shared" si="15"/>
        <v>0</v>
      </c>
      <c r="AG23" s="66">
        <f t="shared" si="15"/>
        <v>0</v>
      </c>
      <c r="AH23" s="66">
        <f t="shared" si="15"/>
        <v>0</v>
      </c>
      <c r="AI23" s="66">
        <f t="shared" si="15"/>
        <v>0</v>
      </c>
      <c r="AJ23" s="66">
        <f t="shared" si="15"/>
        <v>0</v>
      </c>
      <c r="AK23" s="66">
        <f t="shared" si="15"/>
        <v>0</v>
      </c>
      <c r="AL23" s="66">
        <f t="shared" si="15"/>
        <v>0</v>
      </c>
      <c r="AM23" s="66">
        <f t="shared" si="15"/>
        <v>0</v>
      </c>
      <c r="AN23" s="66">
        <f t="shared" si="15"/>
        <v>0</v>
      </c>
      <c r="AO23" s="66">
        <f t="shared" si="15"/>
        <v>0</v>
      </c>
      <c r="AP23" s="66">
        <f t="shared" si="15"/>
        <v>0</v>
      </c>
      <c r="AQ23" s="66">
        <f t="shared" si="15"/>
        <v>0</v>
      </c>
      <c r="AR23" s="66">
        <f t="shared" si="15"/>
        <v>0</v>
      </c>
      <c r="AS23" s="66">
        <f t="shared" si="15"/>
        <v>0</v>
      </c>
      <c r="AT23" s="66">
        <f t="shared" si="15"/>
        <v>0</v>
      </c>
      <c r="AU23" s="66">
        <f t="shared" si="15"/>
        <v>0</v>
      </c>
      <c r="AV23" s="66">
        <f t="shared" si="15"/>
        <v>0</v>
      </c>
      <c r="AW23" s="66">
        <f t="shared" si="15"/>
        <v>0</v>
      </c>
      <c r="AX23" s="66">
        <f t="shared" si="15"/>
        <v>0</v>
      </c>
      <c r="AY23" s="66">
        <f t="shared" si="15"/>
        <v>5000</v>
      </c>
      <c r="AZ23" s="66">
        <f t="shared" si="15"/>
        <v>0</v>
      </c>
      <c r="BA23" s="66">
        <f t="shared" si="15"/>
        <v>0</v>
      </c>
      <c r="BB23" s="66">
        <f t="shared" si="15"/>
        <v>0</v>
      </c>
      <c r="BC23" s="66">
        <f t="shared" si="15"/>
        <v>0</v>
      </c>
      <c r="BD23" s="66">
        <f t="shared" si="15"/>
        <v>0</v>
      </c>
      <c r="BE23" s="66">
        <f t="shared" si="15"/>
        <v>5051.8</v>
      </c>
      <c r="BF23" s="66">
        <f t="shared" si="15"/>
        <v>5051.8</v>
      </c>
      <c r="BG23" s="66">
        <f t="shared" si="15"/>
        <v>0</v>
      </c>
      <c r="BH23" s="66">
        <f t="shared" si="15"/>
        <v>0</v>
      </c>
      <c r="BI23" s="66">
        <f t="shared" si="15"/>
        <v>0</v>
      </c>
      <c r="BJ23" s="66">
        <f t="shared" si="15"/>
        <v>0</v>
      </c>
      <c r="BK23" s="66">
        <f t="shared" si="15"/>
        <v>0</v>
      </c>
      <c r="BL23" s="66">
        <f t="shared" si="15"/>
        <v>5000</v>
      </c>
      <c r="BM23" s="66">
        <f t="shared" si="15"/>
        <v>5000</v>
      </c>
      <c r="BN23" s="66">
        <f t="shared" si="15"/>
        <v>0</v>
      </c>
      <c r="BO23" s="66">
        <f t="shared" si="15"/>
        <v>0</v>
      </c>
      <c r="BP23" s="66">
        <f t="shared" si="15"/>
        <v>0</v>
      </c>
      <c r="BQ23" s="66">
        <f t="shared" si="15"/>
        <v>2222</v>
      </c>
      <c r="BR23" s="66">
        <f t="shared" si="15"/>
        <v>0</v>
      </c>
      <c r="BS23" s="66">
        <f>+BS24+BS25+BS26+BS27</f>
        <v>0</v>
      </c>
      <c r="BT23" s="25"/>
      <c r="BW23" s="31"/>
      <c r="BX23" s="31"/>
      <c r="BY23" s="31"/>
      <c r="BZ23" s="31"/>
    </row>
    <row r="24" spans="1:78" ht="47.25">
      <c r="A24" s="29">
        <v>1</v>
      </c>
      <c r="B24" s="28" t="s">
        <v>328</v>
      </c>
      <c r="C24" s="10" t="s">
        <v>327</v>
      </c>
      <c r="D24" s="10"/>
      <c r="E24" s="10"/>
      <c r="F24" s="10"/>
      <c r="G24" s="63">
        <v>1800</v>
      </c>
      <c r="H24" s="66"/>
      <c r="I24" s="66"/>
      <c r="J24" s="66"/>
      <c r="K24" s="66"/>
      <c r="L24" s="66"/>
      <c r="M24" s="59">
        <v>500</v>
      </c>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27">
        <v>1400</v>
      </c>
      <c r="AZ24" s="59"/>
      <c r="BA24" s="59"/>
      <c r="BB24" s="59"/>
      <c r="BC24" s="59"/>
      <c r="BD24" s="59"/>
      <c r="BE24" s="59">
        <v>1403.1</v>
      </c>
      <c r="BF24" s="59">
        <f>BE24</f>
        <v>1403.1</v>
      </c>
      <c r="BG24" s="59"/>
      <c r="BH24" s="59"/>
      <c r="BI24" s="59"/>
      <c r="BJ24" s="59"/>
      <c r="BK24" s="59"/>
      <c r="BL24" s="59">
        <v>1400</v>
      </c>
      <c r="BM24" s="59">
        <v>1400</v>
      </c>
      <c r="BN24" s="59"/>
      <c r="BO24" s="65"/>
      <c r="BP24" s="59"/>
      <c r="BQ24" s="59">
        <f>G24-AY24-16</f>
        <v>384</v>
      </c>
      <c r="BR24" s="26"/>
      <c r="BS24" s="25"/>
      <c r="BT24" s="25"/>
      <c r="BW24" s="24"/>
      <c r="BX24" s="24"/>
      <c r="BY24" s="24"/>
      <c r="BZ24" s="24"/>
    </row>
    <row r="25" spans="1:78" ht="31.5">
      <c r="A25" s="29">
        <v>2</v>
      </c>
      <c r="B25" s="28" t="s">
        <v>326</v>
      </c>
      <c r="C25" s="10" t="s">
        <v>325</v>
      </c>
      <c r="D25" s="10"/>
      <c r="E25" s="10"/>
      <c r="F25" s="10"/>
      <c r="G25" s="63">
        <v>1900</v>
      </c>
      <c r="H25" s="66"/>
      <c r="I25" s="66"/>
      <c r="J25" s="66"/>
      <c r="K25" s="66"/>
      <c r="L25" s="66"/>
      <c r="M25" s="59">
        <v>500</v>
      </c>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27">
        <v>1300</v>
      </c>
      <c r="AZ25" s="59"/>
      <c r="BA25" s="59"/>
      <c r="BB25" s="59"/>
      <c r="BC25" s="59"/>
      <c r="BD25" s="59"/>
      <c r="BE25" s="59">
        <v>1318.2</v>
      </c>
      <c r="BF25" s="59">
        <f>BE25</f>
        <v>1318.2</v>
      </c>
      <c r="BG25" s="59"/>
      <c r="BH25" s="59"/>
      <c r="BI25" s="59"/>
      <c r="BJ25" s="59"/>
      <c r="BK25" s="59"/>
      <c r="BL25" s="59">
        <v>1300</v>
      </c>
      <c r="BM25" s="59">
        <v>1300</v>
      </c>
      <c r="BN25" s="59"/>
      <c r="BO25" s="65"/>
      <c r="BP25" s="59"/>
      <c r="BQ25" s="59">
        <f>G25-AY25-88</f>
        <v>512</v>
      </c>
      <c r="BR25" s="26"/>
      <c r="BS25" s="25"/>
      <c r="BT25" s="25"/>
      <c r="BW25" s="24"/>
      <c r="BX25" s="24"/>
      <c r="BY25" s="24"/>
      <c r="BZ25" s="24"/>
    </row>
    <row r="26" spans="1:78" ht="31.5">
      <c r="A26" s="29">
        <v>3</v>
      </c>
      <c r="B26" s="28" t="s">
        <v>324</v>
      </c>
      <c r="C26" s="10" t="s">
        <v>323</v>
      </c>
      <c r="D26" s="10"/>
      <c r="E26" s="10"/>
      <c r="F26" s="10"/>
      <c r="G26" s="63">
        <v>1900</v>
      </c>
      <c r="H26" s="66"/>
      <c r="I26" s="66"/>
      <c r="J26" s="66"/>
      <c r="K26" s="66"/>
      <c r="L26" s="66"/>
      <c r="M26" s="59">
        <v>500</v>
      </c>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30">
        <v>1000</v>
      </c>
      <c r="AZ26" s="59"/>
      <c r="BA26" s="59"/>
      <c r="BB26" s="59"/>
      <c r="BC26" s="59"/>
      <c r="BD26" s="59"/>
      <c r="BE26" s="59">
        <v>1016.8</v>
      </c>
      <c r="BF26" s="59">
        <f>BE26</f>
        <v>1016.8</v>
      </c>
      <c r="BG26" s="59"/>
      <c r="BH26" s="59"/>
      <c r="BI26" s="59"/>
      <c r="BJ26" s="59"/>
      <c r="BK26" s="59"/>
      <c r="BL26" s="59">
        <v>1000</v>
      </c>
      <c r="BM26" s="59">
        <v>1000</v>
      </c>
      <c r="BN26" s="59"/>
      <c r="BO26" s="65"/>
      <c r="BP26" s="59"/>
      <c r="BQ26" s="59">
        <f>G26-AY26-108</f>
        <v>792</v>
      </c>
      <c r="BR26" s="26"/>
      <c r="BS26" s="25"/>
      <c r="BT26" s="25"/>
      <c r="BW26" s="24"/>
      <c r="BX26" s="24"/>
      <c r="BY26" s="24"/>
      <c r="BZ26" s="24"/>
    </row>
    <row r="27" spans="1:78" ht="38.25">
      <c r="A27" s="29">
        <v>4</v>
      </c>
      <c r="B27" s="28" t="s">
        <v>322</v>
      </c>
      <c r="C27" s="10" t="s">
        <v>321</v>
      </c>
      <c r="D27" s="10"/>
      <c r="E27" s="10"/>
      <c r="F27" s="10"/>
      <c r="G27" s="63">
        <v>1900</v>
      </c>
      <c r="H27" s="66"/>
      <c r="I27" s="66"/>
      <c r="J27" s="66"/>
      <c r="K27" s="66"/>
      <c r="L27" s="66"/>
      <c r="M27" s="59">
        <v>500</v>
      </c>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27">
        <v>1300</v>
      </c>
      <c r="AZ27" s="59"/>
      <c r="BA27" s="59"/>
      <c r="BB27" s="59"/>
      <c r="BC27" s="59"/>
      <c r="BD27" s="59"/>
      <c r="BE27" s="59">
        <v>1313.7</v>
      </c>
      <c r="BF27" s="59">
        <f>BE27</f>
        <v>1313.7</v>
      </c>
      <c r="BG27" s="59"/>
      <c r="BH27" s="59"/>
      <c r="BI27" s="59"/>
      <c r="BJ27" s="59"/>
      <c r="BK27" s="59"/>
      <c r="BL27" s="59">
        <v>1300</v>
      </c>
      <c r="BM27" s="59">
        <v>1300</v>
      </c>
      <c r="BN27" s="59"/>
      <c r="BO27" s="65"/>
      <c r="BP27" s="59"/>
      <c r="BQ27" s="59">
        <f>G27-AY27-66</f>
        <v>534</v>
      </c>
      <c r="BR27" s="26"/>
      <c r="BS27" s="25"/>
      <c r="BT27" s="25"/>
      <c r="BW27" s="24"/>
      <c r="BX27" s="24"/>
      <c r="BY27" s="24"/>
      <c r="BZ27" s="24"/>
    </row>
    <row r="28" spans="1:78" s="13" customFormat="1" ht="26.25" customHeight="1">
      <c r="A28" s="33" t="s">
        <v>55</v>
      </c>
      <c r="B28" s="32" t="s">
        <v>539</v>
      </c>
      <c r="C28" s="15"/>
      <c r="D28" s="15"/>
      <c r="E28" s="15"/>
      <c r="F28" s="15"/>
      <c r="G28" s="57">
        <f>SUM(G29:G33)</f>
        <v>0</v>
      </c>
      <c r="H28" s="57">
        <f aca="true" t="shared" si="16" ref="H28:BR28">SUM(H29:H33)</f>
        <v>0</v>
      </c>
      <c r="I28" s="57">
        <f t="shared" si="16"/>
        <v>0</v>
      </c>
      <c r="J28" s="57">
        <f t="shared" si="16"/>
        <v>0</v>
      </c>
      <c r="K28" s="57">
        <f t="shared" si="16"/>
        <v>0</v>
      </c>
      <c r="L28" s="57">
        <f t="shared" si="16"/>
        <v>0</v>
      </c>
      <c r="M28" s="57">
        <f t="shared" si="16"/>
        <v>0</v>
      </c>
      <c r="N28" s="57">
        <f t="shared" si="16"/>
        <v>0</v>
      </c>
      <c r="O28" s="57">
        <f t="shared" si="16"/>
        <v>0</v>
      </c>
      <c r="P28" s="57">
        <f t="shared" si="16"/>
        <v>0</v>
      </c>
      <c r="Q28" s="57">
        <f t="shared" si="16"/>
        <v>0</v>
      </c>
      <c r="R28" s="57">
        <f t="shared" si="16"/>
        <v>0</v>
      </c>
      <c r="S28" s="57">
        <f t="shared" si="16"/>
        <v>0</v>
      </c>
      <c r="T28" s="57">
        <f t="shared" si="16"/>
        <v>0</v>
      </c>
      <c r="U28" s="57">
        <f t="shared" si="16"/>
        <v>0</v>
      </c>
      <c r="V28" s="57">
        <f t="shared" si="16"/>
        <v>0</v>
      </c>
      <c r="W28" s="57">
        <f t="shared" si="16"/>
        <v>0</v>
      </c>
      <c r="X28" s="57">
        <f t="shared" si="16"/>
        <v>0</v>
      </c>
      <c r="Y28" s="57">
        <f t="shared" si="16"/>
        <v>0</v>
      </c>
      <c r="Z28" s="57">
        <f t="shared" si="16"/>
        <v>0</v>
      </c>
      <c r="AA28" s="57">
        <f t="shared" si="16"/>
        <v>0</v>
      </c>
      <c r="AB28" s="57">
        <f t="shared" si="16"/>
        <v>0</v>
      </c>
      <c r="AC28" s="57">
        <f t="shared" si="16"/>
        <v>0</v>
      </c>
      <c r="AD28" s="57">
        <f t="shared" si="16"/>
        <v>0</v>
      </c>
      <c r="AE28" s="57">
        <f t="shared" si="16"/>
        <v>0</v>
      </c>
      <c r="AF28" s="57">
        <f t="shared" si="16"/>
        <v>0</v>
      </c>
      <c r="AG28" s="57">
        <f t="shared" si="16"/>
        <v>0</v>
      </c>
      <c r="AH28" s="57">
        <f t="shared" si="16"/>
        <v>0</v>
      </c>
      <c r="AI28" s="57">
        <f t="shared" si="16"/>
        <v>0</v>
      </c>
      <c r="AJ28" s="57">
        <f t="shared" si="16"/>
        <v>0</v>
      </c>
      <c r="AK28" s="57">
        <f t="shared" si="16"/>
        <v>0</v>
      </c>
      <c r="AL28" s="57">
        <f t="shared" si="16"/>
        <v>0</v>
      </c>
      <c r="AM28" s="57">
        <f t="shared" si="16"/>
        <v>0</v>
      </c>
      <c r="AN28" s="57">
        <f t="shared" si="16"/>
        <v>0</v>
      </c>
      <c r="AO28" s="57">
        <f t="shared" si="16"/>
        <v>0</v>
      </c>
      <c r="AP28" s="57">
        <f t="shared" si="16"/>
        <v>0</v>
      </c>
      <c r="AQ28" s="57">
        <f t="shared" si="16"/>
        <v>0</v>
      </c>
      <c r="AR28" s="57">
        <f t="shared" si="16"/>
        <v>0</v>
      </c>
      <c r="AS28" s="57">
        <f t="shared" si="16"/>
        <v>0</v>
      </c>
      <c r="AT28" s="57">
        <f t="shared" si="16"/>
        <v>0</v>
      </c>
      <c r="AU28" s="57">
        <f t="shared" si="16"/>
        <v>0</v>
      </c>
      <c r="AV28" s="57">
        <f t="shared" si="16"/>
        <v>0</v>
      </c>
      <c r="AW28" s="57">
        <f t="shared" si="16"/>
        <v>0</v>
      </c>
      <c r="AX28" s="57">
        <f t="shared" si="16"/>
        <v>0</v>
      </c>
      <c r="AY28" s="57">
        <f t="shared" si="16"/>
        <v>0</v>
      </c>
      <c r="AZ28" s="57">
        <f t="shared" si="16"/>
        <v>0</v>
      </c>
      <c r="BA28" s="57">
        <f t="shared" si="16"/>
        <v>0</v>
      </c>
      <c r="BB28" s="57">
        <f t="shared" si="16"/>
        <v>0</v>
      </c>
      <c r="BC28" s="57">
        <f t="shared" si="16"/>
        <v>0</v>
      </c>
      <c r="BD28" s="57">
        <f t="shared" si="16"/>
        <v>0</v>
      </c>
      <c r="BE28" s="57">
        <f t="shared" si="16"/>
        <v>0</v>
      </c>
      <c r="BF28" s="57">
        <f t="shared" si="16"/>
        <v>0</v>
      </c>
      <c r="BG28" s="57">
        <f t="shared" si="16"/>
        <v>0</v>
      </c>
      <c r="BH28" s="57">
        <f t="shared" si="16"/>
        <v>0</v>
      </c>
      <c r="BI28" s="57">
        <f t="shared" si="16"/>
        <v>0</v>
      </c>
      <c r="BJ28" s="57">
        <f t="shared" si="16"/>
        <v>0</v>
      </c>
      <c r="BK28" s="57">
        <f t="shared" si="16"/>
        <v>0</v>
      </c>
      <c r="BL28" s="57">
        <f t="shared" si="16"/>
        <v>0</v>
      </c>
      <c r="BM28" s="57">
        <f t="shared" si="16"/>
        <v>0</v>
      </c>
      <c r="BN28" s="57">
        <f t="shared" si="16"/>
        <v>0</v>
      </c>
      <c r="BO28" s="57">
        <f t="shared" si="16"/>
        <v>0</v>
      </c>
      <c r="BP28" s="57">
        <f t="shared" si="16"/>
        <v>0</v>
      </c>
      <c r="BQ28" s="57">
        <f t="shared" si="16"/>
        <v>5000</v>
      </c>
      <c r="BR28" s="57">
        <f t="shared" si="16"/>
        <v>0</v>
      </c>
      <c r="BS28" s="25"/>
      <c r="BT28" s="25"/>
      <c r="BW28" s="67"/>
      <c r="BX28" s="67"/>
      <c r="BY28" s="67"/>
      <c r="BZ28" s="67"/>
    </row>
    <row r="29" spans="1:78" ht="31.5">
      <c r="A29" s="29">
        <v>1</v>
      </c>
      <c r="B29" s="354" t="s">
        <v>540</v>
      </c>
      <c r="C29" s="2" t="s">
        <v>155</v>
      </c>
      <c r="D29" s="10"/>
      <c r="E29" s="10"/>
      <c r="F29" s="10"/>
      <c r="G29" s="63"/>
      <c r="H29" s="66"/>
      <c r="I29" s="66"/>
      <c r="J29" s="66"/>
      <c r="K29" s="66"/>
      <c r="L29" s="66"/>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27"/>
      <c r="AZ29" s="59"/>
      <c r="BA29" s="59"/>
      <c r="BB29" s="59"/>
      <c r="BC29" s="59"/>
      <c r="BD29" s="59"/>
      <c r="BE29" s="59"/>
      <c r="BF29" s="59"/>
      <c r="BG29" s="59"/>
      <c r="BH29" s="59"/>
      <c r="BI29" s="59"/>
      <c r="BJ29" s="59"/>
      <c r="BK29" s="59"/>
      <c r="BL29" s="59"/>
      <c r="BM29" s="59"/>
      <c r="BN29" s="59"/>
      <c r="BO29" s="65"/>
      <c r="BP29" s="59"/>
      <c r="BQ29" s="59">
        <v>1000</v>
      </c>
      <c r="BR29" s="26"/>
      <c r="BS29" s="25"/>
      <c r="BT29" s="25"/>
      <c r="BW29" s="68"/>
      <c r="BX29" s="68"/>
      <c r="BY29" s="68"/>
      <c r="BZ29" s="68"/>
    </row>
    <row r="30" spans="1:78" ht="33">
      <c r="A30" s="29">
        <v>2</v>
      </c>
      <c r="B30" s="355" t="s">
        <v>541</v>
      </c>
      <c r="C30" s="356" t="s">
        <v>542</v>
      </c>
      <c r="D30" s="10"/>
      <c r="E30" s="10"/>
      <c r="F30" s="10"/>
      <c r="G30" s="63"/>
      <c r="H30" s="66"/>
      <c r="I30" s="66"/>
      <c r="J30" s="66"/>
      <c r="K30" s="66"/>
      <c r="L30" s="66"/>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27"/>
      <c r="AZ30" s="59"/>
      <c r="BA30" s="59"/>
      <c r="BB30" s="59"/>
      <c r="BC30" s="59"/>
      <c r="BD30" s="59"/>
      <c r="BE30" s="59"/>
      <c r="BF30" s="59"/>
      <c r="BG30" s="59"/>
      <c r="BH30" s="59"/>
      <c r="BI30" s="59"/>
      <c r="BJ30" s="59"/>
      <c r="BK30" s="59"/>
      <c r="BL30" s="59"/>
      <c r="BM30" s="59"/>
      <c r="BN30" s="59"/>
      <c r="BO30" s="65"/>
      <c r="BP30" s="59"/>
      <c r="BQ30" s="59">
        <v>1000</v>
      </c>
      <c r="BR30" s="26"/>
      <c r="BS30" s="25"/>
      <c r="BT30" s="25"/>
      <c r="BW30" s="68"/>
      <c r="BX30" s="68"/>
      <c r="BY30" s="68"/>
      <c r="BZ30" s="68"/>
    </row>
    <row r="31" spans="1:78" ht="49.5">
      <c r="A31" s="29">
        <v>3</v>
      </c>
      <c r="B31" s="355" t="s">
        <v>543</v>
      </c>
      <c r="C31" s="356" t="s">
        <v>544</v>
      </c>
      <c r="D31" s="10"/>
      <c r="E31" s="10"/>
      <c r="F31" s="10"/>
      <c r="G31" s="63"/>
      <c r="H31" s="66"/>
      <c r="I31" s="66"/>
      <c r="J31" s="66"/>
      <c r="K31" s="66"/>
      <c r="L31" s="66"/>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27"/>
      <c r="AZ31" s="59"/>
      <c r="BA31" s="59"/>
      <c r="BB31" s="59"/>
      <c r="BC31" s="59"/>
      <c r="BD31" s="59"/>
      <c r="BE31" s="59"/>
      <c r="BF31" s="59"/>
      <c r="BG31" s="59"/>
      <c r="BH31" s="59"/>
      <c r="BI31" s="59"/>
      <c r="BJ31" s="59"/>
      <c r="BK31" s="59"/>
      <c r="BL31" s="59"/>
      <c r="BM31" s="59"/>
      <c r="BN31" s="59"/>
      <c r="BO31" s="65"/>
      <c r="BP31" s="59"/>
      <c r="BQ31" s="59">
        <v>1000</v>
      </c>
      <c r="BR31" s="26"/>
      <c r="BS31" s="25"/>
      <c r="BT31" s="25"/>
      <c r="BW31" s="68"/>
      <c r="BX31" s="68"/>
      <c r="BY31" s="68"/>
      <c r="BZ31" s="68"/>
    </row>
    <row r="32" spans="1:78" ht="33">
      <c r="A32" s="29">
        <v>4</v>
      </c>
      <c r="B32" s="357" t="s">
        <v>545</v>
      </c>
      <c r="C32" s="358" t="s">
        <v>546</v>
      </c>
      <c r="D32" s="10"/>
      <c r="E32" s="10"/>
      <c r="F32" s="10"/>
      <c r="G32" s="63"/>
      <c r="H32" s="66"/>
      <c r="I32" s="66"/>
      <c r="J32" s="66"/>
      <c r="K32" s="66"/>
      <c r="L32" s="66"/>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27"/>
      <c r="AZ32" s="59"/>
      <c r="BA32" s="59"/>
      <c r="BB32" s="59"/>
      <c r="BC32" s="59"/>
      <c r="BD32" s="59"/>
      <c r="BE32" s="59"/>
      <c r="BF32" s="59"/>
      <c r="BG32" s="59"/>
      <c r="BH32" s="59"/>
      <c r="BI32" s="59"/>
      <c r="BJ32" s="59"/>
      <c r="BK32" s="59"/>
      <c r="BL32" s="59"/>
      <c r="BM32" s="59"/>
      <c r="BN32" s="59"/>
      <c r="BO32" s="65"/>
      <c r="BP32" s="59"/>
      <c r="BQ32" s="59">
        <v>1000</v>
      </c>
      <c r="BR32" s="26"/>
      <c r="BS32" s="25"/>
      <c r="BT32" s="25"/>
      <c r="BW32" s="68"/>
      <c r="BX32" s="68"/>
      <c r="BY32" s="68"/>
      <c r="BZ32" s="68"/>
    </row>
    <row r="33" spans="1:78" ht="39.75" customHeight="1">
      <c r="A33" s="29">
        <v>5</v>
      </c>
      <c r="B33" s="355" t="s">
        <v>547</v>
      </c>
      <c r="C33" s="356" t="s">
        <v>71</v>
      </c>
      <c r="D33" s="10"/>
      <c r="E33" s="10"/>
      <c r="F33" s="10"/>
      <c r="G33" s="63"/>
      <c r="H33" s="66"/>
      <c r="I33" s="66"/>
      <c r="J33" s="66"/>
      <c r="K33" s="66"/>
      <c r="L33" s="66"/>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27"/>
      <c r="AZ33" s="59"/>
      <c r="BA33" s="59"/>
      <c r="BB33" s="59"/>
      <c r="BC33" s="59"/>
      <c r="BD33" s="59"/>
      <c r="BE33" s="59"/>
      <c r="BF33" s="59"/>
      <c r="BG33" s="59"/>
      <c r="BH33" s="59"/>
      <c r="BI33" s="59"/>
      <c r="BJ33" s="59"/>
      <c r="BK33" s="59"/>
      <c r="BL33" s="59"/>
      <c r="BM33" s="59"/>
      <c r="BN33" s="59"/>
      <c r="BO33" s="65"/>
      <c r="BP33" s="59"/>
      <c r="BQ33" s="59">
        <v>1000</v>
      </c>
      <c r="BR33" s="26"/>
      <c r="BS33" s="25"/>
      <c r="BT33" s="25"/>
      <c r="BW33" s="68"/>
      <c r="BX33" s="68"/>
      <c r="BY33" s="68"/>
      <c r="BZ33" s="68"/>
    </row>
    <row r="34" spans="1:70" ht="16.5" thickBot="1">
      <c r="A34" s="20"/>
      <c r="B34" s="20"/>
      <c r="C34" s="23"/>
      <c r="D34" s="23"/>
      <c r="E34" s="23"/>
      <c r="F34" s="23"/>
      <c r="G34" s="20"/>
      <c r="H34" s="69"/>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70"/>
      <c r="AZ34" s="70"/>
      <c r="BA34" s="70"/>
      <c r="BB34" s="70"/>
      <c r="BC34" s="70"/>
      <c r="BD34" s="70"/>
      <c r="BE34" s="70"/>
      <c r="BF34" s="70"/>
      <c r="BG34" s="70"/>
      <c r="BH34" s="70"/>
      <c r="BI34" s="70"/>
      <c r="BJ34" s="70"/>
      <c r="BK34" s="70"/>
      <c r="BL34" s="70"/>
      <c r="BM34" s="70"/>
      <c r="BN34" s="20"/>
      <c r="BO34" s="22"/>
      <c r="BP34" s="21"/>
      <c r="BQ34" s="21"/>
      <c r="BR34" s="20"/>
    </row>
    <row r="35" ht="16.5" thickTop="1"/>
  </sheetData>
  <sheetProtection/>
  <mergeCells count="26">
    <mergeCell ref="BQ5:BQ6"/>
    <mergeCell ref="BR5:BR6"/>
    <mergeCell ref="BG5:BM5"/>
    <mergeCell ref="BN5:BN6"/>
    <mergeCell ref="BO5:BO6"/>
    <mergeCell ref="BP5:BP6"/>
    <mergeCell ref="A5:A6"/>
    <mergeCell ref="B5:B6"/>
    <mergeCell ref="AC5:AC6"/>
    <mergeCell ref="AU5:AU6"/>
    <mergeCell ref="E5:E6"/>
    <mergeCell ref="F5:F6"/>
    <mergeCell ref="G5:G6"/>
    <mergeCell ref="H5:H6"/>
    <mergeCell ref="L5:L6"/>
    <mergeCell ref="M5:M6"/>
    <mergeCell ref="C5:C6"/>
    <mergeCell ref="D5:D6"/>
    <mergeCell ref="A1:B1"/>
    <mergeCell ref="A2:BN2"/>
    <mergeCell ref="A3:BN3"/>
    <mergeCell ref="M4:BR4"/>
    <mergeCell ref="AY5:AY6"/>
    <mergeCell ref="AZ5:BF5"/>
    <mergeCell ref="I5:J5"/>
    <mergeCell ref="K5:K6"/>
  </mergeCells>
  <printOptions/>
  <pageMargins left="0.5118110236220472" right="0.31496062992125984" top="0.35433070866141736" bottom="0.3937007874015748" header="0.2755905511811024" footer="0.2755905511811024"/>
  <pageSetup horizontalDpi="600" verticalDpi="600" orientation="landscape" paperSize="9" scale="90" r:id="rId3"/>
  <headerFooter alignWithMargins="0">
    <oddFooter>&amp;CPage &amp;P</oddFooter>
  </headerFooter>
  <legacyDrawing r:id="rId2"/>
</worksheet>
</file>

<file path=xl/worksheets/sheet6.xml><?xml version="1.0" encoding="utf-8"?>
<worksheet xmlns="http://schemas.openxmlformats.org/spreadsheetml/2006/main" xmlns:r="http://schemas.openxmlformats.org/officeDocument/2006/relationships">
  <sheetPr>
    <tabColor rgb="FF00B0F0"/>
  </sheetPr>
  <dimension ref="A1:CG90"/>
  <sheetViews>
    <sheetView view="pageBreakPreview" zoomScale="85" zoomScaleNormal="85" zoomScaleSheetLayoutView="85" zoomScalePageLayoutView="0" workbookViewId="0" topLeftCell="A1">
      <selection activeCell="A25" sqref="A25:CF25"/>
    </sheetView>
  </sheetViews>
  <sheetFormatPr defaultColWidth="9.00390625" defaultRowHeight="15.75"/>
  <cols>
    <col min="1" max="1" width="4.00390625" style="243" customWidth="1"/>
    <col min="2" max="2" width="46.25390625" style="244" customWidth="1"/>
    <col min="3" max="3" width="10.125" style="243" customWidth="1"/>
    <col min="4" max="4" width="11.625" style="244" customWidth="1"/>
    <col min="5" max="5" width="6.25390625" style="243" hidden="1" customWidth="1"/>
    <col min="6" max="6" width="6.00390625" style="243" hidden="1" customWidth="1"/>
    <col min="7" max="7" width="11.875" style="243" hidden="1" customWidth="1"/>
    <col min="8" max="8" width="12.50390625" style="243" hidden="1" customWidth="1"/>
    <col min="9" max="9" width="13.875" style="243" hidden="1" customWidth="1"/>
    <col min="10" max="11" width="8.375" style="245" hidden="1" customWidth="1"/>
    <col min="12" max="12" width="10.50390625" style="245" hidden="1" customWidth="1"/>
    <col min="13" max="13" width="11.50390625" style="245" hidden="1" customWidth="1"/>
    <col min="14" max="15" width="10.00390625" style="243" hidden="1" customWidth="1"/>
    <col min="16" max="25" width="11.125" style="243" hidden="1" customWidth="1"/>
    <col min="26" max="26" width="13.625" style="243" hidden="1" customWidth="1"/>
    <col min="27" max="27" width="10.25390625" style="243" hidden="1" customWidth="1"/>
    <col min="28" max="32" width="11.75390625" style="243" hidden="1" customWidth="1"/>
    <col min="33" max="34" width="15.125" style="243" hidden="1" customWidth="1"/>
    <col min="35" max="37" width="11.75390625" style="243" hidden="1" customWidth="1"/>
    <col min="38" max="38" width="13.125" style="243" hidden="1" customWidth="1"/>
    <col min="39" max="39" width="11.75390625" style="243" hidden="1" customWidth="1"/>
    <col min="40" max="42" width="12.00390625" style="243" hidden="1" customWidth="1"/>
    <col min="43" max="43" width="11.50390625" style="243" hidden="1" customWidth="1"/>
    <col min="44" max="44" width="9.375" style="243" hidden="1" customWidth="1"/>
    <col min="45" max="48" width="9.50390625" style="243" hidden="1" customWidth="1"/>
    <col min="49" max="49" width="11.50390625" style="243" hidden="1" customWidth="1"/>
    <col min="50" max="57" width="9.50390625" style="243" hidden="1" customWidth="1"/>
    <col min="58" max="58" width="14.875" style="243" hidden="1" customWidth="1"/>
    <col min="59" max="59" width="9.125" style="243" hidden="1" customWidth="1"/>
    <col min="60" max="64" width="8.875" style="243" hidden="1" customWidth="1"/>
    <col min="65" max="65" width="11.75390625" style="243" hidden="1" customWidth="1"/>
    <col min="66" max="72" width="8.875" style="243" hidden="1" customWidth="1"/>
    <col min="73" max="73" width="4.375" style="243" hidden="1" customWidth="1"/>
    <col min="74" max="74" width="13.50390625" style="243" hidden="1" customWidth="1"/>
    <col min="75" max="75" width="9.375" style="243" hidden="1" customWidth="1"/>
    <col min="76" max="76" width="11.125" style="243" customWidth="1"/>
    <col min="77" max="78" width="11.125" style="243" hidden="1" customWidth="1"/>
    <col min="79" max="79" width="11.125" style="243" customWidth="1"/>
    <col min="80" max="80" width="11.25390625" style="243" customWidth="1"/>
    <col min="81" max="81" width="10.75390625" style="243" customWidth="1"/>
    <col min="82" max="83" width="10.875" style="243" customWidth="1"/>
    <col min="84" max="84" width="13.00390625" style="244" customWidth="1"/>
    <col min="85" max="85" width="24.75390625" style="244" customWidth="1"/>
    <col min="86" max="16384" width="9.00390625" style="244" customWidth="1"/>
  </cols>
  <sheetData>
    <row r="1" spans="1:2" ht="15.75">
      <c r="A1" s="378" t="s">
        <v>568</v>
      </c>
      <c r="B1" s="378"/>
    </row>
    <row r="2" spans="1:84" ht="21" customHeight="1">
      <c r="A2" s="404" t="s">
        <v>454</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04"/>
      <c r="BG2" s="404"/>
      <c r="BH2" s="404"/>
      <c r="BI2" s="404"/>
      <c r="BJ2" s="404"/>
      <c r="BK2" s="404"/>
      <c r="BL2" s="404"/>
      <c r="BM2" s="404"/>
      <c r="BN2" s="404"/>
      <c r="BO2" s="404"/>
      <c r="BP2" s="404"/>
      <c r="BQ2" s="404"/>
      <c r="BR2" s="404"/>
      <c r="BS2" s="404"/>
      <c r="BT2" s="404"/>
      <c r="BU2" s="404"/>
      <c r="BV2" s="404"/>
      <c r="BW2" s="404"/>
      <c r="BX2" s="404"/>
      <c r="BY2" s="404"/>
      <c r="BZ2" s="404"/>
      <c r="CA2" s="404"/>
      <c r="CB2" s="404"/>
      <c r="CC2" s="404"/>
      <c r="CD2" s="404"/>
      <c r="CE2" s="404"/>
      <c r="CF2" s="404"/>
    </row>
    <row r="3" spans="1:84" ht="22.5" customHeight="1">
      <c r="A3" s="405" t="str">
        <f>'[1]CĐNS HUYỆN ok'!A3:DF3</f>
        <v>(Kèm theo Báo cáo số       /BC-UBND ngày       tháng 11 năm 2019 của UBND huyện Tuần Giáo)</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U3" s="405"/>
      <c r="BV3" s="405"/>
      <c r="BW3" s="405"/>
      <c r="BX3" s="405"/>
      <c r="BY3" s="405"/>
      <c r="BZ3" s="405"/>
      <c r="CA3" s="405"/>
      <c r="CB3" s="405"/>
      <c r="CC3" s="405"/>
      <c r="CD3" s="405"/>
      <c r="CE3" s="405"/>
      <c r="CF3" s="405"/>
    </row>
    <row r="4" spans="7:84" ht="18.75" customHeight="1">
      <c r="G4" s="246"/>
      <c r="H4" s="246"/>
      <c r="I4" s="246"/>
      <c r="J4" s="244"/>
      <c r="K4" s="244"/>
      <c r="L4" s="244"/>
      <c r="M4" s="244"/>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t="s">
        <v>448</v>
      </c>
      <c r="AP4" s="246"/>
      <c r="AQ4" s="400" t="s">
        <v>448</v>
      </c>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row>
    <row r="5" spans="1:84" s="249" customFormat="1" ht="21" customHeight="1">
      <c r="A5" s="396" t="s">
        <v>309</v>
      </c>
      <c r="B5" s="403" t="s">
        <v>308</v>
      </c>
      <c r="C5" s="396" t="s">
        <v>307</v>
      </c>
      <c r="D5" s="396" t="s">
        <v>122</v>
      </c>
      <c r="E5" s="396" t="s">
        <v>447</v>
      </c>
      <c r="F5" s="396"/>
      <c r="G5" s="396" t="s">
        <v>446</v>
      </c>
      <c r="H5" s="396" t="s">
        <v>445</v>
      </c>
      <c r="I5" s="396" t="s">
        <v>444</v>
      </c>
      <c r="J5" s="402" t="s">
        <v>443</v>
      </c>
      <c r="K5" s="402"/>
      <c r="L5" s="402"/>
      <c r="M5" s="402"/>
      <c r="N5" s="396" t="s">
        <v>404</v>
      </c>
      <c r="O5" s="396"/>
      <c r="P5" s="396"/>
      <c r="Q5" s="396"/>
      <c r="R5" s="396"/>
      <c r="S5" s="396"/>
      <c r="T5" s="396"/>
      <c r="U5" s="396"/>
      <c r="V5" s="396"/>
      <c r="W5" s="396"/>
      <c r="X5" s="396"/>
      <c r="Y5" s="396"/>
      <c r="Z5" s="396"/>
      <c r="AA5" s="396" t="s">
        <v>442</v>
      </c>
      <c r="AB5" s="396"/>
      <c r="AC5" s="396"/>
      <c r="AD5" s="396"/>
      <c r="AE5" s="396"/>
      <c r="AF5" s="396"/>
      <c r="AG5" s="396"/>
      <c r="AH5" s="396"/>
      <c r="AI5" s="396"/>
      <c r="AJ5" s="396"/>
      <c r="AK5" s="396"/>
      <c r="AL5" s="396"/>
      <c r="AM5" s="396" t="s">
        <v>441</v>
      </c>
      <c r="AN5" s="396" t="s">
        <v>440</v>
      </c>
      <c r="AO5" s="396" t="s">
        <v>439</v>
      </c>
      <c r="AP5" s="396" t="s">
        <v>438</v>
      </c>
      <c r="AQ5" s="396" t="s">
        <v>409</v>
      </c>
      <c r="AR5" s="396" t="s">
        <v>404</v>
      </c>
      <c r="AS5" s="396"/>
      <c r="AT5" s="396"/>
      <c r="AU5" s="396"/>
      <c r="AV5" s="396"/>
      <c r="AW5" s="396"/>
      <c r="AX5" s="396"/>
      <c r="AY5" s="396"/>
      <c r="AZ5" s="396"/>
      <c r="BA5" s="396"/>
      <c r="BB5" s="396"/>
      <c r="BC5" s="396"/>
      <c r="BD5" s="396"/>
      <c r="BE5" s="396"/>
      <c r="BF5" s="396"/>
      <c r="BG5" s="247"/>
      <c r="BH5" s="396" t="s">
        <v>437</v>
      </c>
      <c r="BI5" s="396"/>
      <c r="BJ5" s="396"/>
      <c r="BK5" s="396"/>
      <c r="BL5" s="396"/>
      <c r="BM5" s="396"/>
      <c r="BN5" s="396"/>
      <c r="BO5" s="396"/>
      <c r="BP5" s="396"/>
      <c r="BQ5" s="396"/>
      <c r="BR5" s="396"/>
      <c r="BS5" s="396"/>
      <c r="BT5" s="396"/>
      <c r="BU5" s="396"/>
      <c r="BV5" s="396"/>
      <c r="BW5" s="396" t="s">
        <v>436</v>
      </c>
      <c r="BX5" s="396" t="s">
        <v>318</v>
      </c>
      <c r="BY5" s="397" t="s">
        <v>559</v>
      </c>
      <c r="BZ5" s="397" t="s">
        <v>554</v>
      </c>
      <c r="CA5" s="396" t="s">
        <v>176</v>
      </c>
      <c r="CB5" s="396"/>
      <c r="CC5" s="396" t="s">
        <v>305</v>
      </c>
      <c r="CD5" s="396"/>
      <c r="CE5" s="397" t="s">
        <v>175</v>
      </c>
      <c r="CF5" s="396" t="s">
        <v>174</v>
      </c>
    </row>
    <row r="6" spans="1:84" s="249" customFormat="1" ht="5.25" customHeight="1">
      <c r="A6" s="396"/>
      <c r="B6" s="403"/>
      <c r="C6" s="396"/>
      <c r="D6" s="396"/>
      <c r="E6" s="396"/>
      <c r="F6" s="396"/>
      <c r="G6" s="396"/>
      <c r="H6" s="396"/>
      <c r="I6" s="396"/>
      <c r="J6" s="402"/>
      <c r="K6" s="402"/>
      <c r="L6" s="402"/>
      <c r="M6" s="402"/>
      <c r="N6" s="396" t="s">
        <v>435</v>
      </c>
      <c r="O6" s="396" t="s">
        <v>384</v>
      </c>
      <c r="P6" s="396" t="s">
        <v>434</v>
      </c>
      <c r="Q6" s="396" t="s">
        <v>433</v>
      </c>
      <c r="R6" s="396" t="s">
        <v>432</v>
      </c>
      <c r="S6" s="396" t="s">
        <v>431</v>
      </c>
      <c r="T6" s="396" t="s">
        <v>381</v>
      </c>
      <c r="U6" s="396" t="s">
        <v>388</v>
      </c>
      <c r="V6" s="396" t="s">
        <v>430</v>
      </c>
      <c r="W6" s="396" t="s">
        <v>429</v>
      </c>
      <c r="X6" s="396" t="s">
        <v>428</v>
      </c>
      <c r="Y6" s="396" t="s">
        <v>427</v>
      </c>
      <c r="Z6" s="396" t="s">
        <v>425</v>
      </c>
      <c r="AA6" s="396" t="s">
        <v>435</v>
      </c>
      <c r="AB6" s="396" t="s">
        <v>434</v>
      </c>
      <c r="AC6" s="396" t="s">
        <v>433</v>
      </c>
      <c r="AD6" s="396" t="s">
        <v>432</v>
      </c>
      <c r="AE6" s="396" t="s">
        <v>431</v>
      </c>
      <c r="AF6" s="396" t="s">
        <v>381</v>
      </c>
      <c r="AG6" s="396" t="s">
        <v>388</v>
      </c>
      <c r="AH6" s="396" t="s">
        <v>430</v>
      </c>
      <c r="AI6" s="396" t="s">
        <v>429</v>
      </c>
      <c r="AJ6" s="396" t="s">
        <v>428</v>
      </c>
      <c r="AK6" s="396" t="s">
        <v>427</v>
      </c>
      <c r="AL6" s="396" t="s">
        <v>423</v>
      </c>
      <c r="AM6" s="396"/>
      <c r="AN6" s="396"/>
      <c r="AO6" s="396"/>
      <c r="AP6" s="396"/>
      <c r="AQ6" s="396"/>
      <c r="AR6" s="396"/>
      <c r="AS6" s="396"/>
      <c r="AT6" s="396"/>
      <c r="AU6" s="396"/>
      <c r="AV6" s="396"/>
      <c r="AW6" s="396"/>
      <c r="AX6" s="396"/>
      <c r="AY6" s="396"/>
      <c r="AZ6" s="396"/>
      <c r="BA6" s="396"/>
      <c r="BB6" s="396"/>
      <c r="BC6" s="396"/>
      <c r="BD6" s="396"/>
      <c r="BE6" s="396"/>
      <c r="BF6" s="396"/>
      <c r="BG6" s="247"/>
      <c r="BH6" s="396"/>
      <c r="BI6" s="396"/>
      <c r="BJ6" s="396"/>
      <c r="BK6" s="396"/>
      <c r="BL6" s="396"/>
      <c r="BM6" s="396"/>
      <c r="BN6" s="396"/>
      <c r="BO6" s="396"/>
      <c r="BP6" s="396"/>
      <c r="BQ6" s="396"/>
      <c r="BR6" s="396"/>
      <c r="BS6" s="396"/>
      <c r="BT6" s="396"/>
      <c r="BU6" s="396"/>
      <c r="BV6" s="396"/>
      <c r="BW6" s="396"/>
      <c r="BX6" s="396"/>
      <c r="BY6" s="398"/>
      <c r="BZ6" s="398"/>
      <c r="CA6" s="396"/>
      <c r="CB6" s="396"/>
      <c r="CC6" s="396"/>
      <c r="CD6" s="396"/>
      <c r="CE6" s="398"/>
      <c r="CF6" s="396"/>
    </row>
    <row r="7" spans="1:84" s="249" customFormat="1" ht="23.25" customHeight="1">
      <c r="A7" s="396"/>
      <c r="B7" s="403"/>
      <c r="C7" s="396"/>
      <c r="D7" s="396"/>
      <c r="E7" s="247"/>
      <c r="F7" s="247"/>
      <c r="G7" s="247"/>
      <c r="H7" s="247"/>
      <c r="I7" s="247"/>
      <c r="J7" s="401" t="s">
        <v>426</v>
      </c>
      <c r="K7" s="401" t="s">
        <v>305</v>
      </c>
      <c r="L7" s="401"/>
      <c r="M7" s="401"/>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247"/>
      <c r="AN7" s="247"/>
      <c r="AO7" s="247"/>
      <c r="AP7" s="396"/>
      <c r="AQ7" s="396"/>
      <c r="AR7" s="396" t="s">
        <v>397</v>
      </c>
      <c r="AS7" s="396" t="s">
        <v>396</v>
      </c>
      <c r="AT7" s="396" t="s">
        <v>395</v>
      </c>
      <c r="AU7" s="396" t="s">
        <v>394</v>
      </c>
      <c r="AV7" s="396" t="s">
        <v>381</v>
      </c>
      <c r="AW7" s="396" t="s">
        <v>424</v>
      </c>
      <c r="AX7" s="396" t="s">
        <v>392</v>
      </c>
      <c r="AY7" s="396" t="s">
        <v>391</v>
      </c>
      <c r="AZ7" s="396" t="s">
        <v>390</v>
      </c>
      <c r="BA7" s="396" t="s">
        <v>389</v>
      </c>
      <c r="BB7" s="396" t="s">
        <v>388</v>
      </c>
      <c r="BC7" s="396" t="s">
        <v>387</v>
      </c>
      <c r="BD7" s="396" t="s">
        <v>386</v>
      </c>
      <c r="BE7" s="396" t="s">
        <v>385</v>
      </c>
      <c r="BF7" s="396" t="s">
        <v>425</v>
      </c>
      <c r="BG7" s="247"/>
      <c r="BH7" s="396" t="s">
        <v>397</v>
      </c>
      <c r="BI7" s="396" t="s">
        <v>396</v>
      </c>
      <c r="BJ7" s="396" t="s">
        <v>395</v>
      </c>
      <c r="BK7" s="396" t="s">
        <v>394</v>
      </c>
      <c r="BL7" s="396" t="s">
        <v>381</v>
      </c>
      <c r="BM7" s="396" t="s">
        <v>424</v>
      </c>
      <c r="BN7" s="396" t="s">
        <v>392</v>
      </c>
      <c r="BO7" s="396" t="s">
        <v>391</v>
      </c>
      <c r="BP7" s="396" t="s">
        <v>390</v>
      </c>
      <c r="BQ7" s="396" t="s">
        <v>389</v>
      </c>
      <c r="BR7" s="396" t="s">
        <v>388</v>
      </c>
      <c r="BS7" s="396" t="s">
        <v>387</v>
      </c>
      <c r="BT7" s="396" t="s">
        <v>386</v>
      </c>
      <c r="BU7" s="396" t="s">
        <v>385</v>
      </c>
      <c r="BV7" s="396" t="s">
        <v>423</v>
      </c>
      <c r="BW7" s="396"/>
      <c r="BX7" s="396"/>
      <c r="BY7" s="398"/>
      <c r="BZ7" s="398"/>
      <c r="CA7" s="396" t="s">
        <v>172</v>
      </c>
      <c r="CB7" s="396" t="s">
        <v>317</v>
      </c>
      <c r="CC7" s="396" t="s">
        <v>172</v>
      </c>
      <c r="CD7" s="396" t="s">
        <v>316</v>
      </c>
      <c r="CE7" s="398"/>
      <c r="CF7" s="396"/>
    </row>
    <row r="8" spans="1:84" s="249" customFormat="1" ht="19.5" customHeight="1">
      <c r="A8" s="396"/>
      <c r="B8" s="403"/>
      <c r="C8" s="396"/>
      <c r="D8" s="396"/>
      <c r="E8" s="247"/>
      <c r="F8" s="247"/>
      <c r="G8" s="247"/>
      <c r="H8" s="247"/>
      <c r="I8" s="247"/>
      <c r="J8" s="401"/>
      <c r="K8" s="250" t="s">
        <v>422</v>
      </c>
      <c r="L8" s="250" t="s">
        <v>421</v>
      </c>
      <c r="M8" s="250" t="s">
        <v>420</v>
      </c>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247"/>
      <c r="AN8" s="247"/>
      <c r="AO8" s="247"/>
      <c r="AP8" s="396"/>
      <c r="AQ8" s="396"/>
      <c r="AR8" s="396"/>
      <c r="AS8" s="396"/>
      <c r="AT8" s="396"/>
      <c r="AU8" s="396"/>
      <c r="AV8" s="396"/>
      <c r="AW8" s="396"/>
      <c r="AX8" s="396"/>
      <c r="AY8" s="396"/>
      <c r="AZ8" s="396"/>
      <c r="BA8" s="396"/>
      <c r="BB8" s="396"/>
      <c r="BC8" s="396"/>
      <c r="BD8" s="396"/>
      <c r="BE8" s="396"/>
      <c r="BF8" s="396"/>
      <c r="BG8" s="247"/>
      <c r="BH8" s="396"/>
      <c r="BI8" s="396"/>
      <c r="BJ8" s="396"/>
      <c r="BK8" s="396"/>
      <c r="BL8" s="396"/>
      <c r="BM8" s="396"/>
      <c r="BN8" s="396"/>
      <c r="BO8" s="396"/>
      <c r="BP8" s="396"/>
      <c r="BQ8" s="396"/>
      <c r="BR8" s="396"/>
      <c r="BS8" s="396"/>
      <c r="BT8" s="396"/>
      <c r="BU8" s="396"/>
      <c r="BV8" s="396"/>
      <c r="BW8" s="396"/>
      <c r="BX8" s="396"/>
      <c r="BY8" s="399"/>
      <c r="BZ8" s="399"/>
      <c r="CA8" s="396"/>
      <c r="CB8" s="396"/>
      <c r="CC8" s="396"/>
      <c r="CD8" s="396"/>
      <c r="CE8" s="399"/>
      <c r="CF8" s="396"/>
    </row>
    <row r="9" spans="1:84" s="249" customFormat="1" ht="19.5" customHeight="1">
      <c r="A9" s="247"/>
      <c r="B9" s="248" t="s">
        <v>301</v>
      </c>
      <c r="C9" s="247"/>
      <c r="D9" s="251">
        <f>D10+D19</f>
        <v>160290</v>
      </c>
      <c r="E9" s="251">
        <f aca="true" t="shared" si="0" ref="E9:BP9">E10+E19</f>
        <v>890.82</v>
      </c>
      <c r="F9" s="251">
        <f t="shared" si="0"/>
        <v>890.82</v>
      </c>
      <c r="G9" s="251">
        <f t="shared" si="0"/>
        <v>890.82</v>
      </c>
      <c r="H9" s="251">
        <f t="shared" si="0"/>
        <v>890.82</v>
      </c>
      <c r="I9" s="251">
        <f t="shared" si="0"/>
        <v>890.82</v>
      </c>
      <c r="J9" s="251">
        <f t="shared" si="0"/>
        <v>890.82</v>
      </c>
      <c r="K9" s="251">
        <f t="shared" si="0"/>
        <v>890.82</v>
      </c>
      <c r="L9" s="251">
        <f t="shared" si="0"/>
        <v>890.82</v>
      </c>
      <c r="M9" s="251">
        <f t="shared" si="0"/>
        <v>890.82</v>
      </c>
      <c r="N9" s="251">
        <f t="shared" si="0"/>
        <v>44107.687999999995</v>
      </c>
      <c r="O9" s="251">
        <f t="shared" si="0"/>
        <v>44107.687999999995</v>
      </c>
      <c r="P9" s="251">
        <f t="shared" si="0"/>
        <v>44107.687999999995</v>
      </c>
      <c r="Q9" s="251">
        <f t="shared" si="0"/>
        <v>44107.687999999995</v>
      </c>
      <c r="R9" s="251">
        <f t="shared" si="0"/>
        <v>44107.687999999995</v>
      </c>
      <c r="S9" s="251">
        <f t="shared" si="0"/>
        <v>44107.687999999995</v>
      </c>
      <c r="T9" s="251">
        <f t="shared" si="0"/>
        <v>44107.687999999995</v>
      </c>
      <c r="U9" s="251">
        <f t="shared" si="0"/>
        <v>44107.687999999995</v>
      </c>
      <c r="V9" s="251">
        <f t="shared" si="0"/>
        <v>44656.111999999994</v>
      </c>
      <c r="W9" s="251">
        <f t="shared" si="0"/>
        <v>86205.74799999998</v>
      </c>
      <c r="X9" s="251">
        <f t="shared" si="0"/>
        <v>86205.74799999998</v>
      </c>
      <c r="Y9" s="251">
        <f t="shared" si="0"/>
        <v>86205.74799999998</v>
      </c>
      <c r="Z9" s="251">
        <f t="shared" si="0"/>
        <v>86205.74799999998</v>
      </c>
      <c r="AA9" s="251">
        <f t="shared" si="0"/>
        <v>86205.74799999998</v>
      </c>
      <c r="AB9" s="251">
        <f t="shared" si="0"/>
        <v>86205.74799999998</v>
      </c>
      <c r="AC9" s="251">
        <f t="shared" si="0"/>
        <v>86205.74799999998</v>
      </c>
      <c r="AD9" s="251">
        <f t="shared" si="0"/>
        <v>86205.74799999998</v>
      </c>
      <c r="AE9" s="251">
        <f t="shared" si="0"/>
        <v>86205.74799999998</v>
      </c>
      <c r="AF9" s="251">
        <f t="shared" si="0"/>
        <v>86205.74799999998</v>
      </c>
      <c r="AG9" s="251">
        <f t="shared" si="0"/>
        <v>86205.74799999998</v>
      </c>
      <c r="AH9" s="251">
        <f t="shared" si="0"/>
        <v>86205.74799999998</v>
      </c>
      <c r="AI9" s="251">
        <f t="shared" si="0"/>
        <v>86205.74799999998</v>
      </c>
      <c r="AJ9" s="251">
        <f t="shared" si="0"/>
        <v>86205.74799999998</v>
      </c>
      <c r="AK9" s="251">
        <f t="shared" si="0"/>
        <v>86205.74799999998</v>
      </c>
      <c r="AL9" s="251">
        <f t="shared" si="0"/>
        <v>86205.74799999998</v>
      </c>
      <c r="AM9" s="251">
        <f t="shared" si="0"/>
        <v>86205.74799999998</v>
      </c>
      <c r="AN9" s="251">
        <f t="shared" si="0"/>
        <v>86205.74799999998</v>
      </c>
      <c r="AO9" s="251">
        <f t="shared" si="0"/>
        <v>86205.74799999998</v>
      </c>
      <c r="AP9" s="251">
        <f t="shared" si="0"/>
        <v>86205.74799999998</v>
      </c>
      <c r="AQ9" s="251">
        <f t="shared" si="0"/>
        <v>86205.74799999998</v>
      </c>
      <c r="AR9" s="251">
        <f t="shared" si="0"/>
        <v>86205.74799999998</v>
      </c>
      <c r="AS9" s="251">
        <f t="shared" si="0"/>
        <v>86205.74799999998</v>
      </c>
      <c r="AT9" s="251">
        <f t="shared" si="0"/>
        <v>86205.74799999998</v>
      </c>
      <c r="AU9" s="251">
        <f t="shared" si="0"/>
        <v>86205.74799999998</v>
      </c>
      <c r="AV9" s="251">
        <f t="shared" si="0"/>
        <v>86205.74799999998</v>
      </c>
      <c r="AW9" s="251">
        <f t="shared" si="0"/>
        <v>86205.74799999998</v>
      </c>
      <c r="AX9" s="251">
        <f t="shared" si="0"/>
        <v>86205.74799999998</v>
      </c>
      <c r="AY9" s="251">
        <f t="shared" si="0"/>
        <v>86205.74799999998</v>
      </c>
      <c r="AZ9" s="251">
        <f t="shared" si="0"/>
        <v>86205.74799999998</v>
      </c>
      <c r="BA9" s="251">
        <f t="shared" si="0"/>
        <v>86205.74799999998</v>
      </c>
      <c r="BB9" s="251">
        <f t="shared" si="0"/>
        <v>86205.74799999998</v>
      </c>
      <c r="BC9" s="251">
        <f t="shared" si="0"/>
        <v>86205.74799999998</v>
      </c>
      <c r="BD9" s="251">
        <f t="shared" si="0"/>
        <v>86205.74799999998</v>
      </c>
      <c r="BE9" s="251">
        <f t="shared" si="0"/>
        <v>86205.74799999998</v>
      </c>
      <c r="BF9" s="251">
        <f t="shared" si="0"/>
        <v>86205.74799999998</v>
      </c>
      <c r="BG9" s="251">
        <f t="shared" si="0"/>
        <v>86205.74799999998</v>
      </c>
      <c r="BH9" s="251">
        <f t="shared" si="0"/>
        <v>86205.74799999998</v>
      </c>
      <c r="BI9" s="251">
        <f t="shared" si="0"/>
        <v>86205.74799999998</v>
      </c>
      <c r="BJ9" s="251">
        <f t="shared" si="0"/>
        <v>86205.74799999998</v>
      </c>
      <c r="BK9" s="251">
        <f t="shared" si="0"/>
        <v>86205.74799999998</v>
      </c>
      <c r="BL9" s="251">
        <f t="shared" si="0"/>
        <v>86205.74799999998</v>
      </c>
      <c r="BM9" s="251">
        <f t="shared" si="0"/>
        <v>86205.74799999998</v>
      </c>
      <c r="BN9" s="251">
        <f t="shared" si="0"/>
        <v>86205.74799999998</v>
      </c>
      <c r="BO9" s="251">
        <f t="shared" si="0"/>
        <v>86205.74799999998</v>
      </c>
      <c r="BP9" s="251">
        <f t="shared" si="0"/>
        <v>86205.74799999998</v>
      </c>
      <c r="BQ9" s="251">
        <f aca="true" t="shared" si="1" ref="BQ9:CE9">BQ10+BQ19</f>
        <v>86205.74799999998</v>
      </c>
      <c r="BR9" s="251">
        <f t="shared" si="1"/>
        <v>86205.74799999998</v>
      </c>
      <c r="BS9" s="251">
        <f t="shared" si="1"/>
        <v>86205.74799999998</v>
      </c>
      <c r="BT9" s="251">
        <f t="shared" si="1"/>
        <v>86205.74799999998</v>
      </c>
      <c r="BU9" s="251">
        <f t="shared" si="1"/>
        <v>86205.74799999998</v>
      </c>
      <c r="BV9" s="251">
        <f t="shared" si="1"/>
        <v>86205.74799999998</v>
      </c>
      <c r="BW9" s="251">
        <f t="shared" si="1"/>
        <v>86205.74799999998</v>
      </c>
      <c r="BX9" s="251">
        <f t="shared" si="1"/>
        <v>18035.824999999997</v>
      </c>
      <c r="BY9" s="251"/>
      <c r="BZ9" s="251"/>
      <c r="CA9" s="251">
        <f t="shared" si="1"/>
        <v>5847.022</v>
      </c>
      <c r="CB9" s="251">
        <f t="shared" si="1"/>
        <v>167202.2953</v>
      </c>
      <c r="CC9" s="251">
        <f t="shared" si="1"/>
        <v>17693.450999999997</v>
      </c>
      <c r="CD9" s="251">
        <f t="shared" si="1"/>
        <v>165865.256</v>
      </c>
      <c r="CE9" s="251">
        <f t="shared" si="1"/>
        <v>0</v>
      </c>
      <c r="CF9" s="247"/>
    </row>
    <row r="10" spans="1:85" s="249" customFormat="1" ht="36" customHeight="1">
      <c r="A10" s="252" t="s">
        <v>20</v>
      </c>
      <c r="B10" s="253" t="s">
        <v>449</v>
      </c>
      <c r="C10" s="254"/>
      <c r="D10" s="255">
        <f>SUM(D11:BW18)</f>
        <v>46700</v>
      </c>
      <c r="E10" s="255">
        <f>SUM(E11:BX18)</f>
        <v>890.82</v>
      </c>
      <c r="F10" s="255">
        <f>SUM(F11:BX18)</f>
        <v>890.82</v>
      </c>
      <c r="G10" s="255">
        <f>SUM(G11:BX18)</f>
        <v>890.82</v>
      </c>
      <c r="H10" s="255">
        <f>SUM(H11:BX18)</f>
        <v>890.82</v>
      </c>
      <c r="I10" s="255">
        <f>SUM(I11:BX18)</f>
        <v>890.82</v>
      </c>
      <c r="J10" s="255">
        <f>SUM(J11:BX18)</f>
        <v>890.82</v>
      </c>
      <c r="K10" s="255">
        <f>SUM(K11:BX18)</f>
        <v>890.82</v>
      </c>
      <c r="L10" s="255">
        <f>SUM(L11:BX18)</f>
        <v>890.82</v>
      </c>
      <c r="M10" s="255">
        <f>SUM(M11:BX18)</f>
        <v>890.82</v>
      </c>
      <c r="N10" s="255">
        <f>SUM(N11:CB18)</f>
        <v>44107.687999999995</v>
      </c>
      <c r="O10" s="255">
        <f>SUM(O11:CB18)</f>
        <v>44107.687999999995</v>
      </c>
      <c r="P10" s="255">
        <f>SUM(P11:CB18)</f>
        <v>44107.687999999995</v>
      </c>
      <c r="Q10" s="255">
        <f>SUM(Q11:CB18)</f>
        <v>44107.687999999995</v>
      </c>
      <c r="R10" s="255">
        <f>SUM(R11:CB18)</f>
        <v>44107.687999999995</v>
      </c>
      <c r="S10" s="255">
        <f>SUM(S11:CB18)</f>
        <v>44107.687999999995</v>
      </c>
      <c r="T10" s="255">
        <f>SUM(T11:CB18)</f>
        <v>44107.687999999995</v>
      </c>
      <c r="U10" s="255">
        <f aca="true" t="shared" si="2" ref="U10:AZ10">SUM(U11:CB18)</f>
        <v>44107.687999999995</v>
      </c>
      <c r="V10" s="255">
        <f t="shared" si="2"/>
        <v>44656.111999999994</v>
      </c>
      <c r="W10" s="255">
        <f t="shared" si="2"/>
        <v>86205.74799999998</v>
      </c>
      <c r="X10" s="255">
        <f t="shared" si="2"/>
        <v>86205.74799999998</v>
      </c>
      <c r="Y10" s="255">
        <f t="shared" si="2"/>
        <v>86205.74799999998</v>
      </c>
      <c r="Z10" s="255">
        <f t="shared" si="2"/>
        <v>86205.74799999998</v>
      </c>
      <c r="AA10" s="255">
        <f t="shared" si="2"/>
        <v>86205.74799999998</v>
      </c>
      <c r="AB10" s="255">
        <f t="shared" si="2"/>
        <v>86205.74799999998</v>
      </c>
      <c r="AC10" s="255">
        <f t="shared" si="2"/>
        <v>86205.74799999998</v>
      </c>
      <c r="AD10" s="255">
        <f t="shared" si="2"/>
        <v>86205.74799999998</v>
      </c>
      <c r="AE10" s="255">
        <f t="shared" si="2"/>
        <v>86205.74799999998</v>
      </c>
      <c r="AF10" s="255">
        <f t="shared" si="2"/>
        <v>86205.74799999998</v>
      </c>
      <c r="AG10" s="255">
        <f t="shared" si="2"/>
        <v>86205.74799999998</v>
      </c>
      <c r="AH10" s="255">
        <f t="shared" si="2"/>
        <v>86205.74799999998</v>
      </c>
      <c r="AI10" s="255">
        <f t="shared" si="2"/>
        <v>86205.74799999998</v>
      </c>
      <c r="AJ10" s="255">
        <f t="shared" si="2"/>
        <v>86205.74799999998</v>
      </c>
      <c r="AK10" s="255">
        <f t="shared" si="2"/>
        <v>86205.74799999998</v>
      </c>
      <c r="AL10" s="255">
        <f t="shared" si="2"/>
        <v>86205.74799999998</v>
      </c>
      <c r="AM10" s="255">
        <f t="shared" si="2"/>
        <v>86205.74799999998</v>
      </c>
      <c r="AN10" s="255">
        <f t="shared" si="2"/>
        <v>86205.74799999998</v>
      </c>
      <c r="AO10" s="255">
        <f t="shared" si="2"/>
        <v>86205.74799999998</v>
      </c>
      <c r="AP10" s="255">
        <f t="shared" si="2"/>
        <v>86205.74799999998</v>
      </c>
      <c r="AQ10" s="255">
        <f t="shared" si="2"/>
        <v>86205.74799999998</v>
      </c>
      <c r="AR10" s="255">
        <f t="shared" si="2"/>
        <v>86205.74799999998</v>
      </c>
      <c r="AS10" s="255">
        <f t="shared" si="2"/>
        <v>86205.74799999998</v>
      </c>
      <c r="AT10" s="255">
        <f t="shared" si="2"/>
        <v>86205.74799999998</v>
      </c>
      <c r="AU10" s="255">
        <f t="shared" si="2"/>
        <v>86205.74799999998</v>
      </c>
      <c r="AV10" s="255">
        <f t="shared" si="2"/>
        <v>86205.74799999998</v>
      </c>
      <c r="AW10" s="255">
        <f t="shared" si="2"/>
        <v>86205.74799999998</v>
      </c>
      <c r="AX10" s="255">
        <f t="shared" si="2"/>
        <v>86205.74799999998</v>
      </c>
      <c r="AY10" s="255">
        <f t="shared" si="2"/>
        <v>86205.74799999998</v>
      </c>
      <c r="AZ10" s="255">
        <f t="shared" si="2"/>
        <v>86205.74799999998</v>
      </c>
      <c r="BA10" s="255">
        <f aca="true" t="shared" si="3" ref="BA10:BW10">SUM(BA11:DH18)</f>
        <v>86205.74799999998</v>
      </c>
      <c r="BB10" s="255">
        <f t="shared" si="3"/>
        <v>86205.74799999998</v>
      </c>
      <c r="BC10" s="255">
        <f t="shared" si="3"/>
        <v>86205.74799999998</v>
      </c>
      <c r="BD10" s="255">
        <f t="shared" si="3"/>
        <v>86205.74799999998</v>
      </c>
      <c r="BE10" s="255">
        <f t="shared" si="3"/>
        <v>86205.74799999998</v>
      </c>
      <c r="BF10" s="255">
        <f t="shared" si="3"/>
        <v>86205.74799999998</v>
      </c>
      <c r="BG10" s="255">
        <f t="shared" si="3"/>
        <v>86205.74799999998</v>
      </c>
      <c r="BH10" s="255">
        <f t="shared" si="3"/>
        <v>86205.74799999998</v>
      </c>
      <c r="BI10" s="255">
        <f t="shared" si="3"/>
        <v>86205.74799999998</v>
      </c>
      <c r="BJ10" s="255">
        <f t="shared" si="3"/>
        <v>86205.74799999998</v>
      </c>
      <c r="BK10" s="255">
        <f t="shared" si="3"/>
        <v>86205.74799999998</v>
      </c>
      <c r="BL10" s="255">
        <f t="shared" si="3"/>
        <v>86205.74799999998</v>
      </c>
      <c r="BM10" s="255">
        <f t="shared" si="3"/>
        <v>86205.74799999998</v>
      </c>
      <c r="BN10" s="255">
        <f t="shared" si="3"/>
        <v>86205.74799999998</v>
      </c>
      <c r="BO10" s="255">
        <f t="shared" si="3"/>
        <v>86205.74799999998</v>
      </c>
      <c r="BP10" s="255">
        <f t="shared" si="3"/>
        <v>86205.74799999998</v>
      </c>
      <c r="BQ10" s="255">
        <f t="shared" si="3"/>
        <v>86205.74799999998</v>
      </c>
      <c r="BR10" s="255">
        <f t="shared" si="3"/>
        <v>86205.74799999998</v>
      </c>
      <c r="BS10" s="255">
        <f t="shared" si="3"/>
        <v>86205.74799999998</v>
      </c>
      <c r="BT10" s="255">
        <f t="shared" si="3"/>
        <v>86205.74799999998</v>
      </c>
      <c r="BU10" s="255">
        <f t="shared" si="3"/>
        <v>86205.74799999998</v>
      </c>
      <c r="BV10" s="255">
        <f t="shared" si="3"/>
        <v>86205.74799999998</v>
      </c>
      <c r="BW10" s="255">
        <f t="shared" si="3"/>
        <v>86205.74799999998</v>
      </c>
      <c r="BX10" s="255">
        <f>SUM(BX11:BX18)</f>
        <v>890.82</v>
      </c>
      <c r="BY10" s="255"/>
      <c r="BZ10" s="255"/>
      <c r="CA10" s="255">
        <f>SUM(CA11:CA18)</f>
        <v>0</v>
      </c>
      <c r="CB10" s="255">
        <f>SUM(CB11:CB18)</f>
        <v>42326.047999999995</v>
      </c>
      <c r="CC10" s="255">
        <f>SUM(CC11:CC18)</f>
        <v>548.424</v>
      </c>
      <c r="CD10" s="255">
        <f>SUM(CD11:CD18)</f>
        <v>41549.636000000006</v>
      </c>
      <c r="CE10" s="255">
        <f>SUM(CE11:CE18)</f>
        <v>0</v>
      </c>
      <c r="CF10" s="256"/>
      <c r="CG10" s="257"/>
    </row>
    <row r="11" spans="1:85" s="264" customFormat="1" ht="36" customHeight="1">
      <c r="A11" s="258">
        <v>1</v>
      </c>
      <c r="B11" s="259" t="s">
        <v>470</v>
      </c>
      <c r="C11" s="260" t="s">
        <v>66</v>
      </c>
      <c r="D11" s="261">
        <v>3750</v>
      </c>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261"/>
      <c r="BP11" s="261"/>
      <c r="BQ11" s="261"/>
      <c r="BR11" s="261"/>
      <c r="BS11" s="261"/>
      <c r="BT11" s="261"/>
      <c r="BU11" s="261"/>
      <c r="BV11" s="261"/>
      <c r="BW11" s="261"/>
      <c r="BX11" s="261">
        <v>35.625</v>
      </c>
      <c r="BY11" s="261"/>
      <c r="BZ11" s="261">
        <v>35.625</v>
      </c>
      <c r="CA11" s="261"/>
      <c r="CB11" s="262">
        <v>3554.299</v>
      </c>
      <c r="CC11" s="261">
        <v>35.625</v>
      </c>
      <c r="CD11" s="262">
        <v>3484.765</v>
      </c>
      <c r="CE11" s="261"/>
      <c r="CF11" s="262"/>
      <c r="CG11" s="263" t="s">
        <v>508</v>
      </c>
    </row>
    <row r="12" spans="1:85" s="264" customFormat="1" ht="36" customHeight="1">
      <c r="A12" s="258">
        <v>2</v>
      </c>
      <c r="B12" s="259" t="s">
        <v>471</v>
      </c>
      <c r="C12" s="260" t="s">
        <v>190</v>
      </c>
      <c r="D12" s="261">
        <v>4960</v>
      </c>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c r="BR12" s="261"/>
      <c r="BS12" s="261"/>
      <c r="BT12" s="261"/>
      <c r="BU12" s="261"/>
      <c r="BV12" s="261"/>
      <c r="BW12" s="261"/>
      <c r="BX12" s="261">
        <v>33.06</v>
      </c>
      <c r="BY12" s="261"/>
      <c r="BZ12" s="261">
        <v>33.06</v>
      </c>
      <c r="CA12" s="261"/>
      <c r="CB12" s="262">
        <v>4557.867</v>
      </c>
      <c r="CC12" s="261">
        <v>33.06</v>
      </c>
      <c r="CD12" s="262">
        <v>4500.152</v>
      </c>
      <c r="CE12" s="261"/>
      <c r="CF12" s="359"/>
      <c r="CG12" s="263" t="s">
        <v>508</v>
      </c>
    </row>
    <row r="13" spans="1:85" s="264" customFormat="1" ht="36" customHeight="1">
      <c r="A13" s="258">
        <v>3</v>
      </c>
      <c r="B13" s="259" t="s">
        <v>472</v>
      </c>
      <c r="C13" s="260" t="s">
        <v>96</v>
      </c>
      <c r="D13" s="261">
        <v>3920</v>
      </c>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c r="BR13" s="261"/>
      <c r="BS13" s="261"/>
      <c r="BT13" s="261"/>
      <c r="BU13" s="261"/>
      <c r="BV13" s="261"/>
      <c r="BW13" s="261"/>
      <c r="BX13" s="261">
        <v>37.24</v>
      </c>
      <c r="BY13" s="261"/>
      <c r="BZ13" s="261">
        <v>37.24</v>
      </c>
      <c r="CA13" s="261"/>
      <c r="CB13" s="262">
        <v>3498.884</v>
      </c>
      <c r="CC13" s="261">
        <v>37.24</v>
      </c>
      <c r="CD13" s="262">
        <v>3374.875</v>
      </c>
      <c r="CE13" s="261"/>
      <c r="CF13" s="359"/>
      <c r="CG13" s="263" t="s">
        <v>508</v>
      </c>
    </row>
    <row r="14" spans="1:85" s="264" customFormat="1" ht="36" customHeight="1">
      <c r="A14" s="258">
        <v>4</v>
      </c>
      <c r="B14" s="259" t="s">
        <v>473</v>
      </c>
      <c r="C14" s="260" t="s">
        <v>57</v>
      </c>
      <c r="D14" s="261">
        <v>3100</v>
      </c>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1"/>
      <c r="BJ14" s="261"/>
      <c r="BK14" s="261"/>
      <c r="BL14" s="261"/>
      <c r="BM14" s="261"/>
      <c r="BN14" s="261"/>
      <c r="BO14" s="261"/>
      <c r="BP14" s="261"/>
      <c r="BQ14" s="261"/>
      <c r="BR14" s="261"/>
      <c r="BS14" s="261"/>
      <c r="BT14" s="261"/>
      <c r="BU14" s="261"/>
      <c r="BV14" s="261"/>
      <c r="BW14" s="261"/>
      <c r="BX14" s="261">
        <v>32.3</v>
      </c>
      <c r="BY14" s="261"/>
      <c r="BZ14" s="261">
        <v>32.3</v>
      </c>
      <c r="CA14" s="261"/>
      <c r="CB14" s="262">
        <v>2797.818</v>
      </c>
      <c r="CC14" s="261">
        <v>32.3</v>
      </c>
      <c r="CD14" s="262">
        <v>2683.598</v>
      </c>
      <c r="CE14" s="261"/>
      <c r="CF14" s="359"/>
      <c r="CG14" s="263" t="s">
        <v>508</v>
      </c>
    </row>
    <row r="15" spans="1:85" s="264" customFormat="1" ht="36" customHeight="1">
      <c r="A15" s="258">
        <v>5</v>
      </c>
      <c r="B15" s="259" t="s">
        <v>474</v>
      </c>
      <c r="C15" s="260" t="s">
        <v>70</v>
      </c>
      <c r="D15" s="261">
        <v>5010</v>
      </c>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c r="BA15" s="261"/>
      <c r="BB15" s="261"/>
      <c r="BC15" s="261"/>
      <c r="BD15" s="261"/>
      <c r="BE15" s="261"/>
      <c r="BF15" s="261"/>
      <c r="BG15" s="261"/>
      <c r="BH15" s="261"/>
      <c r="BI15" s="261"/>
      <c r="BJ15" s="261"/>
      <c r="BK15" s="261"/>
      <c r="BL15" s="261"/>
      <c r="BM15" s="261"/>
      <c r="BN15" s="261"/>
      <c r="BO15" s="261"/>
      <c r="BP15" s="261"/>
      <c r="BQ15" s="261"/>
      <c r="BR15" s="261"/>
      <c r="BS15" s="261"/>
      <c r="BT15" s="261"/>
      <c r="BU15" s="261"/>
      <c r="BV15" s="261"/>
      <c r="BW15" s="261"/>
      <c r="BX15" s="261">
        <v>47.595</v>
      </c>
      <c r="BY15" s="261"/>
      <c r="BZ15" s="261">
        <v>47.595</v>
      </c>
      <c r="CA15" s="261"/>
      <c r="CB15" s="262">
        <v>4626.437</v>
      </c>
      <c r="CC15" s="261">
        <v>47.595</v>
      </c>
      <c r="CD15" s="262">
        <v>4444.84</v>
      </c>
      <c r="CE15" s="261"/>
      <c r="CF15" s="359"/>
      <c r="CG15" s="263" t="s">
        <v>508</v>
      </c>
    </row>
    <row r="16" spans="1:85" s="264" customFormat="1" ht="51">
      <c r="A16" s="258">
        <v>6</v>
      </c>
      <c r="B16" s="259" t="s">
        <v>475</v>
      </c>
      <c r="C16" s="260" t="s">
        <v>501</v>
      </c>
      <c r="D16" s="261">
        <v>10360</v>
      </c>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1"/>
      <c r="BJ16" s="261"/>
      <c r="BK16" s="261"/>
      <c r="BL16" s="261"/>
      <c r="BM16" s="261"/>
      <c r="BN16" s="261"/>
      <c r="BO16" s="261"/>
      <c r="BP16" s="261"/>
      <c r="BQ16" s="261"/>
      <c r="BR16" s="261"/>
      <c r="BS16" s="261"/>
      <c r="BT16" s="261"/>
      <c r="BU16" s="261"/>
      <c r="BV16" s="261"/>
      <c r="BW16" s="261"/>
      <c r="BX16" s="261">
        <v>0</v>
      </c>
      <c r="BY16" s="261"/>
      <c r="BZ16" s="261"/>
      <c r="CA16" s="261"/>
      <c r="CB16" s="262">
        <v>8833.946</v>
      </c>
      <c r="CC16" s="261">
        <v>0</v>
      </c>
      <c r="CD16" s="262">
        <v>8777.365</v>
      </c>
      <c r="CE16" s="261"/>
      <c r="CF16" s="360"/>
      <c r="CG16" s="263" t="s">
        <v>508</v>
      </c>
    </row>
    <row r="17" spans="1:85" s="264" customFormat="1" ht="38.25">
      <c r="A17" s="258">
        <v>7</v>
      </c>
      <c r="B17" s="265" t="s">
        <v>450</v>
      </c>
      <c r="C17" s="260" t="s">
        <v>502</v>
      </c>
      <c r="D17" s="27">
        <v>8180</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v>558</v>
      </c>
      <c r="BY17" s="27">
        <v>558</v>
      </c>
      <c r="BZ17" s="27"/>
      <c r="CA17" s="27"/>
      <c r="CB17" s="27">
        <v>7775.548</v>
      </c>
      <c r="CC17" s="27">
        <v>362.604</v>
      </c>
      <c r="CD17" s="27">
        <v>7686.5650000000005</v>
      </c>
      <c r="CE17" s="27"/>
      <c r="CF17" s="316"/>
      <c r="CG17" s="266" t="s">
        <v>509</v>
      </c>
    </row>
    <row r="18" spans="1:85" s="264" customFormat="1" ht="33.75" customHeight="1">
      <c r="A18" s="258">
        <v>8</v>
      </c>
      <c r="B18" s="265" t="s">
        <v>451</v>
      </c>
      <c r="C18" s="267" t="s">
        <v>503</v>
      </c>
      <c r="D18" s="268">
        <v>7420</v>
      </c>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69">
        <v>147</v>
      </c>
      <c r="BY18" s="269">
        <v>147</v>
      </c>
      <c r="BZ18" s="269"/>
      <c r="CA18" s="269"/>
      <c r="CB18" s="269">
        <v>6681.249</v>
      </c>
      <c r="CC18" s="27"/>
      <c r="CD18" s="269">
        <v>6597.476</v>
      </c>
      <c r="CE18" s="269"/>
      <c r="CF18" s="316"/>
      <c r="CG18" s="266" t="s">
        <v>509</v>
      </c>
    </row>
    <row r="19" spans="1:85" s="276" customFormat="1" ht="27" customHeight="1">
      <c r="A19" s="270" t="s">
        <v>85</v>
      </c>
      <c r="B19" s="271" t="s">
        <v>452</v>
      </c>
      <c r="C19" s="272"/>
      <c r="D19" s="273">
        <f>SUM(D20:D21)</f>
        <v>113590</v>
      </c>
      <c r="E19" s="273">
        <f aca="true" t="shared" si="4" ref="E19:BP21">SUM(E20:E21)</f>
        <v>0</v>
      </c>
      <c r="F19" s="273">
        <f t="shared" si="4"/>
        <v>0</v>
      </c>
      <c r="G19" s="273">
        <f t="shared" si="4"/>
        <v>0</v>
      </c>
      <c r="H19" s="273">
        <f t="shared" si="4"/>
        <v>0</v>
      </c>
      <c r="I19" s="273">
        <f t="shared" si="4"/>
        <v>0</v>
      </c>
      <c r="J19" s="273">
        <f t="shared" si="4"/>
        <v>0</v>
      </c>
      <c r="K19" s="273">
        <f t="shared" si="4"/>
        <v>0</v>
      </c>
      <c r="L19" s="273">
        <f t="shared" si="4"/>
        <v>0</v>
      </c>
      <c r="M19" s="273">
        <f t="shared" si="4"/>
        <v>0</v>
      </c>
      <c r="N19" s="273">
        <f t="shared" si="4"/>
        <v>0</v>
      </c>
      <c r="O19" s="273">
        <f t="shared" si="4"/>
        <v>0</v>
      </c>
      <c r="P19" s="273">
        <f t="shared" si="4"/>
        <v>0</v>
      </c>
      <c r="Q19" s="273">
        <f t="shared" si="4"/>
        <v>0</v>
      </c>
      <c r="R19" s="273">
        <f t="shared" si="4"/>
        <v>0</v>
      </c>
      <c r="S19" s="273">
        <f t="shared" si="4"/>
        <v>0</v>
      </c>
      <c r="T19" s="273">
        <f t="shared" si="4"/>
        <v>0</v>
      </c>
      <c r="U19" s="273">
        <f t="shared" si="4"/>
        <v>0</v>
      </c>
      <c r="V19" s="273">
        <f t="shared" si="4"/>
        <v>0</v>
      </c>
      <c r="W19" s="273">
        <f t="shared" si="4"/>
        <v>0</v>
      </c>
      <c r="X19" s="273">
        <f t="shared" si="4"/>
        <v>0</v>
      </c>
      <c r="Y19" s="273">
        <f t="shared" si="4"/>
        <v>0</v>
      </c>
      <c r="Z19" s="273">
        <f t="shared" si="4"/>
        <v>0</v>
      </c>
      <c r="AA19" s="273">
        <f t="shared" si="4"/>
        <v>0</v>
      </c>
      <c r="AB19" s="273">
        <f t="shared" si="4"/>
        <v>0</v>
      </c>
      <c r="AC19" s="273">
        <f t="shared" si="4"/>
        <v>0</v>
      </c>
      <c r="AD19" s="273">
        <f t="shared" si="4"/>
        <v>0</v>
      </c>
      <c r="AE19" s="273">
        <f t="shared" si="4"/>
        <v>0</v>
      </c>
      <c r="AF19" s="273">
        <f t="shared" si="4"/>
        <v>0</v>
      </c>
      <c r="AG19" s="273">
        <f t="shared" si="4"/>
        <v>0</v>
      </c>
      <c r="AH19" s="273">
        <f t="shared" si="4"/>
        <v>0</v>
      </c>
      <c r="AI19" s="273">
        <f t="shared" si="4"/>
        <v>0</v>
      </c>
      <c r="AJ19" s="273">
        <f t="shared" si="4"/>
        <v>0</v>
      </c>
      <c r="AK19" s="273">
        <f t="shared" si="4"/>
        <v>0</v>
      </c>
      <c r="AL19" s="273">
        <f t="shared" si="4"/>
        <v>0</v>
      </c>
      <c r="AM19" s="273">
        <f t="shared" si="4"/>
        <v>0</v>
      </c>
      <c r="AN19" s="273">
        <f t="shared" si="4"/>
        <v>0</v>
      </c>
      <c r="AO19" s="273">
        <f t="shared" si="4"/>
        <v>0</v>
      </c>
      <c r="AP19" s="273">
        <f t="shared" si="4"/>
        <v>0</v>
      </c>
      <c r="AQ19" s="273">
        <f t="shared" si="4"/>
        <v>0</v>
      </c>
      <c r="AR19" s="273">
        <f t="shared" si="4"/>
        <v>0</v>
      </c>
      <c r="AS19" s="273">
        <f t="shared" si="4"/>
        <v>0</v>
      </c>
      <c r="AT19" s="273">
        <f t="shared" si="4"/>
        <v>0</v>
      </c>
      <c r="AU19" s="273">
        <f t="shared" si="4"/>
        <v>0</v>
      </c>
      <c r="AV19" s="273">
        <f t="shared" si="4"/>
        <v>0</v>
      </c>
      <c r="AW19" s="273">
        <f t="shared" si="4"/>
        <v>0</v>
      </c>
      <c r="AX19" s="273">
        <f t="shared" si="4"/>
        <v>0</v>
      </c>
      <c r="AY19" s="273">
        <f t="shared" si="4"/>
        <v>0</v>
      </c>
      <c r="AZ19" s="273">
        <f t="shared" si="4"/>
        <v>0</v>
      </c>
      <c r="BA19" s="273">
        <f t="shared" si="4"/>
        <v>0</v>
      </c>
      <c r="BB19" s="273">
        <f t="shared" si="4"/>
        <v>0</v>
      </c>
      <c r="BC19" s="273">
        <f t="shared" si="4"/>
        <v>0</v>
      </c>
      <c r="BD19" s="273">
        <f t="shared" si="4"/>
        <v>0</v>
      </c>
      <c r="BE19" s="273">
        <f t="shared" si="4"/>
        <v>0</v>
      </c>
      <c r="BF19" s="273">
        <f t="shared" si="4"/>
        <v>0</v>
      </c>
      <c r="BG19" s="273">
        <f t="shared" si="4"/>
        <v>0</v>
      </c>
      <c r="BH19" s="273">
        <f t="shared" si="4"/>
        <v>0</v>
      </c>
      <c r="BI19" s="273">
        <f t="shared" si="4"/>
        <v>0</v>
      </c>
      <c r="BJ19" s="273">
        <f t="shared" si="4"/>
        <v>0</v>
      </c>
      <c r="BK19" s="273">
        <f t="shared" si="4"/>
        <v>0</v>
      </c>
      <c r="BL19" s="273">
        <f t="shared" si="4"/>
        <v>0</v>
      </c>
      <c r="BM19" s="273">
        <f t="shared" si="4"/>
        <v>0</v>
      </c>
      <c r="BN19" s="273">
        <f t="shared" si="4"/>
        <v>0</v>
      </c>
      <c r="BO19" s="273">
        <f t="shared" si="4"/>
        <v>0</v>
      </c>
      <c r="BP19" s="273">
        <f t="shared" si="4"/>
        <v>0</v>
      </c>
      <c r="BQ19" s="273">
        <f aca="true" t="shared" si="5" ref="BQ19:BX19">SUM(BQ20:BQ21)</f>
        <v>0</v>
      </c>
      <c r="BR19" s="273">
        <f t="shared" si="5"/>
        <v>0</v>
      </c>
      <c r="BS19" s="273">
        <f t="shared" si="5"/>
        <v>0</v>
      </c>
      <c r="BT19" s="273">
        <f t="shared" si="5"/>
        <v>0</v>
      </c>
      <c r="BU19" s="273">
        <f t="shared" si="5"/>
        <v>0</v>
      </c>
      <c r="BV19" s="273">
        <f t="shared" si="5"/>
        <v>0</v>
      </c>
      <c r="BW19" s="273">
        <f t="shared" si="5"/>
        <v>0</v>
      </c>
      <c r="BX19" s="273">
        <f t="shared" si="5"/>
        <v>17145.004999999997</v>
      </c>
      <c r="BY19" s="273"/>
      <c r="BZ19" s="273"/>
      <c r="CA19" s="273">
        <f>SUM(CA20:CA21)</f>
        <v>5847.022</v>
      </c>
      <c r="CB19" s="273">
        <f>SUM(CB20:CB21)</f>
        <v>124876.24729999999</v>
      </c>
      <c r="CC19" s="273">
        <f>SUM(CC20:CC21)</f>
        <v>17145.027</v>
      </c>
      <c r="CD19" s="273">
        <f>SUM(CD20:CD21)</f>
        <v>124315.62</v>
      </c>
      <c r="CE19" s="273">
        <f>SUM(CE20:CE21)</f>
        <v>0</v>
      </c>
      <c r="CF19" s="274"/>
      <c r="CG19" s="275"/>
    </row>
    <row r="20" spans="1:85" ht="69" customHeight="1">
      <c r="A20" s="277">
        <v>1</v>
      </c>
      <c r="B20" s="278" t="s">
        <v>453</v>
      </c>
      <c r="C20" s="279" t="s">
        <v>504</v>
      </c>
      <c r="D20" s="280">
        <v>8000</v>
      </c>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2">
        <v>5847</v>
      </c>
      <c r="BY20" s="282"/>
      <c r="BZ20" s="282"/>
      <c r="CA20" s="282">
        <f>4542.722+1304.3</f>
        <v>5847.022</v>
      </c>
      <c r="CB20" s="282">
        <f>6259.722+1304.3</f>
        <v>7564.022</v>
      </c>
      <c r="CC20" s="282">
        <f>4542.722+1304.3</f>
        <v>5847.022</v>
      </c>
      <c r="CD20" s="282">
        <f>6259.722+1304.3</f>
        <v>7564.022</v>
      </c>
      <c r="CE20" s="282"/>
      <c r="CF20" s="361"/>
      <c r="CG20" s="283" t="s">
        <v>566</v>
      </c>
    </row>
    <row r="21" spans="1:85" ht="27.75" customHeight="1">
      <c r="A21" s="270" t="s">
        <v>55</v>
      </c>
      <c r="B21" s="271" t="s">
        <v>476</v>
      </c>
      <c r="C21" s="272"/>
      <c r="D21" s="273">
        <f>SUM(D22:D23)</f>
        <v>105590</v>
      </c>
      <c r="E21" s="273">
        <f t="shared" si="4"/>
        <v>0</v>
      </c>
      <c r="F21" s="273">
        <f t="shared" si="4"/>
        <v>0</v>
      </c>
      <c r="G21" s="273">
        <f t="shared" si="4"/>
        <v>0</v>
      </c>
      <c r="H21" s="273">
        <f t="shared" si="4"/>
        <v>0</v>
      </c>
      <c r="I21" s="273">
        <f t="shared" si="4"/>
        <v>0</v>
      </c>
      <c r="J21" s="273">
        <f t="shared" si="4"/>
        <v>0</v>
      </c>
      <c r="K21" s="273">
        <f t="shared" si="4"/>
        <v>0</v>
      </c>
      <c r="L21" s="273">
        <f t="shared" si="4"/>
        <v>0</v>
      </c>
      <c r="M21" s="273">
        <f t="shared" si="4"/>
        <v>0</v>
      </c>
      <c r="N21" s="273">
        <f t="shared" si="4"/>
        <v>0</v>
      </c>
      <c r="O21" s="273">
        <f t="shared" si="4"/>
        <v>0</v>
      </c>
      <c r="P21" s="273">
        <f t="shared" si="4"/>
        <v>0</v>
      </c>
      <c r="Q21" s="273">
        <f t="shared" si="4"/>
        <v>0</v>
      </c>
      <c r="R21" s="273">
        <f t="shared" si="4"/>
        <v>0</v>
      </c>
      <c r="S21" s="273">
        <f t="shared" si="4"/>
        <v>0</v>
      </c>
      <c r="T21" s="273">
        <f t="shared" si="4"/>
        <v>0</v>
      </c>
      <c r="U21" s="273">
        <f t="shared" si="4"/>
        <v>0</v>
      </c>
      <c r="V21" s="273">
        <f t="shared" si="4"/>
        <v>0</v>
      </c>
      <c r="W21" s="273">
        <f t="shared" si="4"/>
        <v>0</v>
      </c>
      <c r="X21" s="273">
        <f t="shared" si="4"/>
        <v>0</v>
      </c>
      <c r="Y21" s="273">
        <f t="shared" si="4"/>
        <v>0</v>
      </c>
      <c r="Z21" s="273">
        <f t="shared" si="4"/>
        <v>0</v>
      </c>
      <c r="AA21" s="273">
        <f t="shared" si="4"/>
        <v>0</v>
      </c>
      <c r="AB21" s="273">
        <f t="shared" si="4"/>
        <v>0</v>
      </c>
      <c r="AC21" s="273">
        <f t="shared" si="4"/>
        <v>0</v>
      </c>
      <c r="AD21" s="273">
        <f t="shared" si="4"/>
        <v>0</v>
      </c>
      <c r="AE21" s="273">
        <f t="shared" si="4"/>
        <v>0</v>
      </c>
      <c r="AF21" s="273">
        <f t="shared" si="4"/>
        <v>0</v>
      </c>
      <c r="AG21" s="273">
        <f t="shared" si="4"/>
        <v>0</v>
      </c>
      <c r="AH21" s="273">
        <f t="shared" si="4"/>
        <v>0</v>
      </c>
      <c r="AI21" s="273">
        <f t="shared" si="4"/>
        <v>0</v>
      </c>
      <c r="AJ21" s="273">
        <f t="shared" si="4"/>
        <v>0</v>
      </c>
      <c r="AK21" s="273">
        <f t="shared" si="4"/>
        <v>0</v>
      </c>
      <c r="AL21" s="273">
        <f t="shared" si="4"/>
        <v>0</v>
      </c>
      <c r="AM21" s="273">
        <f t="shared" si="4"/>
        <v>0</v>
      </c>
      <c r="AN21" s="273">
        <f t="shared" si="4"/>
        <v>0</v>
      </c>
      <c r="AO21" s="273">
        <f t="shared" si="4"/>
        <v>0</v>
      </c>
      <c r="AP21" s="273">
        <f t="shared" si="4"/>
        <v>0</v>
      </c>
      <c r="AQ21" s="273">
        <f t="shared" si="4"/>
        <v>0</v>
      </c>
      <c r="AR21" s="273">
        <f t="shared" si="4"/>
        <v>0</v>
      </c>
      <c r="AS21" s="273">
        <f t="shared" si="4"/>
        <v>0</v>
      </c>
      <c r="AT21" s="273">
        <f t="shared" si="4"/>
        <v>0</v>
      </c>
      <c r="AU21" s="273">
        <f t="shared" si="4"/>
        <v>0</v>
      </c>
      <c r="AV21" s="273">
        <f t="shared" si="4"/>
        <v>0</v>
      </c>
      <c r="AW21" s="273">
        <f t="shared" si="4"/>
        <v>0</v>
      </c>
      <c r="AX21" s="273">
        <f t="shared" si="4"/>
        <v>0</v>
      </c>
      <c r="AY21" s="273">
        <f t="shared" si="4"/>
        <v>0</v>
      </c>
      <c r="AZ21" s="273">
        <f t="shared" si="4"/>
        <v>0</v>
      </c>
      <c r="BA21" s="273">
        <f t="shared" si="4"/>
        <v>0</v>
      </c>
      <c r="BB21" s="273">
        <f t="shared" si="4"/>
        <v>0</v>
      </c>
      <c r="BC21" s="273">
        <f t="shared" si="4"/>
        <v>0</v>
      </c>
      <c r="BD21" s="273">
        <f t="shared" si="4"/>
        <v>0</v>
      </c>
      <c r="BE21" s="273">
        <f t="shared" si="4"/>
        <v>0</v>
      </c>
      <c r="BF21" s="273">
        <f t="shared" si="4"/>
        <v>0</v>
      </c>
      <c r="BG21" s="273">
        <f t="shared" si="4"/>
        <v>0</v>
      </c>
      <c r="BH21" s="273">
        <f t="shared" si="4"/>
        <v>0</v>
      </c>
      <c r="BI21" s="273">
        <f t="shared" si="4"/>
        <v>0</v>
      </c>
      <c r="BJ21" s="273">
        <f t="shared" si="4"/>
        <v>0</v>
      </c>
      <c r="BK21" s="273">
        <f t="shared" si="4"/>
        <v>0</v>
      </c>
      <c r="BL21" s="273">
        <f t="shared" si="4"/>
        <v>0</v>
      </c>
      <c r="BM21" s="273">
        <f t="shared" si="4"/>
        <v>0</v>
      </c>
      <c r="BN21" s="273">
        <f t="shared" si="4"/>
        <v>0</v>
      </c>
      <c r="BO21" s="273">
        <f t="shared" si="4"/>
        <v>0</v>
      </c>
      <c r="BP21" s="273">
        <f t="shared" si="4"/>
        <v>0</v>
      </c>
      <c r="BQ21" s="273">
        <f aca="true" t="shared" si="6" ref="BQ21:BW21">SUM(BQ22:BQ23)</f>
        <v>0</v>
      </c>
      <c r="BR21" s="273">
        <f t="shared" si="6"/>
        <v>0</v>
      </c>
      <c r="BS21" s="273">
        <f t="shared" si="6"/>
        <v>0</v>
      </c>
      <c r="BT21" s="273">
        <f t="shared" si="6"/>
        <v>0</v>
      </c>
      <c r="BU21" s="273">
        <f t="shared" si="6"/>
        <v>0</v>
      </c>
      <c r="BV21" s="273">
        <f t="shared" si="6"/>
        <v>0</v>
      </c>
      <c r="BW21" s="273">
        <f t="shared" si="6"/>
        <v>0</v>
      </c>
      <c r="BX21" s="273">
        <f>SUM(BX22:BX24)</f>
        <v>11298.005</v>
      </c>
      <c r="BY21" s="273"/>
      <c r="BZ21" s="273"/>
      <c r="CA21" s="273">
        <f>SUM(CA22:CA24)</f>
        <v>0</v>
      </c>
      <c r="CB21" s="273">
        <f>SUM(CB22:CB24)</f>
        <v>117312.22529999999</v>
      </c>
      <c r="CC21" s="273">
        <f>SUM(CC22:CC24)</f>
        <v>11298.005</v>
      </c>
      <c r="CD21" s="273">
        <f>SUM(CD22:CD24)</f>
        <v>116751.598</v>
      </c>
      <c r="CE21" s="273">
        <f>SUM(CE22:CE23)</f>
        <v>0</v>
      </c>
      <c r="CF21" s="274"/>
      <c r="CG21" s="266">
        <f>CD20-CB20</f>
        <v>0</v>
      </c>
    </row>
    <row r="22" spans="1:85" ht="27.75" customHeight="1">
      <c r="A22" s="284">
        <v>1</v>
      </c>
      <c r="B22" s="285" t="s">
        <v>477</v>
      </c>
      <c r="C22" s="286" t="s">
        <v>484</v>
      </c>
      <c r="D22" s="287">
        <v>59290</v>
      </c>
      <c r="E22" s="284"/>
      <c r="F22" s="284"/>
      <c r="G22" s="284"/>
      <c r="H22" s="284"/>
      <c r="I22" s="284"/>
      <c r="J22" s="288"/>
      <c r="K22" s="288"/>
      <c r="L22" s="288"/>
      <c r="M22" s="288"/>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4"/>
      <c r="BX22" s="289">
        <v>7416.352</v>
      </c>
      <c r="BY22" s="289">
        <v>7500</v>
      </c>
      <c r="BZ22" s="289">
        <v>7416.352</v>
      </c>
      <c r="CA22" s="289"/>
      <c r="CB22" s="289">
        <v>58876.3833</v>
      </c>
      <c r="CC22" s="290">
        <v>7416.352</v>
      </c>
      <c r="CD22" s="289">
        <f>58849.859</f>
        <v>58849.859</v>
      </c>
      <c r="CE22" s="289"/>
      <c r="CF22" s="291" t="s">
        <v>560</v>
      </c>
      <c r="CG22" s="292"/>
    </row>
    <row r="23" spans="1:85" ht="27.75" customHeight="1">
      <c r="A23" s="284">
        <v>2</v>
      </c>
      <c r="B23" s="285" t="s">
        <v>478</v>
      </c>
      <c r="C23" s="286" t="s">
        <v>505</v>
      </c>
      <c r="D23" s="287">
        <v>46300</v>
      </c>
      <c r="E23" s="284"/>
      <c r="F23" s="284"/>
      <c r="G23" s="284"/>
      <c r="H23" s="284"/>
      <c r="I23" s="284"/>
      <c r="J23" s="288"/>
      <c r="K23" s="288"/>
      <c r="L23" s="288"/>
      <c r="M23" s="288"/>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c r="BV23" s="284"/>
      <c r="BW23" s="284"/>
      <c r="BX23" s="289">
        <v>2652.725</v>
      </c>
      <c r="BY23" s="289">
        <v>4370</v>
      </c>
      <c r="BZ23" s="289">
        <v>2652.725</v>
      </c>
      <c r="CA23" s="289"/>
      <c r="CB23" s="289">
        <v>44855.828</v>
      </c>
      <c r="CC23" s="290">
        <v>2652.725</v>
      </c>
      <c r="CD23" s="289">
        <v>44321.725</v>
      </c>
      <c r="CE23" s="289"/>
      <c r="CF23" s="291" t="s">
        <v>560</v>
      </c>
      <c r="CG23" s="292"/>
    </row>
    <row r="24" spans="1:85" ht="31.5">
      <c r="A24" s="284">
        <v>3</v>
      </c>
      <c r="B24" s="285" t="s">
        <v>479</v>
      </c>
      <c r="C24" s="286" t="s">
        <v>185</v>
      </c>
      <c r="D24" s="287">
        <v>13610</v>
      </c>
      <c r="E24" s="284"/>
      <c r="F24" s="284"/>
      <c r="G24" s="284"/>
      <c r="H24" s="284"/>
      <c r="I24" s="284"/>
      <c r="J24" s="288"/>
      <c r="K24" s="288"/>
      <c r="L24" s="288"/>
      <c r="M24" s="288"/>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c r="BV24" s="284"/>
      <c r="BW24" s="284"/>
      <c r="BX24" s="289">
        <v>1228.928</v>
      </c>
      <c r="BY24" s="289">
        <v>1150</v>
      </c>
      <c r="BZ24" s="289">
        <v>1228.9</v>
      </c>
      <c r="CA24" s="289"/>
      <c r="CB24" s="289">
        <v>13580.014</v>
      </c>
      <c r="CC24" s="289">
        <v>1228.928</v>
      </c>
      <c r="CD24" s="289">
        <v>13580.014</v>
      </c>
      <c r="CE24" s="289"/>
      <c r="CF24" s="291" t="s">
        <v>560</v>
      </c>
      <c r="CG24" s="292"/>
    </row>
    <row r="25" spans="1:84" ht="16.5" thickBot="1">
      <c r="A25" s="293"/>
      <c r="B25" s="294"/>
      <c r="C25" s="293"/>
      <c r="D25" s="294"/>
      <c r="E25" s="293"/>
      <c r="F25" s="293"/>
      <c r="G25" s="293"/>
      <c r="H25" s="293"/>
      <c r="I25" s="293"/>
      <c r="J25" s="295"/>
      <c r="K25" s="295"/>
      <c r="L25" s="295"/>
      <c r="M25" s="295"/>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6"/>
      <c r="BG25" s="293"/>
      <c r="BH25" s="293"/>
      <c r="BI25" s="293"/>
      <c r="BJ25" s="293"/>
      <c r="BK25" s="293"/>
      <c r="BL25" s="293" t="s">
        <v>419</v>
      </c>
      <c r="BM25" s="293"/>
      <c r="BN25" s="293"/>
      <c r="BO25" s="293"/>
      <c r="BP25" s="293"/>
      <c r="BQ25" s="297" t="e">
        <f>#REF!/#REF!</f>
        <v>#REF!</v>
      </c>
      <c r="BR25" s="293"/>
      <c r="BS25" s="293"/>
      <c r="BT25" s="293"/>
      <c r="BU25" s="293"/>
      <c r="BV25" s="293"/>
      <c r="BW25" s="293"/>
      <c r="BX25" s="293"/>
      <c r="BY25" s="293"/>
      <c r="BZ25" s="293"/>
      <c r="CA25" s="293"/>
      <c r="CB25" s="293"/>
      <c r="CC25" s="293"/>
      <c r="CD25" s="293"/>
      <c r="CE25" s="293"/>
      <c r="CF25" s="294"/>
    </row>
    <row r="26" spans="10:13" ht="16.5" thickTop="1">
      <c r="J26" s="298"/>
      <c r="K26" s="298"/>
      <c r="L26" s="298"/>
      <c r="M26" s="298"/>
    </row>
    <row r="27" spans="10:13" ht="15.75">
      <c r="J27" s="299"/>
      <c r="K27" s="299"/>
      <c r="L27" s="299"/>
      <c r="M27" s="299"/>
    </row>
    <row r="28" spans="10:13" ht="15.75">
      <c r="J28" s="300"/>
      <c r="K28" s="300"/>
      <c r="L28" s="300"/>
      <c r="M28" s="300"/>
    </row>
    <row r="29" spans="10:13" ht="15.75">
      <c r="J29" s="298"/>
      <c r="K29" s="298"/>
      <c r="L29" s="298"/>
      <c r="M29" s="298"/>
    </row>
    <row r="30" spans="10:13" ht="15.75">
      <c r="J30" s="299"/>
      <c r="K30" s="299"/>
      <c r="L30" s="299"/>
      <c r="M30" s="299"/>
    </row>
    <row r="31" spans="10:13" ht="15.75">
      <c r="J31" s="299"/>
      <c r="K31" s="299"/>
      <c r="L31" s="299"/>
      <c r="M31" s="299"/>
    </row>
    <row r="32" spans="10:13" ht="15.75">
      <c r="J32" s="298"/>
      <c r="K32" s="298"/>
      <c r="L32" s="298"/>
      <c r="M32" s="298"/>
    </row>
    <row r="33" spans="10:13" ht="15.75">
      <c r="J33" s="301"/>
      <c r="K33" s="301"/>
      <c r="L33" s="301"/>
      <c r="M33" s="301"/>
    </row>
    <row r="34" spans="10:13" ht="15.75">
      <c r="J34" s="299"/>
      <c r="K34" s="299"/>
      <c r="L34" s="299"/>
      <c r="M34" s="299"/>
    </row>
    <row r="35" spans="10:13" ht="15.75">
      <c r="J35" s="299"/>
      <c r="K35" s="299"/>
      <c r="L35" s="299"/>
      <c r="M35" s="299"/>
    </row>
    <row r="36" spans="10:13" ht="15.75">
      <c r="J36" s="299"/>
      <c r="K36" s="299"/>
      <c r="L36" s="299"/>
      <c r="M36" s="299"/>
    </row>
    <row r="37" spans="10:13" ht="15.75">
      <c r="J37" s="302"/>
      <c r="K37" s="302"/>
      <c r="L37" s="302"/>
      <c r="M37" s="302"/>
    </row>
    <row r="38" spans="10:13" ht="15.75">
      <c r="J38" s="302"/>
      <c r="K38" s="302"/>
      <c r="L38" s="302"/>
      <c r="M38" s="302"/>
    </row>
    <row r="39" spans="10:13" ht="15.75">
      <c r="J39" s="302"/>
      <c r="K39" s="302"/>
      <c r="L39" s="302"/>
      <c r="M39" s="302"/>
    </row>
    <row r="40" spans="10:13" ht="15.75">
      <c r="J40" s="303"/>
      <c r="K40" s="303"/>
      <c r="L40" s="303"/>
      <c r="M40" s="303"/>
    </row>
    <row r="41" spans="10:13" ht="15.75">
      <c r="J41" s="304"/>
      <c r="K41" s="304"/>
      <c r="L41" s="304"/>
      <c r="M41" s="304"/>
    </row>
    <row r="42" spans="10:13" ht="15.75">
      <c r="J42" s="305"/>
      <c r="K42" s="305"/>
      <c r="L42" s="305"/>
      <c r="M42" s="305"/>
    </row>
    <row r="43" spans="10:13" ht="15.75">
      <c r="J43" s="301"/>
      <c r="K43" s="301"/>
      <c r="L43" s="301"/>
      <c r="M43" s="301"/>
    </row>
    <row r="44" spans="10:13" ht="15.75">
      <c r="J44" s="306"/>
      <c r="K44" s="306"/>
      <c r="L44" s="306"/>
      <c r="M44" s="306"/>
    </row>
    <row r="45" spans="10:13" ht="15.75">
      <c r="J45" s="307"/>
      <c r="K45" s="307"/>
      <c r="L45" s="307"/>
      <c r="M45" s="307"/>
    </row>
    <row r="46" spans="10:13" ht="15.75">
      <c r="J46" s="304"/>
      <c r="K46" s="304"/>
      <c r="L46" s="304"/>
      <c r="M46" s="304"/>
    </row>
    <row r="47" spans="10:13" ht="15.75">
      <c r="J47" s="305"/>
      <c r="K47" s="305"/>
      <c r="L47" s="305"/>
      <c r="M47" s="305"/>
    </row>
    <row r="48" spans="10:13" ht="15.75">
      <c r="J48" s="307"/>
      <c r="K48" s="307"/>
      <c r="L48" s="307"/>
      <c r="M48" s="307"/>
    </row>
    <row r="49" spans="10:13" ht="15.75">
      <c r="J49" s="308"/>
      <c r="K49" s="308"/>
      <c r="L49" s="308"/>
      <c r="M49" s="308"/>
    </row>
    <row r="50" spans="10:13" ht="15.75">
      <c r="J50" s="305"/>
      <c r="K50" s="305"/>
      <c r="L50" s="305"/>
      <c r="M50" s="305"/>
    </row>
    <row r="51" spans="10:13" ht="15.75">
      <c r="J51" s="299"/>
      <c r="K51" s="299"/>
      <c r="L51" s="299"/>
      <c r="M51" s="299"/>
    </row>
    <row r="52" spans="10:13" ht="15.75">
      <c r="J52" s="303"/>
      <c r="K52" s="303"/>
      <c r="L52" s="303"/>
      <c r="M52" s="303"/>
    </row>
    <row r="53" spans="10:13" ht="15.75">
      <c r="J53" s="309"/>
      <c r="K53" s="309"/>
      <c r="L53" s="309"/>
      <c r="M53" s="309"/>
    </row>
    <row r="54" spans="10:13" ht="15.75">
      <c r="J54" s="299"/>
      <c r="K54" s="299"/>
      <c r="L54" s="299"/>
      <c r="M54" s="299"/>
    </row>
    <row r="55" spans="10:13" ht="15.75">
      <c r="J55" s="305"/>
      <c r="K55" s="305"/>
      <c r="L55" s="305"/>
      <c r="M55" s="305"/>
    </row>
    <row r="56" spans="10:13" ht="15.75">
      <c r="J56" s="299"/>
      <c r="K56" s="299"/>
      <c r="L56" s="299"/>
      <c r="M56" s="299"/>
    </row>
    <row r="57" spans="10:13" ht="15.75">
      <c r="J57" s="310"/>
      <c r="K57" s="310"/>
      <c r="L57" s="310"/>
      <c r="M57" s="310"/>
    </row>
    <row r="58" spans="10:13" ht="15.75">
      <c r="J58" s="311"/>
      <c r="K58" s="311"/>
      <c r="L58" s="311"/>
      <c r="M58" s="311"/>
    </row>
    <row r="59" spans="10:13" ht="15.75">
      <c r="J59" s="299"/>
      <c r="K59" s="299"/>
      <c r="L59" s="299"/>
      <c r="M59" s="299"/>
    </row>
    <row r="60" spans="10:13" ht="15.75">
      <c r="J60" s="312"/>
      <c r="K60" s="312"/>
      <c r="L60" s="312"/>
      <c r="M60" s="312"/>
    </row>
    <row r="61" spans="10:13" ht="15.75">
      <c r="J61" s="312"/>
      <c r="K61" s="312"/>
      <c r="L61" s="312"/>
      <c r="M61" s="312"/>
    </row>
    <row r="62" spans="10:13" ht="15.75">
      <c r="J62" s="312"/>
      <c r="K62" s="312"/>
      <c r="L62" s="312"/>
      <c r="M62" s="312"/>
    </row>
    <row r="63" spans="10:13" ht="15.75">
      <c r="J63" s="312"/>
      <c r="K63" s="312"/>
      <c r="L63" s="312"/>
      <c r="M63" s="312"/>
    </row>
    <row r="64" spans="10:13" ht="15.75">
      <c r="J64" s="312"/>
      <c r="K64" s="312"/>
      <c r="L64" s="312"/>
      <c r="M64" s="312"/>
    </row>
    <row r="65" spans="10:13" ht="15.75">
      <c r="J65" s="312"/>
      <c r="K65" s="312"/>
      <c r="L65" s="312"/>
      <c r="M65" s="312"/>
    </row>
    <row r="66" spans="10:13" ht="15.75">
      <c r="J66" s="312"/>
      <c r="K66" s="312"/>
      <c r="L66" s="312"/>
      <c r="M66" s="312"/>
    </row>
    <row r="67" spans="10:13" ht="15.75">
      <c r="J67" s="312"/>
      <c r="K67" s="312"/>
      <c r="L67" s="312"/>
      <c r="M67" s="312"/>
    </row>
    <row r="68" spans="10:13" ht="15.75">
      <c r="J68" s="312"/>
      <c r="K68" s="312"/>
      <c r="L68" s="312"/>
      <c r="M68" s="312"/>
    </row>
    <row r="69" spans="10:13" ht="15.75">
      <c r="J69" s="312"/>
      <c r="K69" s="312"/>
      <c r="L69" s="312"/>
      <c r="M69" s="312"/>
    </row>
    <row r="70" spans="10:13" ht="15.75">
      <c r="J70" s="312"/>
      <c r="K70" s="312"/>
      <c r="L70" s="312"/>
      <c r="M70" s="312"/>
    </row>
    <row r="71" spans="10:13" ht="15.75">
      <c r="J71" s="312"/>
      <c r="K71" s="312"/>
      <c r="L71" s="312"/>
      <c r="M71" s="312"/>
    </row>
    <row r="72" spans="10:13" ht="15.75">
      <c r="J72" s="312"/>
      <c r="K72" s="312"/>
      <c r="L72" s="312"/>
      <c r="M72" s="312"/>
    </row>
    <row r="73" spans="10:13" ht="15.75">
      <c r="J73" s="312"/>
      <c r="K73" s="312"/>
      <c r="L73" s="312"/>
      <c r="M73" s="312"/>
    </row>
    <row r="74" spans="10:13" ht="15.75">
      <c r="J74" s="312"/>
      <c r="K74" s="312"/>
      <c r="L74" s="312"/>
      <c r="M74" s="312"/>
    </row>
    <row r="75" spans="10:13" ht="15.75">
      <c r="J75" s="312"/>
      <c r="K75" s="312"/>
      <c r="L75" s="312"/>
      <c r="M75" s="312"/>
    </row>
    <row r="76" spans="10:13" ht="15.75">
      <c r="J76" s="312"/>
      <c r="K76" s="312"/>
      <c r="L76" s="312"/>
      <c r="M76" s="312"/>
    </row>
    <row r="77" spans="10:13" ht="15.75">
      <c r="J77" s="312"/>
      <c r="K77" s="312"/>
      <c r="L77" s="312"/>
      <c r="M77" s="312"/>
    </row>
    <row r="78" spans="10:13" ht="15.75">
      <c r="J78" s="312"/>
      <c r="K78" s="312"/>
      <c r="L78" s="312"/>
      <c r="M78" s="312"/>
    </row>
    <row r="79" spans="10:13" ht="15.75">
      <c r="J79" s="312"/>
      <c r="K79" s="312"/>
      <c r="L79" s="312"/>
      <c r="M79" s="312"/>
    </row>
    <row r="80" spans="10:13" ht="15.75">
      <c r="J80" s="312"/>
      <c r="K80" s="312"/>
      <c r="L80" s="312"/>
      <c r="M80" s="312"/>
    </row>
    <row r="81" spans="10:13" ht="15.75">
      <c r="J81" s="312"/>
      <c r="K81" s="312"/>
      <c r="L81" s="312"/>
      <c r="M81" s="312"/>
    </row>
    <row r="82" spans="10:13" ht="15.75">
      <c r="J82" s="312"/>
      <c r="K82" s="312"/>
      <c r="L82" s="312"/>
      <c r="M82" s="312"/>
    </row>
    <row r="83" spans="10:13" ht="15.75">
      <c r="J83" s="312"/>
      <c r="K83" s="312"/>
      <c r="L83" s="312"/>
      <c r="M83" s="312"/>
    </row>
    <row r="84" spans="10:13" ht="15.75">
      <c r="J84" s="312"/>
      <c r="K84" s="312"/>
      <c r="L84" s="312"/>
      <c r="M84" s="312"/>
    </row>
    <row r="85" spans="10:13" ht="15.75">
      <c r="J85" s="312"/>
      <c r="K85" s="312"/>
      <c r="L85" s="312"/>
      <c r="M85" s="312"/>
    </row>
    <row r="86" spans="10:13" ht="15.75">
      <c r="J86" s="312"/>
      <c r="K86" s="312"/>
      <c r="L86" s="312"/>
      <c r="M86" s="312"/>
    </row>
    <row r="87" spans="10:13" ht="15.75">
      <c r="J87" s="312"/>
      <c r="K87" s="312"/>
      <c r="L87" s="312"/>
      <c r="M87" s="312"/>
    </row>
    <row r="88" spans="10:13" ht="15.75">
      <c r="J88" s="312"/>
      <c r="K88" s="312"/>
      <c r="L88" s="312"/>
      <c r="M88" s="312"/>
    </row>
    <row r="89" spans="10:13" ht="15.75">
      <c r="J89" s="312"/>
      <c r="K89" s="312"/>
      <c r="L89" s="312"/>
      <c r="M89" s="312"/>
    </row>
    <row r="90" spans="10:13" ht="15.75">
      <c r="J90" s="312"/>
      <c r="K90" s="312"/>
      <c r="L90" s="312"/>
      <c r="M90" s="312"/>
    </row>
  </sheetData>
  <sheetProtection/>
  <mergeCells count="91">
    <mergeCell ref="CA7:CA8"/>
    <mergeCell ref="CA5:CB6"/>
    <mergeCell ref="CD7:CD8"/>
    <mergeCell ref="CC7:CC8"/>
    <mergeCell ref="CC5:CD6"/>
    <mergeCell ref="I5:I6"/>
    <mergeCell ref="S6:S8"/>
    <mergeCell ref="CB7:CB8"/>
    <mergeCell ref="X6:X8"/>
    <mergeCell ref="BF7:BF8"/>
    <mergeCell ref="BX5:BX8"/>
    <mergeCell ref="AP5:AP8"/>
    <mergeCell ref="AJ6:AJ8"/>
    <mergeCell ref="BL7:BL8"/>
    <mergeCell ref="BS7:BS8"/>
    <mergeCell ref="H5:H6"/>
    <mergeCell ref="AF6:AF8"/>
    <mergeCell ref="V6:V8"/>
    <mergeCell ref="R6:R8"/>
    <mergeCell ref="N6:N8"/>
    <mergeCell ref="Q6:Q8"/>
    <mergeCell ref="AC6:AC8"/>
    <mergeCell ref="T6:T8"/>
    <mergeCell ref="U6:U8"/>
    <mergeCell ref="AD6:AD8"/>
    <mergeCell ref="AO5:AO6"/>
    <mergeCell ref="AQ5:AQ8"/>
    <mergeCell ref="BJ7:BJ8"/>
    <mergeCell ref="AK6:AK8"/>
    <mergeCell ref="AL6:AL8"/>
    <mergeCell ref="BI7:BI8"/>
    <mergeCell ref="BH7:BH8"/>
    <mergeCell ref="BA7:BA8"/>
    <mergeCell ref="AR7:AR8"/>
    <mergeCell ref="AS7:AS8"/>
    <mergeCell ref="Y6:Y8"/>
    <mergeCell ref="N5:Z5"/>
    <mergeCell ref="AR5:BF6"/>
    <mergeCell ref="AX7:AX8"/>
    <mergeCell ref="AY7:AY8"/>
    <mergeCell ref="AG6:AG8"/>
    <mergeCell ref="AN5:AN6"/>
    <mergeCell ref="AI6:AI8"/>
    <mergeCell ref="AW7:AW8"/>
    <mergeCell ref="AM5:AM6"/>
    <mergeCell ref="K7:M7"/>
    <mergeCell ref="A1:B1"/>
    <mergeCell ref="A5:A8"/>
    <mergeCell ref="B5:B8"/>
    <mergeCell ref="C5:C8"/>
    <mergeCell ref="A2:CF2"/>
    <mergeCell ref="A3:CF3"/>
    <mergeCell ref="AB6:AB8"/>
    <mergeCell ref="AH6:AH8"/>
    <mergeCell ref="D5:D8"/>
    <mergeCell ref="BM7:BM8"/>
    <mergeCell ref="G5:G6"/>
    <mergeCell ref="AA5:AL5"/>
    <mergeCell ref="AA6:AA8"/>
    <mergeCell ref="O6:O8"/>
    <mergeCell ref="AE6:AE8"/>
    <mergeCell ref="J5:M6"/>
    <mergeCell ref="W6:W8"/>
    <mergeCell ref="P6:P8"/>
    <mergeCell ref="Z6:Z8"/>
    <mergeCell ref="BK7:BK8"/>
    <mergeCell ref="BQ7:BQ8"/>
    <mergeCell ref="E5:F6"/>
    <mergeCell ref="AZ7:AZ8"/>
    <mergeCell ref="BE7:BE8"/>
    <mergeCell ref="AV7:AV8"/>
    <mergeCell ref="BP7:BP8"/>
    <mergeCell ref="BD7:BD8"/>
    <mergeCell ref="BO7:BO8"/>
    <mergeCell ref="J7:J8"/>
    <mergeCell ref="BY5:BY8"/>
    <mergeCell ref="BW5:BW8"/>
    <mergeCell ref="BV7:BV8"/>
    <mergeCell ref="BN7:BN8"/>
    <mergeCell ref="BR7:BR8"/>
    <mergeCell ref="BU7:BU8"/>
    <mergeCell ref="AT7:AT8"/>
    <mergeCell ref="AU7:AU8"/>
    <mergeCell ref="BZ5:BZ8"/>
    <mergeCell ref="AQ4:CF4"/>
    <mergeCell ref="BH5:BV6"/>
    <mergeCell ref="CE5:CE8"/>
    <mergeCell ref="CF5:CF8"/>
    <mergeCell ref="BT7:BT8"/>
    <mergeCell ref="BC7:BC8"/>
    <mergeCell ref="BB7:BB8"/>
  </mergeCells>
  <printOptions/>
  <pageMargins left="0.72" right="0" top="0.43" bottom="0.236220472440945" header="0.2" footer="0.511811023622047"/>
  <pageSetup horizontalDpi="600" verticalDpi="600" orientation="landscape" paperSize="9" scale="85"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2019-11-20T08:46:38Z</cp:lastPrinted>
  <dcterms:created xsi:type="dcterms:W3CDTF">2019-11-15T01:06:56Z</dcterms:created>
  <dcterms:modified xsi:type="dcterms:W3CDTF">2019-11-20T08:50:29Z</dcterms:modified>
  <cp:category/>
  <cp:version/>
  <cp:contentType/>
  <cp:contentStatus/>
</cp:coreProperties>
</file>